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8DD01394-1AFA-4AB5-82E0-27413811763E}" xr6:coauthVersionLast="47" xr6:coauthVersionMax="47" xr10:uidLastSave="{00000000-0000-0000-0000-000000000000}"/>
  <bookViews>
    <workbookView xWindow="1560" yWindow="1560" windowWidth="36330" windowHeight="19485" firstSheet="1" activeTab="1"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Crop" sheetId="81" r:id="rId6"/>
    <sheet name="Input - Fert Prod System" sheetId="76" r:id="rId7"/>
    <sheet name="Input - Fertiliser" sheetId="82" r:id="rId8"/>
    <sheet name="Input - Fuel" sheetId="93" r:id="rId9"/>
    <sheet name="Input - Electricity" sheetId="90" r:id="rId10"/>
    <sheet name="Input - Common farm inputs" sheetId="103" r:id="rId11"/>
    <sheet name="Input - Crop pasture farm input" sheetId="104" r:id="rId12"/>
    <sheet name="Input - Freight" sheetId="105" r:id="rId13"/>
    <sheet name="Input - Solid waste" sheetId="97" r:id="rId14"/>
    <sheet name="5.1.1.1-2 Inorganic fert N2O" sheetId="83" r:id="rId15"/>
    <sheet name="5.1.1.3-4 Inorganic fert CO2" sheetId="84" r:id="rId16"/>
    <sheet name="5.2.1.1-2 Organic Fert N2O" sheetId="85" r:id="rId17"/>
    <sheet name="5.3.1.1-2 Lime CO2" sheetId="86" r:id="rId18"/>
    <sheet name="5.4.1.1-4 Atmos deposition" sheetId="87" r:id="rId19"/>
    <sheet name="5.5.1.1-2 Leaching and runoff" sheetId="88" r:id="rId20"/>
    <sheet name="6.1.1.1-2 Crop residue N2O" sheetId="100" r:id="rId21"/>
    <sheet name="6.3.1.1-2 Leach runoff crop" sheetId="101" r:id="rId22"/>
    <sheet name="8.1.1.1-2 Transport fuel" sheetId="94" r:id="rId23"/>
    <sheet name="8.2.1.1-2 Stationary fuel" sheetId="95" r:id="rId24"/>
    <sheet name="10.1.1-2 Solid waste treatment" sheetId="98" r:id="rId25"/>
    <sheet name="14.1.1-2 Purchased electricity" sheetId="91" r:id="rId26"/>
    <sheet name="15 Scope 3" sheetId="106" r:id="rId27"/>
    <sheet name="Constants - Ag Residue" sheetId="102" r:id="rId28"/>
    <sheet name="Constants - Electricity" sheetId="92" r:id="rId29"/>
    <sheet name="Constants - Fertiliser" sheetId="89" r:id="rId30"/>
    <sheet name="Constants - Fuel" sheetId="96" r:id="rId31"/>
    <sheet name="Constants - Scope 3" sheetId="107" r:id="rId32"/>
    <sheet name="Constants - Solid Waste" sheetId="99" r:id="rId33"/>
    <sheet name="Constants - Common" sheetId="79" r:id="rId34"/>
    <sheet name="Input - Data quality" sheetId="78" r:id="rId35"/>
    <sheet name="Constants - Common Livestock" sheetId="108" r:id="rId36"/>
  </sheets>
  <definedNames>
    <definedName name="_Toc225350871" localSheetId="18">'5.4.1.1-4 Atmos deposition'!$C$1</definedName>
    <definedName name="_Toc225350871" localSheetId="19">'5.5.1.1-2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15">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15">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15">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15">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'5.1.1.1-2 Inorganic fert N2O'!$D$59:$E$78</definedName>
    <definedName name="M2_Table_FertApplications">'5.1.1.1-2 Inorganic fert N2O'!$M$10:$W$25</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period'!$E$60</definedName>
    <definedName name="Result_Enterprise_Gross_Method2">'Results - Activity period'!$F$60</definedName>
    <definedName name="Result_Enterprise_Net_Method1">'Results - Activity period'!$E$61</definedName>
    <definedName name="Result_Enterprise_Net_Method2">'Results - Activity period'!$F$61</definedName>
    <definedName name="Result_Enterprise_Removals">'Results - Activity period'!$E$54</definedName>
    <definedName name="Result_Enterprise_Scope1_Method1">'Results - Activity period'!$H$25</definedName>
    <definedName name="Result_Enterprise_Scope1_Method2">'Results - Activity period'!$I$25</definedName>
    <definedName name="Result_Enterprise_Scope2_Method1">'Results - Activity period'!$H$32</definedName>
    <definedName name="Result_Enterprise_Scope2_Method2">'Results - Activity period'!$I$32</definedName>
    <definedName name="Result_Enterprise_Scope3_Method1">'Results - Activity period'!$H$49</definedName>
    <definedName name="Result_Enterprise_Scope3_Method2">'Results - Activity period'!$I$49</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6_1_1_1__1__NitrousOxideEmissionsFromCropResidues_Result_Method1">'6.1.1.1-2 Crop residue N2O'!$E$42</definedName>
    <definedName name="VEERG_6_1_1_1__1__NitrousOxideEmissionsFromCropResidues_Result_Method2">'6.1.1.1-2 Crop residue N2O'!$N$61</definedName>
    <definedName name="VEERG_6_1_1_1__2__MassOfNitrogenInCropResidues_Result_Method1">'6.1.1.1-2 Crop residue N2O'!$E$24</definedName>
    <definedName name="VEERG_6_1_1_1__2__MassOfNitrogenInCropResidues_Result_Method2">'6.1.1.1-2 Crop residue N2O'!$N$43</definedName>
    <definedName name="VEERG_6_1_1_2__1__FractionOfCropResidueRemovedBaled_Result">'6.1.1.1-2 Crop residue N2O'!$N$20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Crop_AreaUnderCropping">'Input - Crop'!$E$12</definedName>
    <definedName name="X_Cell_Crop_AverageWeightPerBale">'Input - Crop'!$E$39</definedName>
    <definedName name="X_Cell_Crop_AverageWeightPerRoundModule">'Input - Crop'!$E$15</definedName>
    <definedName name="X_Cell_Crop_CottonSeedAmountPerRoundModule">'Input - Crop'!$E$25</definedName>
    <definedName name="X_Cell_Crop_CottonseedYieldTotal">'Input - Crop'!$E$26</definedName>
    <definedName name="X_Cell_Crop_CropPurpose">'Input - Crop'!$E$10</definedName>
    <definedName name="X_Cell_Crop_CropType">'Input - Crop'!$E$9</definedName>
    <definedName name="X_Cell_Crop_IrrigationMethod">'Input - Crop'!$E$10</definedName>
    <definedName name="X_Cell_Crop_LintBalesPerRoundModule">'Input - Crop'!$E$21</definedName>
    <definedName name="X_Cell_Crop_LintYieldTotal">'Input - Crop'!$E$22</definedName>
    <definedName name="X_Cell_Crop_NumberOfBales">'Input - Crop'!$E$40</definedName>
    <definedName name="X_Cell_Crop_PercentResidueBaled">'Input - Crop'!$E$38</definedName>
    <definedName name="X_Cell_Crop_PercentResidueBurned" localSheetId="20">'Input - Crop'!$E$39</definedName>
    <definedName name="X_Cell_Crop_PercentResidueBurned" localSheetId="21">'Input - Crop'!$E$39</definedName>
    <definedName name="X_Cell_Crop_PercentResidueBurned" localSheetId="27">'Input - Crop'!$E$39</definedName>
    <definedName name="X_Cell_Crop_PercentResidueBurned">'Input - Crop'!#REF!</definedName>
    <definedName name="X_Cell_Crop_ResidueAfterHarvest">'Input - Crop'!$E$35</definedName>
    <definedName name="X_Cell_Crop_ResidueToCropRatio">'Input - Crop'!$E$34</definedName>
    <definedName name="X_Cell_Crop_RoundModulesPerHectare">'Input - Crop'!$E$17</definedName>
    <definedName name="X_Cell_Crop_TotalProductionOfCrop">'Input - Crop'!$E$22</definedName>
    <definedName name="X_Cell_Crop_TotalResidueBaled">'Input - Crop'!$E$41</definedName>
    <definedName name="X_Cell_Crop_TotalResidueBurned">'Input - Crop'!#REF!</definedName>
    <definedName name="X_Cell_Crop_TotalResidueRemainingOnPaddocks">'Input - Crop'!$E$43</definedName>
    <definedName name="X_Cell_Crop_TotalRoundModules">'Input - Crop'!$E$16</definedName>
    <definedName name="X_Cell_Crop_TotalUnprocessedCottonYield">'Input - Crop'!$E$30</definedName>
    <definedName name="X_Cell_Crop_TrashTotalProduced">'Input - Crop'!$E$28</definedName>
    <definedName name="X_Cell_Crop_TurnoutRate">'Input - Crop'!$E$20</definedName>
    <definedName name="X_Cell_Crop_WeightPerLintBale">'Input - Crop'!$E$19</definedName>
    <definedName name="X_Cell_Crop_YieldPerHectare">'Input - Crop'!$E$23</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CottonLintYield">'Input - Enterprise'!$E$22</definedName>
    <definedName name="X_Cell_Enterprise_CottonseedYield">'Input - Enterprise'!$E$26</definedName>
    <definedName name="X_Cell_Enterprise_PercentCottonLintSold">'Input - Enterprise'!$E$23</definedName>
    <definedName name="X_Cell_Enterprise_PercentCottonseedSold">'Input - Enterprise'!$E$27</definedName>
    <definedName name="X_Cell_Enterprise_PercentIncomeFromCottonLint">'Input - Enterprise'!$E$32</definedName>
    <definedName name="X_Cell_Enterprise_PercentIncomeFromCottonseed">'Input - Enterprise'!$E$33</definedName>
    <definedName name="X_Cell_Enterprise_ProductionTimeframeEnd">'Input - Enterprise'!$E$19</definedName>
    <definedName name="X_Cell_Enterprise_ProductionTimeframeStart">'Input - Enterprise'!$E$18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Result_ActivityPeriodEmissions_RowsToCols">'Results - Activity period'!$D$31:$F$36</definedName>
    <definedName name="X_Table_Result_CarbonRemovalsFromPlantings_RowsToCols">'Results - Activity period'!$D$42:$E$47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108" l="1"/>
  <c r="A47" i="108"/>
  <c r="A46" i="108"/>
  <c r="A45" i="108"/>
  <c r="A44" i="108"/>
  <c r="A43" i="108"/>
  <c r="A42" i="108"/>
  <c r="A41" i="108"/>
  <c r="A40" i="108"/>
  <c r="A36" i="108"/>
  <c r="A35" i="108"/>
  <c r="A34" i="108"/>
  <c r="A33" i="108"/>
  <c r="A32" i="108"/>
  <c r="A31" i="108"/>
  <c r="A30" i="108"/>
  <c r="A29" i="108"/>
  <c r="A28" i="108"/>
  <c r="A27" i="108"/>
  <c r="A26" i="108"/>
  <c r="A25" i="108"/>
  <c r="A24" i="108"/>
  <c r="A20" i="108"/>
  <c r="A19" i="108"/>
  <c r="A18" i="108"/>
  <c r="A17" i="108"/>
  <c r="A16" i="108"/>
  <c r="A15" i="108"/>
  <c r="A14" i="108"/>
  <c r="A13" i="108"/>
  <c r="A12" i="108"/>
  <c r="A11" i="108"/>
  <c r="A10" i="108"/>
  <c r="A9" i="108"/>
  <c r="A5" i="108"/>
  <c r="A4" i="108"/>
  <c r="A3" i="108"/>
  <c r="A58" i="78"/>
  <c r="A47" i="78"/>
  <c r="A46" i="78"/>
  <c r="A45" i="78"/>
  <c r="A44" i="78"/>
  <c r="A43" i="78"/>
  <c r="A42" i="78"/>
  <c r="A41" i="78"/>
  <c r="A40" i="78"/>
  <c r="A36" i="78"/>
  <c r="A35" i="78"/>
  <c r="A34" i="78"/>
  <c r="A33" i="78"/>
  <c r="A32" i="78"/>
  <c r="A31" i="78"/>
  <c r="A30" i="78"/>
  <c r="A29" i="78"/>
  <c r="A28" i="78"/>
  <c r="A27" i="78"/>
  <c r="A26" i="78"/>
  <c r="A25" i="78"/>
  <c r="A24" i="78"/>
  <c r="A20" i="78"/>
  <c r="A19" i="78"/>
  <c r="A18" i="78"/>
  <c r="A17" i="78"/>
  <c r="A16" i="78"/>
  <c r="A15" i="78"/>
  <c r="A14" i="78"/>
  <c r="A13" i="78"/>
  <c r="A12" i="78"/>
  <c r="A11" i="78"/>
  <c r="A10" i="78"/>
  <c r="A9" i="78"/>
  <c r="A5" i="78"/>
  <c r="A4" i="78"/>
  <c r="A3" i="78"/>
  <c r="A268" i="79"/>
  <c r="A238" i="79"/>
  <c r="A208" i="79"/>
  <c r="A178" i="79"/>
  <c r="A148" i="79"/>
  <c r="A118" i="79"/>
  <c r="A88" i="79"/>
  <c r="A58" i="79"/>
  <c r="A47" i="79"/>
  <c r="A46" i="79"/>
  <c r="A45" i="79"/>
  <c r="A44" i="79"/>
  <c r="A43" i="79"/>
  <c r="A42" i="79"/>
  <c r="A41" i="79"/>
  <c r="A40" i="79"/>
  <c r="A36" i="79"/>
  <c r="A35" i="79"/>
  <c r="A34" i="79"/>
  <c r="A33" i="79"/>
  <c r="A32" i="79"/>
  <c r="A31" i="79"/>
  <c r="A30" i="79"/>
  <c r="A29" i="79"/>
  <c r="A28" i="79"/>
  <c r="A27" i="79"/>
  <c r="A26" i="79"/>
  <c r="A25" i="79"/>
  <c r="A24" i="79"/>
  <c r="A20" i="79"/>
  <c r="A19" i="79"/>
  <c r="A18" i="79"/>
  <c r="A17" i="79"/>
  <c r="A16" i="79"/>
  <c r="A15" i="79"/>
  <c r="A14" i="79"/>
  <c r="A13" i="79"/>
  <c r="A12" i="79"/>
  <c r="A11" i="79"/>
  <c r="A10" i="79"/>
  <c r="A9" i="79"/>
  <c r="A5" i="79"/>
  <c r="A4" i="79"/>
  <c r="A3" i="79"/>
  <c r="A58" i="99"/>
  <c r="A47" i="99"/>
  <c r="A46" i="99"/>
  <c r="A45" i="99"/>
  <c r="A44" i="99"/>
  <c r="A43" i="99"/>
  <c r="A42" i="99"/>
  <c r="A41" i="99"/>
  <c r="A40" i="99"/>
  <c r="A36" i="99"/>
  <c r="A35" i="99"/>
  <c r="A34" i="99"/>
  <c r="A33" i="99"/>
  <c r="A32" i="99"/>
  <c r="A31" i="99"/>
  <c r="A30" i="99"/>
  <c r="A29" i="99"/>
  <c r="A28" i="99"/>
  <c r="A27" i="99"/>
  <c r="A26" i="99"/>
  <c r="A25" i="99"/>
  <c r="A24" i="99"/>
  <c r="A20" i="99"/>
  <c r="A19" i="99"/>
  <c r="A18" i="99"/>
  <c r="A17" i="99"/>
  <c r="A16" i="99"/>
  <c r="A15" i="99"/>
  <c r="A14" i="99"/>
  <c r="A13" i="99"/>
  <c r="A12" i="99"/>
  <c r="A11" i="99"/>
  <c r="A10" i="99"/>
  <c r="A9" i="99"/>
  <c r="A5" i="99"/>
  <c r="A4" i="99"/>
  <c r="A3" i="99"/>
  <c r="A238" i="107"/>
  <c r="A208" i="107"/>
  <c r="A178" i="107"/>
  <c r="A148" i="107"/>
  <c r="A118" i="107"/>
  <c r="A88" i="107"/>
  <c r="A58" i="107"/>
  <c r="A47" i="107"/>
  <c r="A46" i="107"/>
  <c r="A45" i="107"/>
  <c r="A44" i="107"/>
  <c r="A43" i="107"/>
  <c r="A42" i="107"/>
  <c r="A41" i="107"/>
  <c r="A40" i="107"/>
  <c r="A36" i="107"/>
  <c r="A35" i="107"/>
  <c r="A34" i="107"/>
  <c r="A33" i="107"/>
  <c r="A32" i="107"/>
  <c r="A31" i="107"/>
  <c r="A30" i="107"/>
  <c r="A29" i="107"/>
  <c r="A28" i="107"/>
  <c r="A27" i="107"/>
  <c r="A26" i="107"/>
  <c r="A25" i="107"/>
  <c r="A24" i="107"/>
  <c r="A20" i="107"/>
  <c r="A19" i="107"/>
  <c r="A18" i="107"/>
  <c r="A17" i="107"/>
  <c r="A16" i="107"/>
  <c r="A15" i="107"/>
  <c r="A14" i="107"/>
  <c r="A13" i="107"/>
  <c r="A12" i="107"/>
  <c r="A11" i="107"/>
  <c r="A10" i="107"/>
  <c r="A9" i="107"/>
  <c r="A5" i="107"/>
  <c r="A4" i="107"/>
  <c r="A3" i="107"/>
  <c r="A148" i="96"/>
  <c r="A118" i="96"/>
  <c r="A88" i="96"/>
  <c r="A58" i="96"/>
  <c r="A47" i="96"/>
  <c r="A46" i="96"/>
  <c r="A45" i="96"/>
  <c r="A44" i="96"/>
  <c r="A43" i="96"/>
  <c r="A42" i="96"/>
  <c r="A41" i="96"/>
  <c r="A40" i="96"/>
  <c r="A36" i="96"/>
  <c r="A35" i="96"/>
  <c r="A34" i="96"/>
  <c r="A33" i="96"/>
  <c r="A32" i="96"/>
  <c r="A31" i="96"/>
  <c r="A30" i="96"/>
  <c r="A29" i="96"/>
  <c r="A28" i="96"/>
  <c r="A27" i="96"/>
  <c r="A26" i="96"/>
  <c r="A25" i="96"/>
  <c r="A24" i="96"/>
  <c r="A20" i="96"/>
  <c r="A19" i="96"/>
  <c r="A18" i="96"/>
  <c r="A17" i="96"/>
  <c r="A16" i="96"/>
  <c r="A15" i="96"/>
  <c r="A14" i="96"/>
  <c r="A13" i="96"/>
  <c r="A12" i="96"/>
  <c r="A11" i="96"/>
  <c r="A10" i="96"/>
  <c r="A9" i="96"/>
  <c r="A5" i="96"/>
  <c r="A4" i="96"/>
  <c r="A3" i="96"/>
  <c r="A208" i="89"/>
  <c r="A178" i="89"/>
  <c r="A148" i="89"/>
  <c r="A118" i="89"/>
  <c r="A88" i="89"/>
  <c r="A58" i="89"/>
  <c r="A47" i="89"/>
  <c r="A46" i="89"/>
  <c r="A45" i="89"/>
  <c r="A44" i="89"/>
  <c r="A43" i="89"/>
  <c r="A42" i="89"/>
  <c r="A41" i="89"/>
  <c r="A40" i="89"/>
  <c r="A36" i="89"/>
  <c r="A35" i="89"/>
  <c r="A34" i="89"/>
  <c r="A33" i="89"/>
  <c r="A32" i="89"/>
  <c r="A31" i="89"/>
  <c r="A30" i="89"/>
  <c r="A29" i="89"/>
  <c r="A28" i="89"/>
  <c r="A27" i="89"/>
  <c r="A26" i="89"/>
  <c r="A25" i="89"/>
  <c r="A24" i="89"/>
  <c r="A20" i="89"/>
  <c r="A19" i="89"/>
  <c r="A18" i="89"/>
  <c r="A17" i="89"/>
  <c r="A16" i="89"/>
  <c r="A15" i="89"/>
  <c r="A14" i="89"/>
  <c r="A13" i="89"/>
  <c r="A12" i="89"/>
  <c r="A11" i="89"/>
  <c r="A10" i="89"/>
  <c r="A9" i="89"/>
  <c r="A5" i="89"/>
  <c r="A4" i="89"/>
  <c r="A3" i="89"/>
  <c r="A47" i="92"/>
  <c r="A46" i="92"/>
  <c r="A45" i="92"/>
  <c r="A44" i="92"/>
  <c r="A43" i="92"/>
  <c r="A42" i="92"/>
  <c r="A41" i="92"/>
  <c r="A40" i="92"/>
  <c r="A36" i="92"/>
  <c r="A35" i="92"/>
  <c r="A34" i="92"/>
  <c r="A33" i="92"/>
  <c r="A32" i="92"/>
  <c r="A31" i="92"/>
  <c r="A30" i="92"/>
  <c r="A29" i="92"/>
  <c r="A28" i="92"/>
  <c r="A27" i="92"/>
  <c r="A26" i="92"/>
  <c r="A25" i="92"/>
  <c r="A24" i="92"/>
  <c r="A20" i="92"/>
  <c r="A19" i="92"/>
  <c r="A18" i="92"/>
  <c r="A17" i="92"/>
  <c r="A16" i="92"/>
  <c r="A15" i="92"/>
  <c r="A14" i="92"/>
  <c r="A13" i="92"/>
  <c r="A12" i="92"/>
  <c r="A11" i="92"/>
  <c r="A10" i="92"/>
  <c r="A9" i="92"/>
  <c r="A5" i="92"/>
  <c r="A4" i="92"/>
  <c r="A3" i="92"/>
  <c r="A208" i="102"/>
  <c r="A178" i="102"/>
  <c r="A148" i="102"/>
  <c r="A118" i="102"/>
  <c r="A88" i="102"/>
  <c r="A58" i="102"/>
  <c r="A47" i="102"/>
  <c r="A46" i="102"/>
  <c r="A45" i="102"/>
  <c r="A44" i="102"/>
  <c r="A43" i="102"/>
  <c r="A42" i="102"/>
  <c r="A41" i="102"/>
  <c r="A40" i="102"/>
  <c r="A36" i="102"/>
  <c r="A35" i="102"/>
  <c r="A34" i="102"/>
  <c r="A33" i="102"/>
  <c r="A32" i="102"/>
  <c r="A31" i="102"/>
  <c r="A30" i="102"/>
  <c r="A29" i="102"/>
  <c r="A28" i="102"/>
  <c r="A27" i="102"/>
  <c r="A26" i="102"/>
  <c r="A25" i="102"/>
  <c r="A24" i="102"/>
  <c r="A20" i="102"/>
  <c r="A19" i="102"/>
  <c r="A18" i="102"/>
  <c r="A17" i="102"/>
  <c r="A16" i="102"/>
  <c r="A15" i="102"/>
  <c r="A14" i="102"/>
  <c r="A13" i="102"/>
  <c r="A12" i="102"/>
  <c r="A11" i="102"/>
  <c r="A10" i="102"/>
  <c r="A9" i="102"/>
  <c r="A5" i="102"/>
  <c r="A4" i="102"/>
  <c r="A3" i="102"/>
  <c r="A628" i="106"/>
  <c r="A598" i="106"/>
  <c r="A568" i="106"/>
  <c r="A538" i="106"/>
  <c r="A508" i="106"/>
  <c r="A478" i="106"/>
  <c r="A448" i="106"/>
  <c r="A418" i="106"/>
  <c r="A388" i="106"/>
  <c r="A358" i="106"/>
  <c r="A328" i="106"/>
  <c r="A298" i="106"/>
  <c r="A268" i="106"/>
  <c r="A238" i="106"/>
  <c r="A208" i="106"/>
  <c r="A178" i="106"/>
  <c r="A148" i="106"/>
  <c r="A118" i="106"/>
  <c r="A88" i="106"/>
  <c r="A58" i="106"/>
  <c r="A47" i="106"/>
  <c r="A46" i="106"/>
  <c r="A45" i="106"/>
  <c r="A44" i="106"/>
  <c r="A43" i="106"/>
  <c r="A42" i="106"/>
  <c r="A41" i="106"/>
  <c r="A40" i="106"/>
  <c r="A36" i="106"/>
  <c r="A35" i="106"/>
  <c r="A34" i="106"/>
  <c r="A33" i="106"/>
  <c r="A32" i="106"/>
  <c r="A31" i="106"/>
  <c r="A30" i="106"/>
  <c r="A29" i="106"/>
  <c r="A28" i="106"/>
  <c r="A27" i="106"/>
  <c r="A26" i="106"/>
  <c r="A25" i="106"/>
  <c r="A24" i="106"/>
  <c r="A20" i="106"/>
  <c r="A19" i="106"/>
  <c r="A18" i="106"/>
  <c r="A17" i="106"/>
  <c r="A16" i="106"/>
  <c r="A15" i="106"/>
  <c r="A14" i="106"/>
  <c r="A13" i="106"/>
  <c r="A12" i="106"/>
  <c r="A11" i="106"/>
  <c r="A10" i="106"/>
  <c r="A9" i="106"/>
  <c r="A5" i="106"/>
  <c r="A4" i="106"/>
  <c r="A3" i="106"/>
  <c r="A47" i="91"/>
  <c r="A46" i="91"/>
  <c r="A45" i="91"/>
  <c r="A44" i="91"/>
  <c r="A43" i="91"/>
  <c r="A42" i="91"/>
  <c r="A41" i="91"/>
  <c r="A40" i="91"/>
  <c r="A36" i="91"/>
  <c r="A35" i="91"/>
  <c r="A34" i="91"/>
  <c r="A33" i="91"/>
  <c r="A32" i="91"/>
  <c r="A31" i="91"/>
  <c r="A30" i="91"/>
  <c r="A29" i="91"/>
  <c r="A28" i="91"/>
  <c r="A27" i="91"/>
  <c r="A26" i="91"/>
  <c r="A25" i="91"/>
  <c r="A24" i="91"/>
  <c r="A20" i="91"/>
  <c r="A19" i="91"/>
  <c r="A18" i="91"/>
  <c r="A17" i="91"/>
  <c r="A16" i="91"/>
  <c r="A15" i="91"/>
  <c r="A14" i="91"/>
  <c r="A13" i="91"/>
  <c r="A12" i="91"/>
  <c r="A11" i="91"/>
  <c r="A10" i="91"/>
  <c r="A9" i="91"/>
  <c r="A5" i="91"/>
  <c r="A4" i="91"/>
  <c r="A3" i="91"/>
  <c r="A178" i="98"/>
  <c r="A148" i="98"/>
  <c r="A118" i="98"/>
  <c r="A88" i="98"/>
  <c r="A58" i="98"/>
  <c r="A47" i="98"/>
  <c r="A46" i="98"/>
  <c r="A45" i="98"/>
  <c r="A44" i="98"/>
  <c r="A43" i="98"/>
  <c r="A42" i="98"/>
  <c r="A41" i="98"/>
  <c r="A40" i="98"/>
  <c r="A36" i="98"/>
  <c r="A35" i="98"/>
  <c r="A34" i="98"/>
  <c r="A33" i="98"/>
  <c r="A32" i="98"/>
  <c r="A31" i="98"/>
  <c r="A30" i="98"/>
  <c r="A29" i="98"/>
  <c r="A28" i="98"/>
  <c r="A27" i="98"/>
  <c r="A26" i="98"/>
  <c r="A25" i="98"/>
  <c r="A24" i="98"/>
  <c r="A20" i="98"/>
  <c r="A19" i="98"/>
  <c r="A18" i="98"/>
  <c r="A17" i="98"/>
  <c r="A16" i="98"/>
  <c r="A15" i="98"/>
  <c r="A14" i="98"/>
  <c r="A13" i="98"/>
  <c r="A12" i="98"/>
  <c r="A11" i="98"/>
  <c r="A10" i="98"/>
  <c r="A9" i="98"/>
  <c r="A5" i="98"/>
  <c r="A4" i="98"/>
  <c r="A3" i="98"/>
  <c r="A58" i="95"/>
  <c r="A47" i="95"/>
  <c r="A46" i="95"/>
  <c r="A45" i="95"/>
  <c r="A44" i="95"/>
  <c r="A43" i="95"/>
  <c r="A42" i="95"/>
  <c r="A41" i="95"/>
  <c r="A40" i="95"/>
  <c r="A36" i="95"/>
  <c r="A35" i="95"/>
  <c r="A34" i="95"/>
  <c r="A33" i="95"/>
  <c r="A32" i="95"/>
  <c r="A31" i="95"/>
  <c r="A30" i="95"/>
  <c r="A29" i="95"/>
  <c r="A28" i="95"/>
  <c r="A27" i="95"/>
  <c r="A26" i="95"/>
  <c r="A25" i="95"/>
  <c r="A24" i="95"/>
  <c r="A20" i="95"/>
  <c r="A19" i="95"/>
  <c r="A18" i="95"/>
  <c r="A17" i="95"/>
  <c r="A16" i="95"/>
  <c r="A15" i="95"/>
  <c r="A14" i="95"/>
  <c r="A13" i="95"/>
  <c r="A12" i="95"/>
  <c r="A11" i="95"/>
  <c r="A10" i="95"/>
  <c r="A9" i="95"/>
  <c r="A5" i="95"/>
  <c r="A4" i="95"/>
  <c r="A3" i="95"/>
  <c r="A58" i="94"/>
  <c r="A47" i="94"/>
  <c r="A46" i="94"/>
  <c r="A45" i="94"/>
  <c r="A44" i="94"/>
  <c r="A43" i="94"/>
  <c r="A42" i="94"/>
  <c r="A41" i="94"/>
  <c r="A40" i="94"/>
  <c r="A36" i="94"/>
  <c r="A35" i="94"/>
  <c r="A34" i="94"/>
  <c r="A33" i="94"/>
  <c r="A32" i="94"/>
  <c r="A31" i="94"/>
  <c r="A30" i="94"/>
  <c r="A29" i="94"/>
  <c r="A28" i="94"/>
  <c r="A27" i="94"/>
  <c r="A26" i="94"/>
  <c r="A25" i="94"/>
  <c r="A24" i="94"/>
  <c r="A20" i="94"/>
  <c r="A19" i="94"/>
  <c r="A18" i="94"/>
  <c r="A17" i="94"/>
  <c r="A16" i="94"/>
  <c r="A15" i="94"/>
  <c r="A14" i="94"/>
  <c r="A13" i="94"/>
  <c r="A12" i="94"/>
  <c r="A11" i="94"/>
  <c r="A10" i="94"/>
  <c r="A9" i="94"/>
  <c r="A5" i="94"/>
  <c r="A4" i="94"/>
  <c r="A3" i="94"/>
  <c r="A47" i="101"/>
  <c r="A46" i="101"/>
  <c r="A45" i="101"/>
  <c r="A44" i="101"/>
  <c r="A43" i="101"/>
  <c r="A42" i="101"/>
  <c r="A41" i="101"/>
  <c r="A40" i="101"/>
  <c r="A36" i="101"/>
  <c r="A35" i="101"/>
  <c r="A34" i="101"/>
  <c r="A33" i="101"/>
  <c r="A32" i="101"/>
  <c r="A31" i="101"/>
  <c r="A30" i="101"/>
  <c r="A29" i="101"/>
  <c r="A28" i="101"/>
  <c r="A27" i="101"/>
  <c r="A26" i="101"/>
  <c r="A25" i="101"/>
  <c r="A24" i="101"/>
  <c r="A20" i="101"/>
  <c r="A19" i="101"/>
  <c r="A18" i="101"/>
  <c r="A17" i="101"/>
  <c r="A16" i="101"/>
  <c r="A15" i="101"/>
  <c r="A14" i="101"/>
  <c r="A13" i="101"/>
  <c r="A12" i="101"/>
  <c r="A11" i="101"/>
  <c r="A10" i="101"/>
  <c r="A9" i="101"/>
  <c r="A5" i="101"/>
  <c r="A4" i="101"/>
  <c r="A3" i="101"/>
  <c r="A58" i="100"/>
  <c r="A47" i="100"/>
  <c r="A46" i="100"/>
  <c r="A45" i="100"/>
  <c r="A44" i="100"/>
  <c r="A43" i="100"/>
  <c r="A42" i="100"/>
  <c r="A41" i="100"/>
  <c r="A40" i="100"/>
  <c r="A36" i="100"/>
  <c r="A35" i="100"/>
  <c r="A34" i="100"/>
  <c r="A33" i="100"/>
  <c r="A32" i="100"/>
  <c r="A31" i="100"/>
  <c r="A30" i="100"/>
  <c r="A29" i="100"/>
  <c r="A28" i="100"/>
  <c r="A27" i="100"/>
  <c r="A26" i="100"/>
  <c r="A25" i="100"/>
  <c r="A24" i="100"/>
  <c r="A20" i="100"/>
  <c r="A19" i="100"/>
  <c r="A18" i="100"/>
  <c r="A17" i="100"/>
  <c r="A16" i="100"/>
  <c r="A15" i="100"/>
  <c r="A14" i="100"/>
  <c r="A13" i="100"/>
  <c r="A12" i="100"/>
  <c r="A11" i="100"/>
  <c r="A10" i="100"/>
  <c r="A9" i="100"/>
  <c r="A5" i="100"/>
  <c r="A4" i="100"/>
  <c r="A3" i="100"/>
  <c r="A88" i="88"/>
  <c r="A58" i="88"/>
  <c r="A47" i="88"/>
  <c r="A46" i="88"/>
  <c r="A45" i="88"/>
  <c r="A44" i="88"/>
  <c r="A43" i="88"/>
  <c r="A42" i="88"/>
  <c r="A41" i="88"/>
  <c r="A40" i="88"/>
  <c r="A36" i="88"/>
  <c r="A35" i="88"/>
  <c r="A34" i="88"/>
  <c r="A33" i="88"/>
  <c r="A32" i="88"/>
  <c r="A31" i="88"/>
  <c r="A30" i="88"/>
  <c r="A29" i="88"/>
  <c r="A28" i="88"/>
  <c r="A27" i="88"/>
  <c r="A26" i="88"/>
  <c r="A25" i="88"/>
  <c r="A24" i="88"/>
  <c r="A20" i="88"/>
  <c r="A19" i="88"/>
  <c r="A18" i="88"/>
  <c r="A17" i="88"/>
  <c r="A16" i="88"/>
  <c r="A15" i="88"/>
  <c r="A14" i="88"/>
  <c r="A13" i="88"/>
  <c r="A12" i="88"/>
  <c r="A11" i="88"/>
  <c r="A10" i="88"/>
  <c r="A9" i="88"/>
  <c r="A5" i="88"/>
  <c r="A4" i="88"/>
  <c r="A3" i="88"/>
  <c r="A148" i="87"/>
  <c r="A118" i="87"/>
  <c r="A88" i="87"/>
  <c r="A58" i="87"/>
  <c r="A47" i="87"/>
  <c r="A46" i="87"/>
  <c r="A45" i="87"/>
  <c r="A44" i="87"/>
  <c r="A43" i="87"/>
  <c r="A42" i="87"/>
  <c r="A41" i="87"/>
  <c r="A40" i="87"/>
  <c r="A36" i="87"/>
  <c r="A35" i="87"/>
  <c r="A34" i="87"/>
  <c r="A33" i="87"/>
  <c r="A32" i="87"/>
  <c r="A31" i="87"/>
  <c r="A30" i="87"/>
  <c r="A29" i="87"/>
  <c r="A28" i="87"/>
  <c r="A27" i="87"/>
  <c r="A26" i="87"/>
  <c r="A25" i="87"/>
  <c r="A24" i="87"/>
  <c r="A20" i="87"/>
  <c r="A19" i="87"/>
  <c r="A18" i="87"/>
  <c r="A17" i="87"/>
  <c r="A16" i="87"/>
  <c r="A15" i="87"/>
  <c r="A14" i="87"/>
  <c r="A13" i="87"/>
  <c r="A12" i="87"/>
  <c r="A11" i="87"/>
  <c r="A10" i="87"/>
  <c r="A9" i="87"/>
  <c r="A5" i="87"/>
  <c r="A4" i="87"/>
  <c r="A3" i="87"/>
  <c r="A47" i="86"/>
  <c r="A46" i="86"/>
  <c r="A45" i="86"/>
  <c r="A44" i="86"/>
  <c r="A43" i="86"/>
  <c r="A42" i="86"/>
  <c r="A41" i="86"/>
  <c r="A40" i="86"/>
  <c r="A36" i="86"/>
  <c r="A35" i="86"/>
  <c r="A34" i="86"/>
  <c r="A33" i="86"/>
  <c r="A32" i="86"/>
  <c r="A31" i="86"/>
  <c r="A30" i="86"/>
  <c r="A29" i="86"/>
  <c r="A28" i="86"/>
  <c r="A27" i="86"/>
  <c r="A26" i="86"/>
  <c r="A25" i="86"/>
  <c r="A24" i="86"/>
  <c r="A20" i="86"/>
  <c r="A19" i="86"/>
  <c r="A18" i="86"/>
  <c r="A17" i="86"/>
  <c r="A16" i="86"/>
  <c r="A15" i="86"/>
  <c r="A14" i="86"/>
  <c r="A13" i="86"/>
  <c r="A12" i="86"/>
  <c r="A11" i="86"/>
  <c r="A10" i="86"/>
  <c r="A9" i="86"/>
  <c r="A5" i="86"/>
  <c r="A4" i="86"/>
  <c r="A3" i="86"/>
  <c r="A47" i="85"/>
  <c r="A46" i="85"/>
  <c r="A45" i="85"/>
  <c r="A44" i="85"/>
  <c r="A43" i="85"/>
  <c r="A42" i="85"/>
  <c r="A41" i="85"/>
  <c r="A40" i="85"/>
  <c r="A36" i="85"/>
  <c r="A35" i="85"/>
  <c r="A34" i="85"/>
  <c r="A33" i="85"/>
  <c r="A32" i="85"/>
  <c r="A31" i="85"/>
  <c r="A30" i="85"/>
  <c r="A29" i="85"/>
  <c r="A28" i="85"/>
  <c r="A27" i="85"/>
  <c r="A26" i="85"/>
  <c r="A25" i="85"/>
  <c r="A24" i="85"/>
  <c r="A20" i="85"/>
  <c r="A19" i="85"/>
  <c r="A18" i="85"/>
  <c r="A17" i="85"/>
  <c r="A16" i="85"/>
  <c r="A15" i="85"/>
  <c r="A14" i="85"/>
  <c r="A13" i="85"/>
  <c r="A12" i="85"/>
  <c r="A11" i="85"/>
  <c r="A10" i="85"/>
  <c r="A9" i="85"/>
  <c r="A5" i="85"/>
  <c r="A4" i="85"/>
  <c r="A3" i="85"/>
  <c r="A58" i="84"/>
  <c r="A47" i="84"/>
  <c r="A46" i="84"/>
  <c r="A45" i="84"/>
  <c r="A44" i="84"/>
  <c r="A43" i="84"/>
  <c r="A42" i="84"/>
  <c r="A41" i="84"/>
  <c r="A40" i="84"/>
  <c r="A36" i="84"/>
  <c r="A35" i="84"/>
  <c r="A34" i="84"/>
  <c r="A33" i="84"/>
  <c r="A32" i="84"/>
  <c r="A31" i="84"/>
  <c r="A30" i="84"/>
  <c r="A29" i="84"/>
  <c r="A28" i="84"/>
  <c r="A27" i="84"/>
  <c r="A26" i="84"/>
  <c r="A25" i="84"/>
  <c r="A24" i="84"/>
  <c r="A20" i="84"/>
  <c r="A19" i="84"/>
  <c r="A18" i="84"/>
  <c r="A17" i="84"/>
  <c r="A16" i="84"/>
  <c r="A15" i="84"/>
  <c r="A14" i="84"/>
  <c r="A13" i="84"/>
  <c r="A12" i="84"/>
  <c r="A11" i="84"/>
  <c r="A10" i="84"/>
  <c r="A9" i="84"/>
  <c r="A5" i="84"/>
  <c r="A4" i="84"/>
  <c r="A3" i="84"/>
  <c r="A88" i="83"/>
  <c r="A58" i="83"/>
  <c r="A47" i="83"/>
  <c r="A46" i="83"/>
  <c r="A45" i="83"/>
  <c r="A44" i="83"/>
  <c r="A43" i="83"/>
  <c r="A42" i="83"/>
  <c r="A41" i="83"/>
  <c r="A40" i="83"/>
  <c r="A36" i="83"/>
  <c r="A35" i="83"/>
  <c r="A34" i="83"/>
  <c r="A33" i="83"/>
  <c r="A32" i="83"/>
  <c r="A31" i="83"/>
  <c r="A30" i="83"/>
  <c r="A29" i="83"/>
  <c r="A28" i="83"/>
  <c r="A27" i="83"/>
  <c r="A26" i="83"/>
  <c r="A25" i="83"/>
  <c r="A24" i="83"/>
  <c r="A20" i="83"/>
  <c r="A19" i="83"/>
  <c r="A18" i="83"/>
  <c r="A17" i="83"/>
  <c r="A16" i="83"/>
  <c r="A15" i="83"/>
  <c r="A14" i="83"/>
  <c r="A13" i="83"/>
  <c r="A12" i="83"/>
  <c r="A11" i="83"/>
  <c r="A10" i="83"/>
  <c r="A9" i="83"/>
  <c r="A5" i="83"/>
  <c r="A4" i="83"/>
  <c r="A3" i="83"/>
  <c r="A47" i="97"/>
  <c r="A46" i="97"/>
  <c r="A45" i="97"/>
  <c r="A44" i="97"/>
  <c r="A43" i="97"/>
  <c r="A42" i="97"/>
  <c r="A41" i="97"/>
  <c r="A40" i="97"/>
  <c r="A36" i="97"/>
  <c r="A35" i="97"/>
  <c r="A34" i="97"/>
  <c r="A33" i="97"/>
  <c r="A32" i="97"/>
  <c r="A31" i="97"/>
  <c r="A30" i="97"/>
  <c r="A29" i="97"/>
  <c r="A28" i="97"/>
  <c r="A27" i="97"/>
  <c r="A26" i="97"/>
  <c r="A25" i="97"/>
  <c r="A24" i="97"/>
  <c r="A20" i="97"/>
  <c r="A19" i="97"/>
  <c r="A18" i="97"/>
  <c r="A17" i="97"/>
  <c r="A16" i="97"/>
  <c r="A15" i="97"/>
  <c r="A14" i="97"/>
  <c r="A13" i="97"/>
  <c r="A12" i="97"/>
  <c r="A11" i="97"/>
  <c r="A10" i="97"/>
  <c r="A9" i="97"/>
  <c r="A5" i="97"/>
  <c r="A4" i="97"/>
  <c r="A3" i="97"/>
  <c r="A47" i="105"/>
  <c r="A46" i="105"/>
  <c r="A45" i="105"/>
  <c r="A44" i="105"/>
  <c r="A43" i="105"/>
  <c r="A42" i="105"/>
  <c r="A41" i="105"/>
  <c r="A40" i="105"/>
  <c r="A36" i="105"/>
  <c r="A35" i="105"/>
  <c r="A34" i="105"/>
  <c r="A33" i="105"/>
  <c r="A32" i="105"/>
  <c r="A31" i="105"/>
  <c r="A30" i="105"/>
  <c r="A29" i="105"/>
  <c r="A28" i="105"/>
  <c r="A27" i="105"/>
  <c r="A26" i="105"/>
  <c r="A25" i="105"/>
  <c r="A24" i="105"/>
  <c r="A20" i="105"/>
  <c r="A19" i="105"/>
  <c r="A18" i="105"/>
  <c r="A17" i="105"/>
  <c r="A16" i="105"/>
  <c r="A15" i="105"/>
  <c r="A14" i="105"/>
  <c r="A13" i="105"/>
  <c r="A12" i="105"/>
  <c r="A11" i="105"/>
  <c r="A10" i="105"/>
  <c r="A9" i="105"/>
  <c r="A5" i="105"/>
  <c r="A4" i="105"/>
  <c r="A3" i="105"/>
  <c r="A47" i="104"/>
  <c r="A46" i="104"/>
  <c r="A45" i="104"/>
  <c r="A44" i="104"/>
  <c r="A43" i="104"/>
  <c r="A42" i="104"/>
  <c r="A41" i="104"/>
  <c r="A40" i="104"/>
  <c r="A36" i="104"/>
  <c r="A35" i="104"/>
  <c r="A34" i="104"/>
  <c r="A33" i="104"/>
  <c r="A32" i="104"/>
  <c r="A31" i="104"/>
  <c r="A30" i="104"/>
  <c r="A29" i="104"/>
  <c r="A28" i="104"/>
  <c r="A27" i="104"/>
  <c r="A26" i="104"/>
  <c r="A25" i="104"/>
  <c r="A24" i="104"/>
  <c r="A20" i="104"/>
  <c r="A19" i="104"/>
  <c r="A18" i="104"/>
  <c r="A17" i="104"/>
  <c r="A16" i="104"/>
  <c r="A15" i="104"/>
  <c r="A14" i="104"/>
  <c r="A13" i="104"/>
  <c r="A12" i="104"/>
  <c r="A11" i="104"/>
  <c r="A10" i="104"/>
  <c r="A9" i="104"/>
  <c r="A5" i="104"/>
  <c r="A4" i="104"/>
  <c r="A3" i="104"/>
  <c r="A47" i="103"/>
  <c r="A46" i="103"/>
  <c r="A45" i="103"/>
  <c r="A44" i="103"/>
  <c r="A43" i="103"/>
  <c r="A42" i="103"/>
  <c r="A41" i="103"/>
  <c r="A40" i="103"/>
  <c r="A36" i="103"/>
  <c r="A35" i="103"/>
  <c r="A34" i="103"/>
  <c r="A33" i="103"/>
  <c r="A32" i="103"/>
  <c r="A31" i="103"/>
  <c r="A30" i="103"/>
  <c r="A29" i="103"/>
  <c r="A28" i="103"/>
  <c r="A27" i="103"/>
  <c r="A26" i="103"/>
  <c r="A25" i="103"/>
  <c r="A24" i="103"/>
  <c r="A20" i="103"/>
  <c r="A19" i="103"/>
  <c r="A18" i="103"/>
  <c r="A17" i="103"/>
  <c r="A16" i="103"/>
  <c r="A15" i="103"/>
  <c r="A14" i="103"/>
  <c r="A13" i="103"/>
  <c r="A12" i="103"/>
  <c r="A11" i="103"/>
  <c r="A10" i="103"/>
  <c r="A9" i="103"/>
  <c r="A5" i="103"/>
  <c r="A4" i="103"/>
  <c r="A3" i="103"/>
  <c r="A47" i="90"/>
  <c r="A46" i="90"/>
  <c r="A45" i="90"/>
  <c r="A44" i="90"/>
  <c r="A43" i="90"/>
  <c r="A42" i="90"/>
  <c r="A41" i="90"/>
  <c r="A40" i="90"/>
  <c r="A36" i="90"/>
  <c r="A35" i="90"/>
  <c r="A34" i="90"/>
  <c r="A33" i="90"/>
  <c r="A32" i="90"/>
  <c r="A31" i="90"/>
  <c r="A30" i="90"/>
  <c r="A29" i="90"/>
  <c r="A28" i="90"/>
  <c r="A27" i="90"/>
  <c r="A26" i="90"/>
  <c r="A25" i="90"/>
  <c r="A24" i="90"/>
  <c r="A20" i="90"/>
  <c r="A19" i="90"/>
  <c r="A18" i="90"/>
  <c r="A17" i="90"/>
  <c r="A16" i="90"/>
  <c r="A15" i="90"/>
  <c r="A14" i="90"/>
  <c r="A13" i="90"/>
  <c r="A12" i="90"/>
  <c r="A11" i="90"/>
  <c r="A10" i="90"/>
  <c r="A9" i="90"/>
  <c r="A5" i="90"/>
  <c r="A4" i="90"/>
  <c r="A3" i="90"/>
  <c r="A47" i="93"/>
  <c r="A46" i="93"/>
  <c r="A45" i="93"/>
  <c r="A44" i="93"/>
  <c r="A43" i="93"/>
  <c r="A42" i="93"/>
  <c r="A41" i="93"/>
  <c r="A40" i="93"/>
  <c r="A36" i="93"/>
  <c r="A35" i="93"/>
  <c r="A34" i="93"/>
  <c r="A33" i="93"/>
  <c r="A32" i="93"/>
  <c r="A31" i="93"/>
  <c r="A30" i="93"/>
  <c r="A29" i="93"/>
  <c r="A28" i="93"/>
  <c r="A27" i="93"/>
  <c r="A26" i="93"/>
  <c r="A25" i="93"/>
  <c r="A24" i="93"/>
  <c r="A20" i="93"/>
  <c r="A19" i="93"/>
  <c r="A18" i="93"/>
  <c r="A17" i="93"/>
  <c r="A16" i="93"/>
  <c r="A15" i="93"/>
  <c r="A14" i="93"/>
  <c r="A13" i="93"/>
  <c r="A12" i="93"/>
  <c r="A11" i="93"/>
  <c r="A10" i="93"/>
  <c r="A9" i="93"/>
  <c r="A5" i="93"/>
  <c r="A4" i="93"/>
  <c r="A3" i="93"/>
  <c r="A47" i="82"/>
  <c r="A46" i="82"/>
  <c r="A45" i="82"/>
  <c r="A44" i="82"/>
  <c r="A43" i="82"/>
  <c r="A42" i="82"/>
  <c r="A41" i="82"/>
  <c r="A40" i="82"/>
  <c r="A36" i="82"/>
  <c r="A35" i="82"/>
  <c r="A34" i="82"/>
  <c r="A33" i="82"/>
  <c r="A32" i="82"/>
  <c r="A31" i="82"/>
  <c r="A30" i="82"/>
  <c r="A29" i="82"/>
  <c r="A28" i="82"/>
  <c r="A27" i="82"/>
  <c r="A26" i="82"/>
  <c r="A25" i="82"/>
  <c r="A24" i="82"/>
  <c r="A20" i="82"/>
  <c r="A19" i="82"/>
  <c r="A18" i="82"/>
  <c r="A17" i="82"/>
  <c r="A16" i="82"/>
  <c r="A15" i="82"/>
  <c r="A14" i="82"/>
  <c r="A13" i="82"/>
  <c r="A12" i="82"/>
  <c r="A11" i="82"/>
  <c r="A10" i="82"/>
  <c r="A9" i="82"/>
  <c r="A5" i="82"/>
  <c r="A4" i="82"/>
  <c r="A3" i="82"/>
  <c r="A47" i="76"/>
  <c r="A46" i="76"/>
  <c r="A45" i="76"/>
  <c r="A44" i="76"/>
  <c r="A43" i="76"/>
  <c r="A42" i="76"/>
  <c r="A41" i="76"/>
  <c r="A40" i="76"/>
  <c r="A36" i="76"/>
  <c r="A35" i="76"/>
  <c r="A34" i="76"/>
  <c r="A33" i="76"/>
  <c r="A32" i="76"/>
  <c r="A31" i="76"/>
  <c r="A30" i="76"/>
  <c r="A29" i="76"/>
  <c r="A28" i="76"/>
  <c r="A27" i="76"/>
  <c r="A26" i="76"/>
  <c r="A25" i="76"/>
  <c r="A24" i="76"/>
  <c r="A20" i="76"/>
  <c r="A19" i="76"/>
  <c r="A18" i="76"/>
  <c r="A17" i="76"/>
  <c r="A16" i="76"/>
  <c r="A15" i="76"/>
  <c r="A14" i="76"/>
  <c r="A13" i="76"/>
  <c r="A12" i="76"/>
  <c r="A11" i="76"/>
  <c r="A10" i="76"/>
  <c r="A9" i="76"/>
  <c r="A5" i="76"/>
  <c r="A4" i="76"/>
  <c r="A3" i="76"/>
  <c r="A47" i="81"/>
  <c r="A46" i="81"/>
  <c r="A45" i="81"/>
  <c r="A44" i="81"/>
  <c r="A43" i="81"/>
  <c r="A42" i="81"/>
  <c r="A41" i="81"/>
  <c r="A40" i="81"/>
  <c r="A36" i="81"/>
  <c r="A35" i="81"/>
  <c r="A34" i="81"/>
  <c r="A33" i="81"/>
  <c r="A32" i="81"/>
  <c r="A31" i="81"/>
  <c r="A30" i="81"/>
  <c r="A29" i="81"/>
  <c r="A28" i="81"/>
  <c r="A27" i="81"/>
  <c r="A26" i="81"/>
  <c r="A25" i="81"/>
  <c r="A24" i="81"/>
  <c r="A20" i="81"/>
  <c r="A19" i="81"/>
  <c r="A18" i="81"/>
  <c r="A17" i="81"/>
  <c r="A16" i="81"/>
  <c r="A15" i="81"/>
  <c r="A14" i="81"/>
  <c r="A13" i="81"/>
  <c r="A12" i="81"/>
  <c r="A11" i="81"/>
  <c r="A10" i="81"/>
  <c r="A9" i="81"/>
  <c r="A5" i="81"/>
  <c r="A4" i="81"/>
  <c r="A3" i="81"/>
  <c r="A47" i="75"/>
  <c r="A46" i="75"/>
  <c r="A45" i="75"/>
  <c r="A44" i="75"/>
  <c r="A43" i="75"/>
  <c r="A42" i="75"/>
  <c r="A41" i="75"/>
  <c r="A40" i="75"/>
  <c r="A36" i="75"/>
  <c r="A35" i="75"/>
  <c r="A34" i="75"/>
  <c r="A33" i="75"/>
  <c r="A32" i="75"/>
  <c r="A31" i="75"/>
  <c r="A30" i="75"/>
  <c r="A29" i="75"/>
  <c r="A28" i="75"/>
  <c r="A27" i="75"/>
  <c r="A26" i="75"/>
  <c r="A25" i="75"/>
  <c r="A24" i="75"/>
  <c r="A20" i="75"/>
  <c r="A19" i="75"/>
  <c r="A18" i="75"/>
  <c r="A17" i="75"/>
  <c r="A16" i="75"/>
  <c r="A15" i="75"/>
  <c r="A14" i="75"/>
  <c r="A13" i="75"/>
  <c r="A12" i="75"/>
  <c r="A11" i="75"/>
  <c r="A10" i="75"/>
  <c r="A9" i="75"/>
  <c r="A5" i="75"/>
  <c r="A4" i="75"/>
  <c r="A3" i="75"/>
  <c r="A58" i="72"/>
  <c r="A47" i="72"/>
  <c r="A46" i="72"/>
  <c r="A45" i="72"/>
  <c r="A44" i="72"/>
  <c r="A43" i="72"/>
  <c r="A42" i="72"/>
  <c r="A41" i="72"/>
  <c r="A40" i="72"/>
  <c r="A36" i="72"/>
  <c r="A35" i="72"/>
  <c r="A34" i="72"/>
  <c r="A33" i="72"/>
  <c r="A32" i="72"/>
  <c r="A31" i="72"/>
  <c r="A30" i="72"/>
  <c r="A29" i="72"/>
  <c r="A28" i="72"/>
  <c r="A27" i="72"/>
  <c r="A26" i="72"/>
  <c r="A25" i="72"/>
  <c r="A24" i="72"/>
  <c r="A20" i="72"/>
  <c r="A19" i="72"/>
  <c r="A18" i="72"/>
  <c r="A17" i="72"/>
  <c r="A16" i="72"/>
  <c r="A15" i="72"/>
  <c r="A14" i="72"/>
  <c r="A13" i="72"/>
  <c r="A12" i="72"/>
  <c r="A11" i="72"/>
  <c r="A10" i="72"/>
  <c r="A9" i="72"/>
  <c r="A5" i="72"/>
  <c r="A4" i="72"/>
  <c r="A3" i="72"/>
  <c r="A47" i="80"/>
  <c r="A46" i="80"/>
  <c r="A45" i="80"/>
  <c r="A44" i="80"/>
  <c r="A43" i="80"/>
  <c r="A42" i="80"/>
  <c r="A41" i="80"/>
  <c r="A40" i="80"/>
  <c r="A36" i="80"/>
  <c r="A35" i="80"/>
  <c r="A34" i="80"/>
  <c r="A33" i="80"/>
  <c r="A32" i="80"/>
  <c r="A31" i="80"/>
  <c r="A30" i="80"/>
  <c r="A29" i="80"/>
  <c r="A28" i="80"/>
  <c r="A27" i="80"/>
  <c r="A26" i="80"/>
  <c r="A25" i="80"/>
  <c r="A24" i="80"/>
  <c r="A20" i="80"/>
  <c r="A19" i="80"/>
  <c r="A18" i="80"/>
  <c r="A17" i="80"/>
  <c r="A16" i="80"/>
  <c r="A15" i="80"/>
  <c r="A14" i="80"/>
  <c r="A13" i="80"/>
  <c r="A12" i="80"/>
  <c r="A11" i="80"/>
  <c r="A10" i="80"/>
  <c r="A9" i="80"/>
  <c r="A5" i="80"/>
  <c r="A4" i="80"/>
  <c r="A3" i="80"/>
  <c r="A58" i="13"/>
  <c r="A47" i="13"/>
  <c r="A46" i="13"/>
  <c r="A45" i="13"/>
  <c r="A44" i="13"/>
  <c r="A43" i="13"/>
  <c r="A42" i="13"/>
  <c r="A41" i="13"/>
  <c r="A40" i="13"/>
  <c r="A36" i="13"/>
  <c r="A35" i="13"/>
  <c r="A34" i="13"/>
  <c r="A33" i="13"/>
  <c r="A32" i="13"/>
  <c r="A31" i="13"/>
  <c r="A30" i="13"/>
  <c r="A29" i="13"/>
  <c r="A28" i="13"/>
  <c r="A27" i="13"/>
  <c r="A26" i="13"/>
  <c r="A25" i="13"/>
  <c r="A24" i="13"/>
  <c r="A20" i="13"/>
  <c r="A19" i="13"/>
  <c r="A18" i="13"/>
  <c r="A17" i="13"/>
  <c r="A16" i="13"/>
  <c r="A15" i="13"/>
  <c r="A14" i="13"/>
  <c r="A13" i="13"/>
  <c r="A12" i="13"/>
  <c r="A11" i="13"/>
  <c r="A10" i="13"/>
  <c r="A9" i="13"/>
  <c r="A5" i="13"/>
  <c r="A4" i="13"/>
  <c r="A3" i="13"/>
  <c r="A47" i="71"/>
  <c r="A46" i="71"/>
  <c r="A45" i="71"/>
  <c r="A44" i="71"/>
  <c r="A43" i="71"/>
  <c r="A42" i="71"/>
  <c r="A41" i="71"/>
  <c r="A40" i="71"/>
  <c r="A36" i="71"/>
  <c r="A35" i="71"/>
  <c r="A34" i="71"/>
  <c r="A33" i="71"/>
  <c r="A32" i="71"/>
  <c r="A31" i="71"/>
  <c r="A30" i="71"/>
  <c r="A29" i="71"/>
  <c r="A28" i="71"/>
  <c r="A27" i="71"/>
  <c r="A26" i="71"/>
  <c r="A25" i="71"/>
  <c r="A24" i="71"/>
  <c r="A20" i="71"/>
  <c r="A19" i="71"/>
  <c r="A18" i="71"/>
  <c r="A17" i="71"/>
  <c r="A16" i="71"/>
  <c r="A15" i="71"/>
  <c r="A14" i="71"/>
  <c r="A13" i="71"/>
  <c r="A12" i="71"/>
  <c r="A11" i="71"/>
  <c r="A10" i="71"/>
  <c r="A9" i="71"/>
  <c r="A5" i="71"/>
  <c r="A4" i="71"/>
  <c r="A3" i="71"/>
  <c r="F642" i="106" a="1"/>
  <c r="F642" i="106" s="1"/>
  <c r="E642" i="106" a="1"/>
  <c r="E642" i="106" s="1"/>
  <c r="D642" i="106" a="1"/>
  <c r="D642" i="106" s="1"/>
  <c r="F624" i="106" a="1"/>
  <c r="F624" i="106" s="1"/>
  <c r="E624" i="106" a="1"/>
  <c r="E624" i="106" s="1"/>
  <c r="D624" i="106" a="1"/>
  <c r="D624" i="106" s="1"/>
  <c r="F505" i="106" a="1"/>
  <c r="F505" i="106" s="1"/>
  <c r="E505" i="106" a="1"/>
  <c r="E505" i="106" s="1"/>
  <c r="D505" i="106" a="1"/>
  <c r="D505" i="106" s="1"/>
  <c r="F463" i="106" a="1"/>
  <c r="F463" i="106" s="1"/>
  <c r="J463" i="106" s="1" a="1"/>
  <c r="J463" i="106" s="1"/>
  <c r="F445" i="106" a="1"/>
  <c r="F445" i="106" s="1"/>
  <c r="J445" i="106" s="1" a="1"/>
  <c r="J445" i="106" s="1"/>
  <c r="E445" i="106" a="1"/>
  <c r="D445" i="106" a="1"/>
  <c r="D445" i="106" s="1"/>
  <c r="G351" i="106" a="1"/>
  <c r="G351" i="106" s="1"/>
  <c r="L351" i="106" s="1"/>
  <c r="F351" i="106" a="1"/>
  <c r="F351" i="106" s="1"/>
  <c r="E351" i="106" a="1"/>
  <c r="E351" i="106" s="1"/>
  <c r="D351" i="106" a="1"/>
  <c r="D351" i="106" s="1"/>
  <c r="D320" i="106" a="1"/>
  <c r="D320" i="106" s="1"/>
  <c r="AD252" i="106" a="1"/>
  <c r="AD252" i="106" s="1"/>
  <c r="AC252" i="106" a="1"/>
  <c r="Z252" i="106" a="1"/>
  <c r="Z252" i="106" s="1"/>
  <c r="Y252" i="106" a="1"/>
  <c r="V252" i="106" a="1"/>
  <c r="V252" i="106" s="1"/>
  <c r="U252" i="106" a="1"/>
  <c r="R252" i="106" a="1"/>
  <c r="R252" i="106" s="1"/>
  <c r="Q252" i="106" a="1"/>
  <c r="Q252" i="106" s="1"/>
  <c r="P252" i="106" a="1"/>
  <c r="P252" i="106" s="1"/>
  <c r="O252" i="106" a="1"/>
  <c r="O252" i="106" s="1"/>
  <c r="D252" i="106" a="1"/>
  <c r="D252" i="106" s="1"/>
  <c r="D236" i="106" a="1"/>
  <c r="D236" i="106" s="1"/>
  <c r="D32" i="95"/>
  <c r="D25" i="95"/>
  <c r="M39" i="94" a="1"/>
  <c r="M39" i="94" s="1"/>
  <c r="F39" i="94"/>
  <c r="D37" i="94"/>
  <c r="D34" i="94"/>
  <c r="D33" i="94"/>
  <c r="D25" i="94"/>
  <c r="Q17" i="100"/>
  <c r="D75" i="88"/>
  <c r="D74" i="88"/>
  <c r="D73" i="88"/>
  <c r="D72" i="88"/>
  <c r="D71" i="88"/>
  <c r="D70" i="88"/>
  <c r="D69" i="88"/>
  <c r="D68" i="88"/>
  <c r="D134" i="87" a="1"/>
  <c r="D134" i="87" s="1"/>
  <c r="D102" i="87" a="1"/>
  <c r="D102" i="87" s="1"/>
  <c r="G25" i="86" a="1"/>
  <c r="G25" i="86" s="1"/>
  <c r="F25" i="86" a="1"/>
  <c r="F25" i="86" s="1"/>
  <c r="D25" i="86" a="1"/>
  <c r="D25" i="86" s="1"/>
  <c r="H20" i="85" a="1"/>
  <c r="H20" i="85" s="1"/>
  <c r="E20" i="85" a="1"/>
  <c r="E20" i="85" s="1"/>
  <c r="D20" i="85" a="1"/>
  <c r="D20" i="85" s="1"/>
  <c r="N21" i="83" a="1"/>
  <c r="N21" i="83" s="1"/>
  <c r="N11" i="83" a="1"/>
  <c r="N11" i="83" s="1"/>
  <c r="J21" i="93" a="1"/>
  <c r="J21" i="93" s="1"/>
  <c r="G21" i="93" a="1"/>
  <c r="G21" i="93" s="1"/>
  <c r="J20" i="93" a="1"/>
  <c r="J20" i="93" s="1"/>
  <c r="G20" i="93" a="1"/>
  <c r="G20" i="93" s="1"/>
  <c r="J19" i="93" a="1"/>
  <c r="J19" i="93" s="1"/>
  <c r="G19" i="93" a="1"/>
  <c r="G19" i="93" s="1"/>
  <c r="J18" i="93" a="1"/>
  <c r="J18" i="93" s="1"/>
  <c r="G18" i="93" a="1"/>
  <c r="G18" i="93" s="1"/>
  <c r="J17" i="93" a="1"/>
  <c r="J17" i="93" s="1"/>
  <c r="G17" i="93" a="1"/>
  <c r="G17" i="93" s="1"/>
  <c r="E65" i="108" a="1"/>
  <c r="E65" i="108" s="1"/>
  <c r="D65" i="108" a="1"/>
  <c r="D65" i="108" s="1"/>
  <c r="D63" i="108" a="1"/>
  <c r="D63" i="108" s="1"/>
  <c r="D62" i="108" a="1"/>
  <c r="D62" i="108" s="1"/>
  <c r="E60" i="108" a="1"/>
  <c r="E60" i="108" s="1"/>
  <c r="D60" i="108" a="1"/>
  <c r="D60" i="108" s="1"/>
  <c r="D58" i="108" a="1"/>
  <c r="D58" i="108" s="1"/>
  <c r="D57" i="108" a="1"/>
  <c r="D57" i="108" s="1"/>
  <c r="E55" i="108" a="1"/>
  <c r="E55" i="108" s="1"/>
  <c r="D55" i="108" a="1"/>
  <c r="D55" i="108" s="1"/>
  <c r="D53" i="108" a="1"/>
  <c r="D53" i="108" s="1"/>
  <c r="D52" i="108" a="1"/>
  <c r="D52" i="108" s="1"/>
  <c r="E50" i="108" a="1"/>
  <c r="E50" i="108" s="1"/>
  <c r="D50" i="108" a="1"/>
  <c r="D50" i="108" s="1"/>
  <c r="E49" i="108" a="1"/>
  <c r="E49" i="108" s="1"/>
  <c r="D49" i="108" a="1"/>
  <c r="D49" i="108" s="1"/>
  <c r="E48" i="108" a="1"/>
  <c r="E48" i="108" s="1"/>
  <c r="D48" i="108" a="1"/>
  <c r="D48" i="108" s="1"/>
  <c r="E47" i="108" a="1"/>
  <c r="E47" i="108" s="1"/>
  <c r="D47" i="108" a="1"/>
  <c r="D47" i="108" s="1"/>
  <c r="E46" i="108" a="1"/>
  <c r="E46" i="108" s="1"/>
  <c r="D46" i="108" a="1"/>
  <c r="D46" i="108" s="1"/>
  <c r="E45" i="108" a="1"/>
  <c r="E45" i="108" s="1"/>
  <c r="D45" i="108" a="1"/>
  <c r="D45" i="108" s="1"/>
  <c r="E44" i="108"/>
  <c r="E44" i="108" a="1"/>
  <c r="D44" i="108" a="1"/>
  <c r="D44" i="108" s="1"/>
  <c r="D42" i="108" a="1"/>
  <c r="D42" i="108" s="1"/>
  <c r="D41" i="108" a="1"/>
  <c r="D41" i="108" s="1"/>
  <c r="E39" i="108" a="1"/>
  <c r="E39" i="108" s="1"/>
  <c r="D39" i="108" a="1"/>
  <c r="D39" i="108" s="1"/>
  <c r="E38" i="108" a="1"/>
  <c r="E38" i="108" s="1"/>
  <c r="D38" i="108" a="1"/>
  <c r="D38" i="108" s="1"/>
  <c r="E37" i="108" a="1"/>
  <c r="E37" i="108" s="1"/>
  <c r="D37" i="108" a="1"/>
  <c r="D37" i="108" s="1"/>
  <c r="E36" i="108" a="1"/>
  <c r="E36" i="108" s="1"/>
  <c r="D36" i="108" a="1"/>
  <c r="D36" i="108" s="1"/>
  <c r="E35" i="108" a="1"/>
  <c r="E35" i="108" s="1"/>
  <c r="D35" i="108" a="1"/>
  <c r="D35" i="108" s="1"/>
  <c r="E34" i="108" a="1"/>
  <c r="E34" i="108" s="1"/>
  <c r="D34" i="108" a="1"/>
  <c r="D34" i="108" s="1"/>
  <c r="E33" i="108" a="1"/>
  <c r="E33" i="108" s="1"/>
  <c r="D33" i="108" a="1"/>
  <c r="D33" i="108" s="1"/>
  <c r="E32" i="108" a="1"/>
  <c r="E32" i="108" s="1"/>
  <c r="D32" i="108" a="1"/>
  <c r="D32" i="108" s="1"/>
  <c r="D30" i="108" a="1"/>
  <c r="D30" i="108" s="1"/>
  <c r="D29" i="108" a="1"/>
  <c r="D29" i="108" s="1"/>
  <c r="F27" i="108" a="1"/>
  <c r="F27" i="108" s="1"/>
  <c r="E27" i="108" a="1"/>
  <c r="E27" i="108" s="1"/>
  <c r="D27" i="108" a="1"/>
  <c r="D27" i="108" s="1"/>
  <c r="F26" i="108" a="1"/>
  <c r="F26" i="108" s="1"/>
  <c r="E26" i="108" a="1"/>
  <c r="E26" i="108" s="1"/>
  <c r="D26" i="108" a="1"/>
  <c r="D26" i="108" s="1"/>
  <c r="F25" i="108" a="1"/>
  <c r="F25" i="108" s="1"/>
  <c r="E25" i="108" a="1"/>
  <c r="E25" i="108" s="1"/>
  <c r="D25" i="108" a="1"/>
  <c r="D25" i="108" s="1"/>
  <c r="F24" i="108" a="1"/>
  <c r="F24" i="108" s="1"/>
  <c r="E24" i="108" a="1"/>
  <c r="E24" i="108" s="1"/>
  <c r="D24" i="108" a="1"/>
  <c r="D24" i="108" s="1"/>
  <c r="F23" i="108" a="1"/>
  <c r="F23" i="108" s="1"/>
  <c r="E23" i="108" a="1"/>
  <c r="E23" i="108" s="1"/>
  <c r="D23" i="108" a="1"/>
  <c r="D23" i="108" s="1"/>
  <c r="F22" i="108" a="1"/>
  <c r="F22" i="108" s="1"/>
  <c r="E22" i="108" a="1"/>
  <c r="E22" i="108" s="1"/>
  <c r="D22" i="108" a="1"/>
  <c r="D22" i="108" s="1"/>
  <c r="F21" i="108" a="1"/>
  <c r="F21" i="108" s="1"/>
  <c r="E21" i="108" a="1"/>
  <c r="E21" i="108" s="1"/>
  <c r="D21" i="108" a="1"/>
  <c r="D21" i="108" s="1"/>
  <c r="F20" i="108" a="1"/>
  <c r="F20" i="108" s="1"/>
  <c r="E20" i="108" a="1"/>
  <c r="E20" i="108" s="1"/>
  <c r="D20" i="108" a="1"/>
  <c r="D20" i="108" s="1"/>
  <c r="F19" i="108" a="1"/>
  <c r="F19" i="108" s="1"/>
  <c r="E19" i="108" a="1"/>
  <c r="E19" i="108" s="1"/>
  <c r="D19" i="108" a="1"/>
  <c r="D19" i="108" s="1"/>
  <c r="F18" i="108" a="1"/>
  <c r="F18" i="108" s="1"/>
  <c r="E18" i="108" a="1"/>
  <c r="E18" i="108" s="1"/>
  <c r="D18" i="108" a="1"/>
  <c r="D18" i="108" s="1"/>
  <c r="F17" i="108" a="1"/>
  <c r="F17" i="108" s="1"/>
  <c r="E17" i="108" a="1"/>
  <c r="E17" i="108" s="1"/>
  <c r="D17" i="108" a="1"/>
  <c r="D17" i="108" s="1"/>
  <c r="F16" i="108" a="1"/>
  <c r="F16" i="108" s="1"/>
  <c r="E16" i="108" a="1"/>
  <c r="E16" i="108" s="1"/>
  <c r="D16" i="108" a="1"/>
  <c r="D16" i="108" s="1"/>
  <c r="F15" i="108" a="1"/>
  <c r="F15" i="108" s="1"/>
  <c r="E15" i="108" a="1"/>
  <c r="E15" i="108" s="1"/>
  <c r="D15" i="108" a="1"/>
  <c r="D15"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D8" i="108" a="1"/>
  <c r="D8" i="108" s="1"/>
  <c r="D7" i="108" a="1"/>
  <c r="D7" i="108" s="1"/>
  <c r="D6" i="108" a="1"/>
  <c r="D6" i="108" s="1"/>
  <c r="I247" i="107" a="1"/>
  <c r="I247" i="107" s="1"/>
  <c r="H247" i="107" a="1"/>
  <c r="H247" i="107" s="1"/>
  <c r="G247" i="107" a="1"/>
  <c r="G247" i="107" s="1"/>
  <c r="F247" i="107" a="1"/>
  <c r="F247" i="107" s="1"/>
  <c r="E247" i="107" a="1"/>
  <c r="E247" i="107" s="1"/>
  <c r="D247" i="107" a="1"/>
  <c r="D247" i="107" s="1"/>
  <c r="I246" i="107" a="1"/>
  <c r="I246" i="107" s="1"/>
  <c r="H246" i="107" a="1"/>
  <c r="H246" i="107" s="1"/>
  <c r="G246" i="107" a="1"/>
  <c r="G246" i="107" s="1"/>
  <c r="F246" i="107" a="1"/>
  <c r="F246" i="107" s="1"/>
  <c r="E246" i="107" a="1"/>
  <c r="E246" i="107" s="1"/>
  <c r="D246" i="107" a="1"/>
  <c r="D246" i="107" s="1"/>
  <c r="I245" i="107" a="1"/>
  <c r="I245" i="107" s="1"/>
  <c r="H245" i="107" a="1"/>
  <c r="H245" i="107" s="1"/>
  <c r="G245" i="107" a="1"/>
  <c r="G245" i="107" s="1"/>
  <c r="F245" i="107" a="1"/>
  <c r="F245" i="107" s="1"/>
  <c r="E245" i="107" a="1"/>
  <c r="E245" i="107" s="1"/>
  <c r="D245" i="107" a="1"/>
  <c r="D245" i="107" s="1"/>
  <c r="I244" i="107" a="1"/>
  <c r="I244" i="107" s="1"/>
  <c r="H244" i="107" a="1"/>
  <c r="H244" i="107" s="1"/>
  <c r="G244" i="107" a="1"/>
  <c r="G244" i="107" s="1"/>
  <c r="F244" i="107" a="1"/>
  <c r="F244" i="107" s="1"/>
  <c r="E244" i="107" a="1"/>
  <c r="E244" i="107" s="1"/>
  <c r="D244" i="107" a="1"/>
  <c r="D244" i="107" s="1"/>
  <c r="I243" i="107" a="1"/>
  <c r="I243" i="107" s="1"/>
  <c r="H243" i="107" a="1"/>
  <c r="H243" i="107" s="1"/>
  <c r="G243" i="107" a="1"/>
  <c r="G243" i="107" s="1"/>
  <c r="F243" i="107" a="1"/>
  <c r="F243" i="107" s="1"/>
  <c r="M243" i="107" s="1"/>
  <c r="E243" i="107" a="1"/>
  <c r="E243" i="107" s="1"/>
  <c r="L243" i="107" s="1"/>
  <c r="D243" i="107" a="1"/>
  <c r="D243" i="107" s="1"/>
  <c r="I242" i="107" a="1"/>
  <c r="I242" i="107" s="1"/>
  <c r="H242" i="107" a="1"/>
  <c r="H242" i="107" s="1"/>
  <c r="G242" i="107" a="1"/>
  <c r="G242" i="107" s="1"/>
  <c r="F242" i="107" a="1"/>
  <c r="F242" i="107" s="1"/>
  <c r="M242" i="107" s="1"/>
  <c r="E242" i="107" a="1"/>
  <c r="E242" i="107" s="1"/>
  <c r="D242" i="107" a="1"/>
  <c r="D242" i="107" s="1"/>
  <c r="I237" i="107" a="1"/>
  <c r="I237" i="107" s="1"/>
  <c r="H237" i="107" a="1"/>
  <c r="H237" i="107" s="1"/>
  <c r="G237" i="107" a="1"/>
  <c r="G237" i="107" s="1"/>
  <c r="F237" i="107" a="1"/>
  <c r="F237" i="107" s="1"/>
  <c r="E237" i="107" a="1"/>
  <c r="E237" i="107" s="1"/>
  <c r="D237" i="107" a="1"/>
  <c r="D237" i="107" s="1"/>
  <c r="I236" i="107" a="1"/>
  <c r="I236" i="107" s="1"/>
  <c r="H236" i="107" a="1"/>
  <c r="H236" i="107" s="1"/>
  <c r="G236" i="107" a="1"/>
  <c r="G236" i="107" s="1"/>
  <c r="F236" i="107"/>
  <c r="F236" i="107" a="1"/>
  <c r="E236" i="107" a="1"/>
  <c r="E236" i="107" s="1"/>
  <c r="D236" i="107" a="1"/>
  <c r="D236" i="107" s="1"/>
  <c r="I235" i="107" a="1"/>
  <c r="I235" i="107" s="1"/>
  <c r="H235" i="107" a="1"/>
  <c r="H235" i="107" s="1"/>
  <c r="G235" i="107" a="1"/>
  <c r="G235" i="107" s="1"/>
  <c r="F235" i="107" a="1"/>
  <c r="F235" i="107" s="1"/>
  <c r="E235" i="107" a="1"/>
  <c r="E235" i="107" s="1"/>
  <c r="E317" i="106" s="1" a="1"/>
  <c r="E317" i="106" s="1"/>
  <c r="D235" i="107" a="1"/>
  <c r="D235" i="107" s="1"/>
  <c r="I231" i="107" a="1"/>
  <c r="I231" i="107" s="1"/>
  <c r="H231" i="107" a="1"/>
  <c r="H231" i="107" s="1"/>
  <c r="G231" i="107" a="1"/>
  <c r="G231" i="107" s="1"/>
  <c r="F231" i="107" a="1"/>
  <c r="F231" i="107" s="1"/>
  <c r="E231" i="107" a="1"/>
  <c r="E231" i="107" s="1"/>
  <c r="D231" i="107" a="1"/>
  <c r="D231" i="107" s="1"/>
  <c r="I230" i="107" a="1"/>
  <c r="I230" i="107" s="1"/>
  <c r="H230" i="107" a="1"/>
  <c r="H230" i="107" s="1"/>
  <c r="G230" i="107" a="1"/>
  <c r="G230" i="107" s="1"/>
  <c r="F230" i="107" a="1"/>
  <c r="F230" i="107" s="1"/>
  <c r="E230" i="107" a="1"/>
  <c r="E230" i="107" s="1"/>
  <c r="D230" i="107" a="1"/>
  <c r="D230" i="107" s="1"/>
  <c r="I229" i="107" a="1"/>
  <c r="I229" i="107" s="1"/>
  <c r="H229" i="107" a="1"/>
  <c r="H229" i="107" s="1"/>
  <c r="G229" i="107" a="1"/>
  <c r="G229" i="107" s="1"/>
  <c r="F229" i="107" a="1"/>
  <c r="F229" i="107" s="1"/>
  <c r="E229" i="107" a="1"/>
  <c r="E229" i="107" s="1"/>
  <c r="D229" i="107" a="1"/>
  <c r="D229" i="107" s="1"/>
  <c r="I228" i="107" a="1"/>
  <c r="I228" i="107" s="1"/>
  <c r="H228" i="107" a="1"/>
  <c r="H228" i="107" s="1"/>
  <c r="G228" i="107" a="1"/>
  <c r="G228" i="107" s="1"/>
  <c r="F228" i="107"/>
  <c r="F228" i="107" a="1"/>
  <c r="E228" i="107" a="1"/>
  <c r="E228" i="107" s="1"/>
  <c r="D228" i="107" a="1"/>
  <c r="D228" i="107" s="1"/>
  <c r="I227" i="107" a="1"/>
  <c r="I227" i="107" s="1"/>
  <c r="H227" i="107" a="1"/>
  <c r="H227" i="107" s="1"/>
  <c r="G227" i="107" a="1"/>
  <c r="G227" i="107" s="1"/>
  <c r="F227" i="107" a="1"/>
  <c r="F227" i="107" s="1"/>
  <c r="E227" i="107"/>
  <c r="E227" i="107" a="1"/>
  <c r="D227" i="107" a="1"/>
  <c r="D227" i="107" s="1"/>
  <c r="I226" i="107" a="1"/>
  <c r="I226" i="107" s="1"/>
  <c r="H226" i="107" a="1"/>
  <c r="H226" i="107" s="1"/>
  <c r="G226" i="107" a="1"/>
  <c r="G226" i="107" s="1"/>
  <c r="F226" i="107" a="1"/>
  <c r="F226" i="107" s="1"/>
  <c r="E226" i="107" a="1"/>
  <c r="E226" i="107" s="1"/>
  <c r="D226" i="107" a="1"/>
  <c r="D226" i="107" s="1"/>
  <c r="I225" i="107" a="1"/>
  <c r="I225" i="107" s="1"/>
  <c r="H225" i="107" a="1"/>
  <c r="H225" i="107" s="1"/>
  <c r="G225" i="107" a="1"/>
  <c r="G225" i="107" s="1"/>
  <c r="F225" i="107" a="1"/>
  <c r="F225" i="107" s="1"/>
  <c r="E225" i="107" a="1"/>
  <c r="E225" i="107" s="1"/>
  <c r="D225" i="107" a="1"/>
  <c r="D225" i="107" s="1"/>
  <c r="I224" i="107" a="1"/>
  <c r="I224" i="107" s="1"/>
  <c r="H224" i="107"/>
  <c r="H224" i="107" a="1"/>
  <c r="G224" i="107" a="1"/>
  <c r="G224" i="107" s="1"/>
  <c r="F224" i="107" a="1"/>
  <c r="F224" i="107" s="1"/>
  <c r="E224" i="107" a="1"/>
  <c r="E224" i="107" s="1"/>
  <c r="D224" i="107" a="1"/>
  <c r="D224" i="107" s="1"/>
  <c r="I223" i="107" a="1"/>
  <c r="I223" i="107" s="1"/>
  <c r="H223" i="107" a="1"/>
  <c r="H223" i="107" s="1"/>
  <c r="G223" i="107" a="1"/>
  <c r="G223" i="107" s="1"/>
  <c r="F223" i="107" a="1"/>
  <c r="F223" i="107" s="1"/>
  <c r="E223" i="107" a="1"/>
  <c r="E223" i="107" s="1"/>
  <c r="D223" i="107" a="1"/>
  <c r="D223" i="107" s="1"/>
  <c r="I222" i="107" a="1"/>
  <c r="I222" i="107" s="1"/>
  <c r="H222" i="107" a="1"/>
  <c r="H222" i="107" s="1"/>
  <c r="G222" i="107" a="1"/>
  <c r="G222" i="107" s="1"/>
  <c r="F222" i="107" a="1"/>
  <c r="F222" i="107" s="1"/>
  <c r="E222" i="107" a="1"/>
  <c r="E222" i="107" s="1"/>
  <c r="D222" i="107" a="1"/>
  <c r="D222" i="107" s="1"/>
  <c r="I221" i="107" a="1"/>
  <c r="I221" i="107" s="1"/>
  <c r="H221" i="107" a="1"/>
  <c r="H221" i="107" s="1"/>
  <c r="G221" i="107" a="1"/>
  <c r="G221" i="107" s="1"/>
  <c r="F221" i="107" a="1"/>
  <c r="F221" i="107" s="1"/>
  <c r="E221" i="107" a="1"/>
  <c r="E221" i="107" s="1"/>
  <c r="D221" i="107" a="1"/>
  <c r="D221" i="107" s="1"/>
  <c r="I220" i="107" a="1"/>
  <c r="I220" i="107" s="1"/>
  <c r="H220" i="107" a="1"/>
  <c r="H220" i="107" s="1"/>
  <c r="G220" i="107" a="1"/>
  <c r="G220" i="107" s="1"/>
  <c r="F220" i="107" a="1"/>
  <c r="F220" i="107" s="1"/>
  <c r="E220" i="107" a="1"/>
  <c r="E220" i="107" s="1"/>
  <c r="D285" i="106" s="1" a="1"/>
  <c r="D220" i="107" a="1"/>
  <c r="D220" i="107" s="1"/>
  <c r="I216" i="107" a="1"/>
  <c r="I216" i="107" s="1"/>
  <c r="H216" i="107" a="1"/>
  <c r="H216" i="107" s="1"/>
  <c r="G216" i="107" a="1"/>
  <c r="G216" i="107" s="1"/>
  <c r="F216" i="107" a="1"/>
  <c r="F216" i="107" s="1"/>
  <c r="E216" i="107" a="1"/>
  <c r="E216" i="107" s="1"/>
  <c r="D216" i="107"/>
  <c r="D216" i="107" a="1"/>
  <c r="I215" i="107" a="1"/>
  <c r="I215" i="107" s="1"/>
  <c r="H215" i="107" a="1"/>
  <c r="H215" i="107" s="1"/>
  <c r="G215" i="107" a="1"/>
  <c r="G215" i="107" s="1"/>
  <c r="F215" i="107" a="1"/>
  <c r="F215" i="107" s="1"/>
  <c r="E215" i="107" a="1"/>
  <c r="E215" i="107" s="1"/>
  <c r="D215" i="107" a="1"/>
  <c r="D215" i="107" s="1"/>
  <c r="I214" i="107" a="1"/>
  <c r="I214" i="107" s="1"/>
  <c r="H214" i="107" a="1"/>
  <c r="H214" i="107" s="1"/>
  <c r="G214" i="107" a="1"/>
  <c r="G214" i="107" s="1"/>
  <c r="F214" i="107" a="1"/>
  <c r="F214" i="107" s="1"/>
  <c r="E214" i="107" a="1"/>
  <c r="E214" i="107" s="1"/>
  <c r="D214" i="107" a="1"/>
  <c r="D214" i="107" s="1"/>
  <c r="I213" i="107" a="1"/>
  <c r="I213" i="107" s="1"/>
  <c r="H213" i="107" a="1"/>
  <c r="H213" i="107" s="1"/>
  <c r="G213" i="107" a="1"/>
  <c r="G213" i="107" s="1"/>
  <c r="F213" i="107" a="1"/>
  <c r="F213" i="107" s="1"/>
  <c r="E213" i="107" a="1"/>
  <c r="E213" i="107" s="1"/>
  <c r="G388" i="106" s="1" a="1"/>
  <c r="G388" i="106" s="1"/>
  <c r="J388" i="106" s="1" a="1"/>
  <c r="J388" i="106" s="1"/>
  <c r="D213" i="107" a="1"/>
  <c r="D213" i="107" s="1"/>
  <c r="I209" i="107"/>
  <c r="I209" i="107" a="1"/>
  <c r="H209" i="107" a="1"/>
  <c r="H209" i="107" s="1"/>
  <c r="G209" i="107" a="1"/>
  <c r="G209" i="107" s="1"/>
  <c r="F209" i="107" a="1"/>
  <c r="F209" i="107" s="1"/>
  <c r="E209" i="107" a="1"/>
  <c r="E209" i="107" s="1"/>
  <c r="D27" i="104" s="1"/>
  <c r="D485" i="106" s="1"/>
  <c r="D209" i="107" a="1"/>
  <c r="D209" i="107" s="1"/>
  <c r="I208" i="107"/>
  <c r="I208" i="107" a="1"/>
  <c r="H208" i="107" a="1"/>
  <c r="H208" i="107" s="1"/>
  <c r="G208" i="107" a="1"/>
  <c r="G208" i="107" s="1"/>
  <c r="F208" i="107" a="1"/>
  <c r="F208" i="107" s="1"/>
  <c r="E208" i="107" a="1"/>
  <c r="E208" i="107" s="1"/>
  <c r="D26" i="104" s="1"/>
  <c r="D484" i="106" s="1"/>
  <c r="F484" i="106" s="1" a="1"/>
  <c r="F484" i="106" s="1"/>
  <c r="D208" i="107" a="1"/>
  <c r="D208" i="107" s="1"/>
  <c r="I207" i="107" a="1"/>
  <c r="I207" i="107" s="1"/>
  <c r="H207" i="107" a="1"/>
  <c r="H207" i="107" s="1"/>
  <c r="G207" i="107" a="1"/>
  <c r="G207" i="107" s="1"/>
  <c r="F207" i="107" a="1"/>
  <c r="F207" i="107" s="1"/>
  <c r="E207" i="107" a="1"/>
  <c r="E207" i="107" s="1"/>
  <c r="D25" i="104" s="1"/>
  <c r="D483" i="106" s="1"/>
  <c r="F483" i="106" s="1" a="1"/>
  <c r="F483" i="106" s="1"/>
  <c r="D207" i="107" a="1"/>
  <c r="D207" i="107" s="1"/>
  <c r="I206" i="107" a="1"/>
  <c r="I206" i="107" s="1"/>
  <c r="H206" i="107" a="1"/>
  <c r="H206" i="107" s="1"/>
  <c r="G206" i="107" a="1"/>
  <c r="G206" i="107" s="1"/>
  <c r="F206" i="107" a="1"/>
  <c r="F206" i="107" s="1"/>
  <c r="E206" i="107" a="1"/>
  <c r="E206" i="107" s="1"/>
  <c r="D206" i="107" a="1"/>
  <c r="D206" i="107" s="1"/>
  <c r="I205" i="107" a="1"/>
  <c r="I205" i="107" s="1"/>
  <c r="H205" i="107" a="1"/>
  <c r="H205" i="107" s="1"/>
  <c r="G205" i="107" a="1"/>
  <c r="G205" i="107" s="1"/>
  <c r="F205" i="107" a="1"/>
  <c r="F205" i="107" s="1"/>
  <c r="E205" i="107" a="1"/>
  <c r="E205" i="107" s="1"/>
  <c r="D24" i="104" s="1"/>
  <c r="D482" i="106" s="1"/>
  <c r="F482" i="106" s="1" a="1"/>
  <c r="F482" i="106" s="1"/>
  <c r="D205" i="107" a="1"/>
  <c r="D205" i="107" s="1"/>
  <c r="I204" i="107" a="1"/>
  <c r="I204" i="107" s="1"/>
  <c r="H204" i="107" a="1"/>
  <c r="H204" i="107" s="1"/>
  <c r="G204" i="107" a="1"/>
  <c r="G204" i="107" s="1"/>
  <c r="F204" i="107" a="1"/>
  <c r="F204" i="107" s="1"/>
  <c r="E204" i="107" a="1"/>
  <c r="E204" i="107" s="1"/>
  <c r="D23" i="104" s="1"/>
  <c r="D481" i="106" s="1"/>
  <c r="F481" i="106" s="1" a="1"/>
  <c r="F481" i="106" s="1"/>
  <c r="D204" i="107" a="1"/>
  <c r="D204" i="107" s="1"/>
  <c r="I203" i="107" a="1"/>
  <c r="I203" i="107" s="1"/>
  <c r="H203" i="107" a="1"/>
  <c r="H203" i="107" s="1"/>
  <c r="G203" i="107" a="1"/>
  <c r="G203" i="107" s="1"/>
  <c r="F203" i="107" a="1"/>
  <c r="F203" i="107" s="1"/>
  <c r="E203" i="107" a="1"/>
  <c r="E203" i="107" s="1"/>
  <c r="D203" i="107" a="1"/>
  <c r="D203" i="107" s="1"/>
  <c r="I202" i="107" a="1"/>
  <c r="I202" i="107" s="1"/>
  <c r="H202" i="107" a="1"/>
  <c r="H202" i="107" s="1"/>
  <c r="G202" i="107" a="1"/>
  <c r="G202" i="107" s="1"/>
  <c r="F202" i="107" a="1"/>
  <c r="F202" i="107" s="1"/>
  <c r="E202" i="107" a="1"/>
  <c r="E202" i="107" s="1"/>
  <c r="D202" i="107" a="1"/>
  <c r="D202" i="107" s="1"/>
  <c r="M198" i="107" a="1"/>
  <c r="M198" i="107" s="1"/>
  <c r="L198" i="107" a="1"/>
  <c r="L198" i="107" s="1"/>
  <c r="K198" i="107" a="1"/>
  <c r="K198" i="107" s="1"/>
  <c r="F198" i="107" a="1"/>
  <c r="F198" i="107" s="1"/>
  <c r="E198" i="107" a="1"/>
  <c r="E198" i="107" s="1"/>
  <c r="D198" i="107" a="1"/>
  <c r="D198" i="107" s="1"/>
  <c r="M197" i="107" a="1"/>
  <c r="M197" i="107" s="1"/>
  <c r="L197" i="107" a="1"/>
  <c r="L197" i="107" s="1"/>
  <c r="K197" i="107" a="1"/>
  <c r="K197" i="107" s="1"/>
  <c r="F197" i="107" a="1"/>
  <c r="F197" i="107" s="1"/>
  <c r="E197" i="107" a="1"/>
  <c r="E197" i="107" s="1"/>
  <c r="D197" i="107" a="1"/>
  <c r="D197" i="107" s="1"/>
  <c r="M196" i="107" a="1"/>
  <c r="M196" i="107" s="1"/>
  <c r="L196" i="107" a="1"/>
  <c r="L196" i="107" s="1"/>
  <c r="K196" i="107" a="1"/>
  <c r="K196" i="107" s="1"/>
  <c r="F196" i="107" a="1"/>
  <c r="F196" i="107" s="1"/>
  <c r="E196" i="107" a="1"/>
  <c r="E196" i="107" s="1"/>
  <c r="D196" i="107" a="1"/>
  <c r="D196" i="107" s="1"/>
  <c r="M195" i="107" a="1"/>
  <c r="M195" i="107" s="1"/>
  <c r="L195" i="107" a="1"/>
  <c r="L195" i="107" s="1"/>
  <c r="K195" i="107" a="1"/>
  <c r="K195" i="107" s="1"/>
  <c r="F195" i="107" a="1"/>
  <c r="F195" i="107" s="1"/>
  <c r="E195" i="107" a="1"/>
  <c r="E195" i="107" s="1"/>
  <c r="D195" i="107" a="1"/>
  <c r="D195" i="107" s="1"/>
  <c r="M194" i="107" a="1"/>
  <c r="M194" i="107" s="1"/>
  <c r="L194" i="107" a="1"/>
  <c r="L194" i="107" s="1"/>
  <c r="K194" i="107" a="1"/>
  <c r="K194" i="107" s="1"/>
  <c r="F194" i="107" a="1"/>
  <c r="F194" i="107" s="1"/>
  <c r="E194" i="107" a="1"/>
  <c r="E194" i="107" s="1"/>
  <c r="D194" i="107" a="1"/>
  <c r="D194" i="107" s="1"/>
  <c r="M193" i="107" a="1"/>
  <c r="M193" i="107" s="1"/>
  <c r="L193" i="107" a="1"/>
  <c r="L193" i="107" s="1"/>
  <c r="K193" i="107" a="1"/>
  <c r="K193" i="107" s="1"/>
  <c r="F193" i="107" a="1"/>
  <c r="F193" i="107" s="1"/>
  <c r="E193" i="107" a="1"/>
  <c r="E193" i="107" s="1"/>
  <c r="D193" i="107" a="1"/>
  <c r="D193" i="107" s="1"/>
  <c r="M192" i="107" a="1"/>
  <c r="M192" i="107" s="1"/>
  <c r="L192" i="107" a="1"/>
  <c r="L192" i="107" s="1"/>
  <c r="K192" i="107" a="1"/>
  <c r="K192" i="107" s="1"/>
  <c r="F192" i="107" a="1"/>
  <c r="F192" i="107" s="1"/>
  <c r="E192" i="107" a="1"/>
  <c r="E192" i="107" s="1"/>
  <c r="D192" i="107" a="1"/>
  <c r="D192" i="107" s="1"/>
  <c r="M191" i="107" a="1"/>
  <c r="M191" i="107" s="1"/>
  <c r="L191" i="107" a="1"/>
  <c r="L191" i="107" s="1"/>
  <c r="K191" i="107" a="1"/>
  <c r="K191" i="107" s="1"/>
  <c r="F191" i="107"/>
  <c r="F191" i="107" a="1"/>
  <c r="E191" i="107" a="1"/>
  <c r="E191" i="107" s="1"/>
  <c r="D191" i="107" a="1"/>
  <c r="D191" i="107" s="1"/>
  <c r="M190" i="107" a="1"/>
  <c r="M190" i="107" s="1"/>
  <c r="L190" i="107" a="1"/>
  <c r="L190" i="107" s="1"/>
  <c r="K190" i="107" a="1"/>
  <c r="K190" i="107" s="1"/>
  <c r="F190" i="107" a="1"/>
  <c r="F190" i="107" s="1"/>
  <c r="E190" i="107" a="1"/>
  <c r="E190" i="107" s="1"/>
  <c r="D190" i="107" a="1"/>
  <c r="D190" i="107" s="1"/>
  <c r="M189" i="107" a="1"/>
  <c r="M189" i="107" s="1"/>
  <c r="L189" i="107" a="1"/>
  <c r="L189" i="107" s="1"/>
  <c r="K189" i="107" a="1"/>
  <c r="K189" i="107" s="1"/>
  <c r="F189" i="107" a="1"/>
  <c r="F189" i="107" s="1"/>
  <c r="E189" i="107" a="1"/>
  <c r="E189" i="107" s="1"/>
  <c r="D189" i="107"/>
  <c r="D189" i="107" a="1"/>
  <c r="M188" i="107" a="1"/>
  <c r="M188" i="107" s="1"/>
  <c r="L188" i="107" a="1"/>
  <c r="L188" i="107" s="1"/>
  <c r="K188" i="107" a="1"/>
  <c r="K188" i="107" s="1"/>
  <c r="F188" i="107" a="1"/>
  <c r="F188" i="107" s="1"/>
  <c r="E188" i="107" a="1"/>
  <c r="E188" i="107" s="1"/>
  <c r="D188" i="107" a="1"/>
  <c r="D188" i="107" s="1"/>
  <c r="M187" i="107" a="1"/>
  <c r="M187" i="107" s="1"/>
  <c r="L187" i="107" a="1"/>
  <c r="L187" i="107" s="1"/>
  <c r="K187" i="107"/>
  <c r="K187" i="107" a="1"/>
  <c r="F187" i="107" a="1"/>
  <c r="F187" i="107" s="1"/>
  <c r="E187" i="107" a="1"/>
  <c r="E187" i="107" s="1"/>
  <c r="D187" i="107" a="1"/>
  <c r="D187" i="107" s="1"/>
  <c r="M186" i="107" a="1"/>
  <c r="M186" i="107" s="1"/>
  <c r="L186" i="107" a="1"/>
  <c r="L186" i="107" s="1"/>
  <c r="K186" i="107" a="1"/>
  <c r="K186" i="107" s="1"/>
  <c r="F186" i="107" a="1"/>
  <c r="F186" i="107" s="1"/>
  <c r="E186" i="107" a="1"/>
  <c r="E186" i="107" s="1"/>
  <c r="D186" i="107" a="1"/>
  <c r="D186" i="107" s="1"/>
  <c r="M185" i="107" a="1"/>
  <c r="M185" i="107" s="1"/>
  <c r="L185" i="107" a="1"/>
  <c r="L185" i="107" s="1"/>
  <c r="K185" i="107" a="1"/>
  <c r="K185" i="107" s="1"/>
  <c r="F185" i="107" a="1"/>
  <c r="F185" i="107" s="1"/>
  <c r="E185" i="107" a="1"/>
  <c r="E185" i="107" s="1"/>
  <c r="D185" i="107" a="1"/>
  <c r="D185" i="107" s="1"/>
  <c r="M184" i="107" a="1"/>
  <c r="M184" i="107" s="1"/>
  <c r="L184" i="107" a="1"/>
  <c r="L184" i="107" s="1"/>
  <c r="K184" i="107" a="1"/>
  <c r="K184" i="107" s="1"/>
  <c r="F184" i="107" a="1"/>
  <c r="F184" i="107" s="1"/>
  <c r="E184" i="107" a="1"/>
  <c r="E184" i="107" s="1"/>
  <c r="D184" i="107" a="1"/>
  <c r="D184" i="107" s="1"/>
  <c r="M183" i="107" a="1"/>
  <c r="M183" i="107" s="1"/>
  <c r="L183" i="107" a="1"/>
  <c r="L183" i="107" s="1"/>
  <c r="K183" i="107" a="1"/>
  <c r="K183" i="107" s="1"/>
  <c r="F183" i="107" a="1"/>
  <c r="F183" i="107" s="1"/>
  <c r="E183" i="107" a="1"/>
  <c r="E183" i="107" s="1"/>
  <c r="D183" i="107"/>
  <c r="D183" i="107" a="1"/>
  <c r="M182" i="107" a="1"/>
  <c r="M182" i="107" s="1"/>
  <c r="L182" i="107" a="1"/>
  <c r="L182" i="107" s="1"/>
  <c r="K182" i="107" a="1"/>
  <c r="K182" i="107" s="1"/>
  <c r="F182" i="107" a="1"/>
  <c r="F182" i="107" s="1"/>
  <c r="E182" i="107" a="1"/>
  <c r="E182" i="107" s="1"/>
  <c r="D182" i="107" a="1"/>
  <c r="D182" i="107" s="1"/>
  <c r="M181" i="107" a="1"/>
  <c r="M181" i="107" s="1"/>
  <c r="L181" i="107" a="1"/>
  <c r="L181" i="107" s="1"/>
  <c r="K181" i="107" a="1"/>
  <c r="K181" i="107" s="1"/>
  <c r="F181" i="107" a="1"/>
  <c r="F181" i="107" s="1"/>
  <c r="E181" i="107" a="1"/>
  <c r="E181" i="107" s="1"/>
  <c r="D181" i="107" a="1"/>
  <c r="D181" i="107" s="1"/>
  <c r="M180" i="107" a="1"/>
  <c r="M180" i="107" s="1"/>
  <c r="L180" i="107" a="1"/>
  <c r="L180" i="107" s="1"/>
  <c r="K180" i="107" a="1"/>
  <c r="K180" i="107" s="1"/>
  <c r="F180" i="107" a="1"/>
  <c r="F180" i="107" s="1"/>
  <c r="E180" i="107" a="1"/>
  <c r="E180" i="107" s="1"/>
  <c r="D180" i="107" a="1"/>
  <c r="D180" i="107" s="1"/>
  <c r="M179" i="107" a="1"/>
  <c r="M179" i="107" s="1"/>
  <c r="L179" i="107" a="1"/>
  <c r="L179" i="107" s="1"/>
  <c r="K179" i="107" a="1"/>
  <c r="K179" i="107" s="1"/>
  <c r="F179" i="107" a="1"/>
  <c r="F179" i="107" s="1"/>
  <c r="E179" i="107" a="1"/>
  <c r="E179" i="107" s="1"/>
  <c r="D179" i="107" a="1"/>
  <c r="D179" i="107" s="1"/>
  <c r="M178" i="107" a="1"/>
  <c r="M178" i="107" s="1"/>
  <c r="L178" i="107" a="1"/>
  <c r="L178" i="107" s="1"/>
  <c r="K178" i="107" a="1"/>
  <c r="K178" i="107" s="1"/>
  <c r="F178" i="107" a="1"/>
  <c r="F178" i="107" s="1"/>
  <c r="E178" i="107" a="1"/>
  <c r="E178" i="107" s="1"/>
  <c r="D178" i="107" a="1"/>
  <c r="D178" i="107" s="1"/>
  <c r="M177" i="107" a="1"/>
  <c r="M177" i="107" s="1"/>
  <c r="L177" i="107" a="1"/>
  <c r="L177" i="107" s="1"/>
  <c r="K177" i="107" a="1"/>
  <c r="K177" i="107" s="1"/>
  <c r="F177" i="107" a="1"/>
  <c r="F177" i="107" s="1"/>
  <c r="E177" i="107" a="1"/>
  <c r="E177" i="107" s="1"/>
  <c r="D177" i="107" a="1"/>
  <c r="D177" i="107" s="1"/>
  <c r="M176" i="107" a="1"/>
  <c r="M176" i="107" s="1"/>
  <c r="L176" i="107" a="1"/>
  <c r="L176" i="107" s="1"/>
  <c r="K176" i="107" a="1"/>
  <c r="K176" i="107" s="1"/>
  <c r="F176" i="107" a="1"/>
  <c r="F176" i="107" s="1"/>
  <c r="E176" i="107" a="1"/>
  <c r="E176" i="107" s="1"/>
  <c r="D176" i="107" a="1"/>
  <c r="D176" i="107" s="1"/>
  <c r="M175" i="107" a="1"/>
  <c r="M175" i="107" s="1"/>
  <c r="L175" i="107" a="1"/>
  <c r="L175" i="107" s="1"/>
  <c r="K175" i="107" a="1"/>
  <c r="K175" i="107" s="1"/>
  <c r="F175" i="107" a="1"/>
  <c r="F175" i="107" s="1"/>
  <c r="E175" i="107" a="1"/>
  <c r="E175" i="107" s="1"/>
  <c r="D175" i="107" a="1"/>
  <c r="D175" i="107" s="1"/>
  <c r="M174" i="107" a="1"/>
  <c r="M174" i="107" s="1"/>
  <c r="L174" i="107" a="1"/>
  <c r="L174" i="107" s="1"/>
  <c r="K174" i="107" a="1"/>
  <c r="K174" i="107" s="1"/>
  <c r="F174" i="107" a="1"/>
  <c r="F174" i="107" s="1"/>
  <c r="E174" i="107" a="1"/>
  <c r="E174" i="107" s="1"/>
  <c r="D174" i="107" a="1"/>
  <c r="D174" i="107" s="1"/>
  <c r="I170" i="107" a="1"/>
  <c r="I170" i="107" s="1"/>
  <c r="H170" i="107" a="1"/>
  <c r="H170" i="107" s="1"/>
  <c r="G170" i="107" a="1"/>
  <c r="G170" i="107" s="1"/>
  <c r="F170" i="107" a="1"/>
  <c r="F170" i="107" s="1"/>
  <c r="E170" i="107" a="1"/>
  <c r="E170" i="107" s="1"/>
  <c r="D170" i="107" a="1"/>
  <c r="D170" i="107" s="1"/>
  <c r="I169" i="107" a="1"/>
  <c r="I169" i="107" s="1"/>
  <c r="H169" i="107" a="1"/>
  <c r="H169" i="107" s="1"/>
  <c r="G169" i="107" a="1"/>
  <c r="G169" i="107" s="1"/>
  <c r="F169" i="107" a="1"/>
  <c r="F169" i="107" s="1"/>
  <c r="E169" i="107" a="1"/>
  <c r="E169" i="107" s="1"/>
  <c r="D169" i="107" a="1"/>
  <c r="D169" i="107" s="1"/>
  <c r="I168" i="107" a="1"/>
  <c r="I168" i="107" s="1"/>
  <c r="H168" i="107" a="1"/>
  <c r="H168" i="107" s="1"/>
  <c r="G168" i="107" a="1"/>
  <c r="G168" i="107" s="1"/>
  <c r="F168" i="107" a="1"/>
  <c r="F168" i="107" s="1"/>
  <c r="E168" i="107" a="1"/>
  <c r="E168" i="107" s="1"/>
  <c r="F177" i="106" s="1" a="1"/>
  <c r="F177" i="106" s="1"/>
  <c r="D168" i="107" a="1"/>
  <c r="D168" i="107" s="1"/>
  <c r="I165" i="107" a="1"/>
  <c r="I165" i="107" s="1"/>
  <c r="H165" i="107" a="1"/>
  <c r="H165" i="107" s="1"/>
  <c r="G165" i="107" a="1"/>
  <c r="G165" i="107" s="1"/>
  <c r="F165" i="107" a="1"/>
  <c r="F165" i="107" s="1"/>
  <c r="E165" i="107" a="1"/>
  <c r="E165" i="107" s="1"/>
  <c r="D165" i="107" a="1"/>
  <c r="D165" i="107" s="1"/>
  <c r="I164" i="107" a="1"/>
  <c r="I164" i="107" s="1"/>
  <c r="H164" i="107" a="1"/>
  <c r="H164" i="107" s="1"/>
  <c r="G164" i="107" a="1"/>
  <c r="G164" i="107" s="1"/>
  <c r="F164" i="107" a="1"/>
  <c r="F164" i="107" s="1"/>
  <c r="E164" i="107" a="1"/>
  <c r="E164" i="107" s="1"/>
  <c r="D164" i="107" a="1"/>
  <c r="D164" i="107" s="1"/>
  <c r="I163" i="107" a="1"/>
  <c r="I163" i="107" s="1"/>
  <c r="H163" i="107" a="1"/>
  <c r="H163" i="107" s="1"/>
  <c r="G163" i="107" a="1"/>
  <c r="G163" i="107" s="1"/>
  <c r="F163" i="107" a="1"/>
  <c r="F163" i="107" s="1"/>
  <c r="E163" i="107" a="1"/>
  <c r="E163" i="107" s="1"/>
  <c r="D163" i="107" a="1"/>
  <c r="D163" i="107" s="1"/>
  <c r="I162" i="107" a="1"/>
  <c r="I162" i="107" s="1"/>
  <c r="H162" i="107" a="1"/>
  <c r="H162" i="107" s="1"/>
  <c r="G162" i="107" a="1"/>
  <c r="G162" i="107" s="1"/>
  <c r="F162" i="107" a="1"/>
  <c r="F162" i="107" s="1"/>
  <c r="E162" i="107" a="1"/>
  <c r="E162" i="107" s="1"/>
  <c r="F140" i="106" s="1" a="1"/>
  <c r="F140" i="106" s="1"/>
  <c r="D162" i="107" a="1"/>
  <c r="D162" i="107" s="1"/>
  <c r="I158" i="107" a="1"/>
  <c r="I158" i="107" s="1"/>
  <c r="H158" i="107" a="1"/>
  <c r="H158" i="107" s="1"/>
  <c r="G158" i="107" a="1"/>
  <c r="G158" i="107" s="1"/>
  <c r="F158" i="107" a="1"/>
  <c r="F158" i="107" s="1"/>
  <c r="P158" i="107" s="1"/>
  <c r="E158" i="107" a="1"/>
  <c r="E158" i="107" s="1"/>
  <c r="O158" i="107" s="1"/>
  <c r="Q157" i="107" s="1"/>
  <c r="D158" i="107" a="1"/>
  <c r="D158" i="107" s="1"/>
  <c r="I157" i="107" a="1"/>
  <c r="I157" i="107" s="1"/>
  <c r="H157" i="107" a="1"/>
  <c r="H157" i="107" s="1"/>
  <c r="G157" i="107" a="1"/>
  <c r="G157" i="107" s="1"/>
  <c r="F157" i="107" a="1"/>
  <c r="F157" i="107" s="1"/>
  <c r="M157" i="107" s="1"/>
  <c r="E157" i="107" a="1"/>
  <c r="E157" i="107" s="1"/>
  <c r="L157" i="107" s="1"/>
  <c r="N156" i="107" s="1"/>
  <c r="D157" i="107" a="1"/>
  <c r="D157" i="107" s="1"/>
  <c r="I156" i="107" a="1"/>
  <c r="I156" i="107" s="1"/>
  <c r="H156" i="107" a="1"/>
  <c r="H156" i="107" s="1"/>
  <c r="G156" i="107" a="1"/>
  <c r="G156" i="107" s="1"/>
  <c r="F156" i="107" a="1"/>
  <c r="F156" i="107" s="1"/>
  <c r="P156" i="107" s="1"/>
  <c r="E156" i="107" a="1"/>
  <c r="E156" i="107" s="1"/>
  <c r="O156" i="107" s="1"/>
  <c r="Q155" i="107" s="1"/>
  <c r="D156" i="107" a="1"/>
  <c r="D156" i="107" s="1"/>
  <c r="I155" i="107" a="1"/>
  <c r="I155" i="107" s="1"/>
  <c r="H155" i="107" a="1"/>
  <c r="H155" i="107" s="1"/>
  <c r="G155" i="107" a="1"/>
  <c r="G155" i="107" s="1"/>
  <c r="F155" i="107" a="1"/>
  <c r="F155" i="107" s="1"/>
  <c r="M155" i="107" s="1"/>
  <c r="E155" i="107" a="1"/>
  <c r="E155" i="107" s="1"/>
  <c r="L155" i="107" s="1"/>
  <c r="N154" i="107" s="1"/>
  <c r="D155" i="107" a="1"/>
  <c r="D155" i="107" s="1"/>
  <c r="I154" i="107" a="1"/>
  <c r="I154" i="107" s="1"/>
  <c r="H154" i="107" a="1"/>
  <c r="H154" i="107" s="1"/>
  <c r="G154" i="107" a="1"/>
  <c r="G154" i="107" s="1"/>
  <c r="F154" i="107" a="1"/>
  <c r="F154" i="107" s="1"/>
  <c r="P154" i="107" s="1"/>
  <c r="E154" i="107" a="1"/>
  <c r="E154" i="107" s="1"/>
  <c r="O154" i="107" s="1"/>
  <c r="Q153" i="107" s="1"/>
  <c r="D154" i="107" a="1"/>
  <c r="D154" i="107" s="1"/>
  <c r="I153" i="107" a="1"/>
  <c r="I153" i="107" s="1"/>
  <c r="H153" i="107" a="1"/>
  <c r="H153" i="107" s="1"/>
  <c r="G153" i="107" a="1"/>
  <c r="G153" i="107" s="1"/>
  <c r="F153" i="107" a="1"/>
  <c r="F153" i="107" s="1"/>
  <c r="M153" i="107" s="1"/>
  <c r="E153" i="107" a="1"/>
  <c r="E153" i="107" s="1"/>
  <c r="L153" i="107" s="1"/>
  <c r="N152" i="107" s="1"/>
  <c r="D153" i="107" a="1"/>
  <c r="D153" i="107" s="1"/>
  <c r="I152" i="107" a="1"/>
  <c r="I152" i="107" s="1"/>
  <c r="H152" i="107" a="1"/>
  <c r="H152" i="107" s="1"/>
  <c r="G152" i="107" a="1"/>
  <c r="G152" i="107" s="1"/>
  <c r="F152" i="107" a="1"/>
  <c r="F152" i="107" s="1"/>
  <c r="P152" i="107" s="1"/>
  <c r="E152" i="107" a="1"/>
  <c r="E152" i="107" s="1"/>
  <c r="O152" i="107" s="1"/>
  <c r="Q151" i="107" s="1"/>
  <c r="D152" i="107" a="1"/>
  <c r="D152" i="107" s="1"/>
  <c r="I151" i="107" a="1"/>
  <c r="I151" i="107" s="1"/>
  <c r="H151" i="107" a="1"/>
  <c r="H151" i="107" s="1"/>
  <c r="G151" i="107" a="1"/>
  <c r="G151" i="107" s="1"/>
  <c r="F151" i="107" a="1"/>
  <c r="F151" i="107" s="1"/>
  <c r="M151" i="107" s="1"/>
  <c r="E151" i="107" a="1"/>
  <c r="E151" i="107" s="1"/>
  <c r="L151" i="107" s="1"/>
  <c r="N150" i="107" s="1"/>
  <c r="D151" i="107" a="1"/>
  <c r="D151" i="107" s="1"/>
  <c r="I150" i="107" a="1"/>
  <c r="I150" i="107" s="1"/>
  <c r="H150" i="107" a="1"/>
  <c r="H150" i="107" s="1"/>
  <c r="G150" i="107" a="1"/>
  <c r="G150" i="107" s="1"/>
  <c r="F150" i="107" a="1"/>
  <c r="F150" i="107" s="1"/>
  <c r="P150" i="107" s="1"/>
  <c r="E150" i="107" a="1"/>
  <c r="E150" i="107" s="1"/>
  <c r="O150" i="107" s="1"/>
  <c r="D150" i="107" a="1"/>
  <c r="D150" i="107" s="1"/>
  <c r="I149" i="107" a="1"/>
  <c r="I149" i="107" s="1"/>
  <c r="H149" i="107" a="1"/>
  <c r="H149" i="107" s="1"/>
  <c r="G149" i="107" a="1"/>
  <c r="G149" i="107" s="1"/>
  <c r="F149" i="107" a="1"/>
  <c r="F149" i="107" s="1"/>
  <c r="P149" i="107" s="1"/>
  <c r="E149" i="107" a="1"/>
  <c r="E149" i="107" s="1"/>
  <c r="O149" i="107" s="1"/>
  <c r="D149" i="107" a="1"/>
  <c r="D149" i="107" s="1"/>
  <c r="I148" i="107" a="1"/>
  <c r="I148" i="107" s="1"/>
  <c r="H148" i="107" a="1"/>
  <c r="H148" i="107" s="1"/>
  <c r="G148" i="107" a="1"/>
  <c r="G148" i="107" s="1"/>
  <c r="F148" i="107" a="1"/>
  <c r="F148" i="107" s="1"/>
  <c r="P148" i="107" s="1"/>
  <c r="E148" i="107" a="1"/>
  <c r="E148" i="107" s="1"/>
  <c r="O148" i="107" s="1"/>
  <c r="D148" i="107" a="1"/>
  <c r="D148" i="107" s="1"/>
  <c r="I147" i="107" a="1"/>
  <c r="I147" i="107" s="1"/>
  <c r="H147" i="107" a="1"/>
  <c r="H147" i="107" s="1"/>
  <c r="G147" i="107" a="1"/>
  <c r="G147" i="107" s="1"/>
  <c r="F147" i="107" a="1"/>
  <c r="F147" i="107" s="1"/>
  <c r="P147" i="107" s="1"/>
  <c r="E147" i="107" a="1"/>
  <c r="E147" i="107" s="1"/>
  <c r="O147" i="107" s="1"/>
  <c r="D147" i="107" a="1"/>
  <c r="D147" i="107" s="1"/>
  <c r="I146" i="107" a="1"/>
  <c r="I146" i="107" s="1"/>
  <c r="H146" i="107" a="1"/>
  <c r="H146" i="107" s="1"/>
  <c r="G146" i="107" a="1"/>
  <c r="G146" i="107" s="1"/>
  <c r="F146" i="107" a="1"/>
  <c r="F146" i="107" s="1"/>
  <c r="P146" i="107" s="1"/>
  <c r="E146" i="107" a="1"/>
  <c r="E146" i="107" s="1"/>
  <c r="O146" i="107" s="1"/>
  <c r="D146" i="107" a="1"/>
  <c r="D146" i="107" s="1"/>
  <c r="I145" i="107" a="1"/>
  <c r="I145" i="107" s="1"/>
  <c r="H145" i="107" a="1"/>
  <c r="H145" i="107" s="1"/>
  <c r="G145" i="107" a="1"/>
  <c r="G145" i="107" s="1"/>
  <c r="F145" i="107" a="1"/>
  <c r="F145" i="107" s="1"/>
  <c r="P145" i="107" s="1"/>
  <c r="E145" i="107" a="1"/>
  <c r="E145" i="107" s="1"/>
  <c r="O145" i="107" s="1"/>
  <c r="D145" i="107" a="1"/>
  <c r="D145" i="107" s="1"/>
  <c r="I144" i="107" a="1"/>
  <c r="I144" i="107" s="1"/>
  <c r="H144" i="107" a="1"/>
  <c r="H144" i="107" s="1"/>
  <c r="G144" i="107" a="1"/>
  <c r="G144" i="107" s="1"/>
  <c r="F144" i="107" a="1"/>
  <c r="F144" i="107" s="1"/>
  <c r="P144" i="107" s="1"/>
  <c r="E144" i="107" a="1"/>
  <c r="E144" i="107" s="1"/>
  <c r="O144" i="107" s="1"/>
  <c r="Q143" i="107" s="1"/>
  <c r="D144" i="107" a="1"/>
  <c r="D144" i="107" s="1"/>
  <c r="I143" i="107" a="1"/>
  <c r="I143" i="107" s="1"/>
  <c r="H143" i="107" a="1"/>
  <c r="H143" i="107" s="1"/>
  <c r="G143" i="107" a="1"/>
  <c r="G143" i="107" s="1"/>
  <c r="F143" i="107" a="1"/>
  <c r="F143" i="107" s="1"/>
  <c r="M143" i="107" s="1"/>
  <c r="E143" i="107" a="1"/>
  <c r="E143" i="107" s="1"/>
  <c r="L143" i="107" s="1"/>
  <c r="D143" i="107" a="1"/>
  <c r="D143" i="107" s="1"/>
  <c r="I142" i="107" a="1"/>
  <c r="I142" i="107" s="1"/>
  <c r="H142" i="107" a="1"/>
  <c r="H142" i="107" s="1"/>
  <c r="G142" i="107" a="1"/>
  <c r="G142" i="107" s="1"/>
  <c r="F142" i="107" a="1"/>
  <c r="F142" i="107" s="1"/>
  <c r="M142" i="107" s="1"/>
  <c r="E142" i="107" a="1"/>
  <c r="E142" i="107" s="1"/>
  <c r="L142" i="107" s="1"/>
  <c r="D142" i="107" a="1"/>
  <c r="D142" i="107" s="1"/>
  <c r="I141" i="107" a="1"/>
  <c r="I141" i="107" s="1"/>
  <c r="H141" i="107" a="1"/>
  <c r="H141" i="107" s="1"/>
  <c r="G141" i="107"/>
  <c r="G141" i="107" a="1"/>
  <c r="F141" i="107" a="1"/>
  <c r="F141" i="107" s="1"/>
  <c r="M141" i="107" s="1"/>
  <c r="E141" i="107" a="1"/>
  <c r="E141" i="107" s="1"/>
  <c r="L141" i="107" s="1"/>
  <c r="D141" i="107" a="1"/>
  <c r="D141" i="107" s="1"/>
  <c r="I140" i="107" a="1"/>
  <c r="I140" i="107" s="1"/>
  <c r="H140" i="107" a="1"/>
  <c r="H140" i="107" s="1"/>
  <c r="G140" i="107" a="1"/>
  <c r="G140" i="107" s="1"/>
  <c r="F140" i="107" a="1"/>
  <c r="F140" i="107" s="1"/>
  <c r="M140" i="107" s="1"/>
  <c r="E140" i="107" a="1"/>
  <c r="E140" i="107" s="1"/>
  <c r="L140" i="107" s="1"/>
  <c r="D140" i="107" a="1"/>
  <c r="D140" i="107" s="1"/>
  <c r="I139" i="107" a="1"/>
  <c r="I139" i="107" s="1"/>
  <c r="H139" i="107" a="1"/>
  <c r="H139" i="107" s="1"/>
  <c r="G139" i="107" a="1"/>
  <c r="G139" i="107" s="1"/>
  <c r="F139" i="107" a="1"/>
  <c r="F139" i="107" s="1"/>
  <c r="M139" i="107" s="1"/>
  <c r="E139" i="107" a="1"/>
  <c r="E139" i="107" s="1"/>
  <c r="L139" i="107" s="1"/>
  <c r="D139" i="107" a="1"/>
  <c r="D139" i="107" s="1"/>
  <c r="I138" i="107" a="1"/>
  <c r="I138" i="107" s="1"/>
  <c r="H138" i="107" a="1"/>
  <c r="H138" i="107" s="1"/>
  <c r="G138" i="107" a="1"/>
  <c r="G138" i="107" s="1"/>
  <c r="F138" i="107" a="1"/>
  <c r="F138" i="107" s="1"/>
  <c r="M138" i="107" s="1"/>
  <c r="E138" i="107" a="1"/>
  <c r="E138" i="107" s="1"/>
  <c r="L138" i="107" s="1"/>
  <c r="N137" i="107" s="1"/>
  <c r="D138" i="107" a="1"/>
  <c r="D138" i="107" s="1"/>
  <c r="I137" i="107" a="1"/>
  <c r="I137" i="107" s="1"/>
  <c r="H137" i="107" a="1"/>
  <c r="H137" i="107" s="1"/>
  <c r="G137" i="107" a="1"/>
  <c r="G137" i="107" s="1"/>
  <c r="F137" i="107" a="1"/>
  <c r="F137" i="107" s="1"/>
  <c r="P137" i="107" s="1"/>
  <c r="E137" i="107" a="1"/>
  <c r="E137" i="107" s="1"/>
  <c r="O137" i="107" s="1"/>
  <c r="D137" i="107" a="1"/>
  <c r="D137" i="107" s="1"/>
  <c r="I136" i="107" a="1"/>
  <c r="I136" i="107" s="1"/>
  <c r="H136" i="107" a="1"/>
  <c r="H136" i="107" s="1"/>
  <c r="G136" i="107" a="1"/>
  <c r="G136" i="107" s="1"/>
  <c r="F136" i="107" a="1"/>
  <c r="F136" i="107" s="1"/>
  <c r="P136" i="107" s="1"/>
  <c r="E136" i="107" a="1"/>
  <c r="E136" i="107" s="1"/>
  <c r="O136" i="107" s="1"/>
  <c r="D136" i="107" a="1"/>
  <c r="D136" i="107" s="1"/>
  <c r="I135" i="107" a="1"/>
  <c r="I135" i="107" s="1"/>
  <c r="H135" i="107" a="1"/>
  <c r="H135" i="107" s="1"/>
  <c r="G135" i="107" a="1"/>
  <c r="G135" i="107" s="1"/>
  <c r="F135" i="107" a="1"/>
  <c r="F135" i="107" s="1"/>
  <c r="P135" i="107" s="1"/>
  <c r="E135" i="107" a="1"/>
  <c r="E135" i="107" s="1"/>
  <c r="O135" i="107" s="1"/>
  <c r="D135" i="107" a="1"/>
  <c r="D135" i="107" s="1"/>
  <c r="I134" i="107" a="1"/>
  <c r="I134" i="107" s="1"/>
  <c r="H134" i="107" a="1"/>
  <c r="H134" i="107" s="1"/>
  <c r="G134" i="107" a="1"/>
  <c r="G134" i="107" s="1"/>
  <c r="F134" i="107" a="1"/>
  <c r="F134" i="107" s="1"/>
  <c r="P134" i="107" s="1"/>
  <c r="E134" i="107" a="1"/>
  <c r="E134" i="107" s="1"/>
  <c r="O134" i="107" s="1"/>
  <c r="D134" i="107" a="1"/>
  <c r="D134" i="107" s="1"/>
  <c r="I133" i="107" a="1"/>
  <c r="I133" i="107" s="1"/>
  <c r="H133" i="107" a="1"/>
  <c r="H133" i="107" s="1"/>
  <c r="G133" i="107" a="1"/>
  <c r="G133" i="107" s="1"/>
  <c r="F133" i="107" a="1"/>
  <c r="F133" i="107" s="1"/>
  <c r="P133" i="107" s="1"/>
  <c r="E133" i="107" a="1"/>
  <c r="E133" i="107" s="1"/>
  <c r="O133" i="107" s="1"/>
  <c r="D133" i="107" a="1"/>
  <c r="D133" i="107" s="1"/>
  <c r="I132" i="107" a="1"/>
  <c r="I132" i="107" s="1"/>
  <c r="H132" i="107" a="1"/>
  <c r="H132" i="107" s="1"/>
  <c r="G132" i="107" a="1"/>
  <c r="G132" i="107" s="1"/>
  <c r="F132" i="107" a="1"/>
  <c r="F132" i="107" s="1"/>
  <c r="P132" i="107" s="1"/>
  <c r="E132" i="107" a="1"/>
  <c r="E132" i="107" s="1"/>
  <c r="O132" i="107" s="1"/>
  <c r="D132" i="107" a="1"/>
  <c r="D132" i="107" s="1"/>
  <c r="I131" i="107" a="1"/>
  <c r="I131" i="107" s="1"/>
  <c r="H131" i="107" a="1"/>
  <c r="H131" i="107" s="1"/>
  <c r="G131" i="107" a="1"/>
  <c r="G131" i="107" s="1"/>
  <c r="F131" i="107" a="1"/>
  <c r="F131" i="107" s="1"/>
  <c r="P131" i="107" s="1"/>
  <c r="E131" i="107" a="1"/>
  <c r="E131" i="107" s="1"/>
  <c r="O131" i="107" s="1"/>
  <c r="Q130" i="107" s="1"/>
  <c r="D131" i="107" a="1"/>
  <c r="D131" i="107" s="1"/>
  <c r="I130" i="107" a="1"/>
  <c r="I130" i="107" s="1"/>
  <c r="H130" i="107" a="1"/>
  <c r="H130" i="107" s="1"/>
  <c r="G130" i="107" a="1"/>
  <c r="G130" i="107" s="1"/>
  <c r="F130" i="107" a="1"/>
  <c r="F130" i="107" s="1"/>
  <c r="M130" i="107" s="1"/>
  <c r="E130" i="107" a="1"/>
  <c r="E130" i="107" s="1"/>
  <c r="L130" i="107" s="1"/>
  <c r="D130" i="107" a="1"/>
  <c r="D130" i="107" s="1"/>
  <c r="I129" i="107" a="1"/>
  <c r="I129" i="107" s="1"/>
  <c r="H129" i="107" a="1"/>
  <c r="H129" i="107" s="1"/>
  <c r="G129" i="107" a="1"/>
  <c r="G129" i="107" s="1"/>
  <c r="F129" i="107" a="1"/>
  <c r="F129" i="107" s="1"/>
  <c r="M129" i="107" s="1"/>
  <c r="E129" i="107" a="1"/>
  <c r="E129" i="107" s="1"/>
  <c r="L129" i="107" s="1"/>
  <c r="D129" i="107" a="1"/>
  <c r="D129" i="107" s="1"/>
  <c r="I128" i="107" a="1"/>
  <c r="I128" i="107" s="1"/>
  <c r="H128" i="107" a="1"/>
  <c r="H128" i="107" s="1"/>
  <c r="G128" i="107" a="1"/>
  <c r="G128" i="107" s="1"/>
  <c r="F128" i="107" a="1"/>
  <c r="F128" i="107" s="1"/>
  <c r="M128" i="107" s="1"/>
  <c r="E128" i="107" a="1"/>
  <c r="E128" i="107" s="1"/>
  <c r="L128" i="107" s="1"/>
  <c r="D128" i="107" a="1"/>
  <c r="D128" i="107" s="1"/>
  <c r="I127" i="107" a="1"/>
  <c r="I127" i="107" s="1"/>
  <c r="H127" i="107" a="1"/>
  <c r="H127" i="107" s="1"/>
  <c r="G127" i="107" a="1"/>
  <c r="G127" i="107" s="1"/>
  <c r="F127" i="107" a="1"/>
  <c r="F127" i="107" s="1"/>
  <c r="M127" i="107" s="1"/>
  <c r="E127" i="107" a="1"/>
  <c r="E127" i="107" s="1"/>
  <c r="L127" i="107" s="1"/>
  <c r="D127" i="107" a="1"/>
  <c r="D127" i="107" s="1"/>
  <c r="I126" i="107" a="1"/>
  <c r="I126" i="107" s="1"/>
  <c r="H126" i="107" a="1"/>
  <c r="H126" i="107" s="1"/>
  <c r="G126" i="107" a="1"/>
  <c r="G126" i="107" s="1"/>
  <c r="F126" i="107" a="1"/>
  <c r="F126" i="107" s="1"/>
  <c r="M126" i="107" s="1"/>
  <c r="E126" i="107" a="1"/>
  <c r="E126" i="107" s="1"/>
  <c r="L126" i="107" s="1"/>
  <c r="D126" i="107" a="1"/>
  <c r="D126" i="107" s="1"/>
  <c r="I125" i="107" a="1"/>
  <c r="I125" i="107" s="1"/>
  <c r="H125" i="107" a="1"/>
  <c r="H125" i="107" s="1"/>
  <c r="G125" i="107" a="1"/>
  <c r="G125" i="107" s="1"/>
  <c r="F125" i="107" a="1"/>
  <c r="F125" i="107" s="1"/>
  <c r="M125" i="107" s="1"/>
  <c r="E125" i="107" a="1"/>
  <c r="E125" i="107" s="1"/>
  <c r="L125" i="107" s="1"/>
  <c r="N124" i="107" s="1"/>
  <c r="D125" i="107" a="1"/>
  <c r="D125" i="107" s="1"/>
  <c r="I124" i="107" a="1"/>
  <c r="I124" i="107" s="1"/>
  <c r="H124" i="107" a="1"/>
  <c r="H124" i="107" s="1"/>
  <c r="G124" i="107" a="1"/>
  <c r="G124" i="107" s="1"/>
  <c r="F124" i="107" a="1"/>
  <c r="F124" i="107" s="1"/>
  <c r="P124" i="107" s="1"/>
  <c r="E124" i="107" a="1"/>
  <c r="E124" i="107" s="1"/>
  <c r="O124" i="107" s="1"/>
  <c r="D124" i="107" a="1"/>
  <c r="D124" i="107" s="1"/>
  <c r="I123" i="107" a="1"/>
  <c r="I123" i="107" s="1"/>
  <c r="H123" i="107" a="1"/>
  <c r="H123" i="107" s="1"/>
  <c r="G123" i="107" a="1"/>
  <c r="G123" i="107" s="1"/>
  <c r="F123" i="107" a="1"/>
  <c r="F123" i="107" s="1"/>
  <c r="P123" i="107" s="1"/>
  <c r="E123" i="107" a="1"/>
  <c r="E123" i="107" s="1"/>
  <c r="O123" i="107" s="1"/>
  <c r="D123" i="107" a="1"/>
  <c r="D123" i="107" s="1"/>
  <c r="I122" i="107" a="1"/>
  <c r="I122" i="107" s="1"/>
  <c r="H122" i="107" a="1"/>
  <c r="H122" i="107" s="1"/>
  <c r="G122" i="107" a="1"/>
  <c r="G122" i="107" s="1"/>
  <c r="F122" i="107" a="1"/>
  <c r="F122" i="107" s="1"/>
  <c r="P122" i="107" s="1"/>
  <c r="E122" i="107" a="1"/>
  <c r="E122" i="107" s="1"/>
  <c r="O122" i="107" s="1"/>
  <c r="D122" i="107" a="1"/>
  <c r="D122" i="107" s="1"/>
  <c r="I121" i="107" a="1"/>
  <c r="I121" i="107" s="1"/>
  <c r="H121" i="107" a="1"/>
  <c r="H121" i="107" s="1"/>
  <c r="G121" i="107" a="1"/>
  <c r="G121" i="107" s="1"/>
  <c r="F121" i="107" a="1"/>
  <c r="F121" i="107" s="1"/>
  <c r="P121" i="107" s="1"/>
  <c r="E121" i="107" a="1"/>
  <c r="E121" i="107" s="1"/>
  <c r="O121" i="107" s="1"/>
  <c r="D121" i="107" a="1"/>
  <c r="D121" i="107" s="1"/>
  <c r="I120" i="107" a="1"/>
  <c r="I120" i="107" s="1"/>
  <c r="H120" i="107" a="1"/>
  <c r="H120" i="107" s="1"/>
  <c r="G120" i="107" a="1"/>
  <c r="G120" i="107" s="1"/>
  <c r="F120" i="107" a="1"/>
  <c r="F120" i="107" s="1"/>
  <c r="P120" i="107" s="1"/>
  <c r="E120" i="107" a="1"/>
  <c r="E120" i="107" s="1"/>
  <c r="O120" i="107" s="1"/>
  <c r="D120" i="107" a="1"/>
  <c r="D120" i="107" s="1"/>
  <c r="I119" i="107" a="1"/>
  <c r="I119" i="107" s="1"/>
  <c r="H119" i="107" a="1"/>
  <c r="H119" i="107" s="1"/>
  <c r="G119" i="107" a="1"/>
  <c r="G119" i="107" s="1"/>
  <c r="F119" i="107" a="1"/>
  <c r="F119" i="107" s="1"/>
  <c r="P119" i="107" s="1"/>
  <c r="E119" i="107" a="1"/>
  <c r="E119" i="107" s="1"/>
  <c r="O119" i="107" s="1"/>
  <c r="D119" i="107" a="1"/>
  <c r="D119" i="107" s="1"/>
  <c r="I118" i="107" a="1"/>
  <c r="I118" i="107" s="1"/>
  <c r="H118" i="107" a="1"/>
  <c r="H118" i="107" s="1"/>
  <c r="G118" i="107" a="1"/>
  <c r="G118" i="107" s="1"/>
  <c r="F118" i="107" a="1"/>
  <c r="F118" i="107" s="1"/>
  <c r="P118" i="107" s="1"/>
  <c r="E118" i="107" a="1"/>
  <c r="E118" i="107" s="1"/>
  <c r="O118" i="107" s="1"/>
  <c r="Q117" i="107" s="1"/>
  <c r="D118" i="107" a="1"/>
  <c r="D118" i="107" s="1"/>
  <c r="I117" i="107" a="1"/>
  <c r="I117" i="107" s="1"/>
  <c r="H117" i="107" a="1"/>
  <c r="H117" i="107" s="1"/>
  <c r="G117" i="107" a="1"/>
  <c r="G117" i="107" s="1"/>
  <c r="F117" i="107" a="1"/>
  <c r="F117" i="107" s="1"/>
  <c r="M117" i="107" s="1"/>
  <c r="E117" i="107" a="1"/>
  <c r="E117" i="107" s="1"/>
  <c r="L117" i="107" s="1"/>
  <c r="D117" i="107" a="1"/>
  <c r="D117" i="107" s="1"/>
  <c r="I116" i="107" a="1"/>
  <c r="I116" i="107" s="1"/>
  <c r="H116" i="107" a="1"/>
  <c r="H116" i="107" s="1"/>
  <c r="G116" i="107" a="1"/>
  <c r="G116" i="107" s="1"/>
  <c r="F116" i="107" a="1"/>
  <c r="F116" i="107" s="1"/>
  <c r="M116" i="107" s="1"/>
  <c r="E116" i="107" a="1"/>
  <c r="E116" i="107" s="1"/>
  <c r="L116" i="107" s="1"/>
  <c r="D116" i="107" a="1"/>
  <c r="D116" i="107" s="1"/>
  <c r="I115" i="107" a="1"/>
  <c r="I115" i="107" s="1"/>
  <c r="H115" i="107" a="1"/>
  <c r="H115" i="107" s="1"/>
  <c r="G115" i="107" a="1"/>
  <c r="G115" i="107" s="1"/>
  <c r="F115" i="107" a="1"/>
  <c r="F115" i="107" s="1"/>
  <c r="M115" i="107" s="1"/>
  <c r="E115" i="107" a="1"/>
  <c r="E115" i="107" s="1"/>
  <c r="L115" i="107" s="1"/>
  <c r="D115" i="107" a="1"/>
  <c r="D115" i="107" s="1"/>
  <c r="I114" i="107" a="1"/>
  <c r="I114" i="107" s="1"/>
  <c r="H114" i="107" a="1"/>
  <c r="H114" i="107" s="1"/>
  <c r="G114" i="107" a="1"/>
  <c r="G114" i="107" s="1"/>
  <c r="F114" i="107" a="1"/>
  <c r="F114" i="107" s="1"/>
  <c r="M114" i="107" s="1"/>
  <c r="E114" i="107" a="1"/>
  <c r="E114" i="107" s="1"/>
  <c r="L114" i="107" s="1"/>
  <c r="D114" i="107" a="1"/>
  <c r="D114" i="107" s="1"/>
  <c r="I113" i="107" a="1"/>
  <c r="I113" i="107" s="1"/>
  <c r="H113" i="107" a="1"/>
  <c r="H113" i="107" s="1"/>
  <c r="G113" i="107" a="1"/>
  <c r="G113" i="107" s="1"/>
  <c r="F113" i="107" a="1"/>
  <c r="F113" i="107" s="1"/>
  <c r="M113" i="107" s="1"/>
  <c r="E113" i="107" a="1"/>
  <c r="E113" i="107" s="1"/>
  <c r="L113" i="107" s="1"/>
  <c r="D113" i="107" a="1"/>
  <c r="D113" i="107" s="1"/>
  <c r="I112" i="107" a="1"/>
  <c r="I112" i="107" s="1"/>
  <c r="H112" i="107" a="1"/>
  <c r="H112" i="107" s="1"/>
  <c r="G112" i="107" a="1"/>
  <c r="G112" i="107" s="1"/>
  <c r="F112" i="107" a="1"/>
  <c r="F112" i="107" s="1"/>
  <c r="M112" i="107" s="1"/>
  <c r="E112" i="107" a="1"/>
  <c r="E112" i="107" s="1"/>
  <c r="L112" i="107" s="1"/>
  <c r="D112" i="107" a="1"/>
  <c r="D112" i="107" s="1"/>
  <c r="I111" i="107" a="1"/>
  <c r="I111" i="107" s="1"/>
  <c r="H111" i="107" a="1"/>
  <c r="H111" i="107" s="1"/>
  <c r="G111" i="107" a="1"/>
  <c r="G111" i="107" s="1"/>
  <c r="F111" i="107" a="1"/>
  <c r="F111" i="107" s="1"/>
  <c r="M111" i="107" s="1"/>
  <c r="E111" i="107" a="1"/>
  <c r="E111" i="107" s="1"/>
  <c r="L111" i="107" s="1"/>
  <c r="D111" i="107"/>
  <c r="D111" i="107" a="1"/>
  <c r="I110" i="107" a="1"/>
  <c r="I110" i="107" s="1"/>
  <c r="H110" i="107" a="1"/>
  <c r="H110" i="107" s="1"/>
  <c r="G110" i="107" a="1"/>
  <c r="G110" i="107" s="1"/>
  <c r="F110" i="107" a="1"/>
  <c r="F110" i="107" s="1"/>
  <c r="M110" i="107" s="1"/>
  <c r="E110" i="107" a="1"/>
  <c r="E110" i="107" s="1"/>
  <c r="L110" i="107" s="1"/>
  <c r="N109" i="107" s="1"/>
  <c r="D110" i="107" a="1"/>
  <c r="D110" i="107" s="1"/>
  <c r="I109" i="107" a="1"/>
  <c r="I109" i="107" s="1"/>
  <c r="H109" i="107" a="1"/>
  <c r="H109" i="107" s="1"/>
  <c r="G109" i="107" a="1"/>
  <c r="G109" i="107" s="1"/>
  <c r="F109" i="107" a="1"/>
  <c r="F109" i="107" s="1"/>
  <c r="P109" i="107" s="1"/>
  <c r="E109" i="107" a="1"/>
  <c r="E109" i="107" s="1"/>
  <c r="O109" i="107" s="1"/>
  <c r="D109" i="107" a="1"/>
  <c r="D109" i="107" s="1"/>
  <c r="I108" i="107" a="1"/>
  <c r="I108" i="107" s="1"/>
  <c r="H108" i="107" a="1"/>
  <c r="H108" i="107" s="1"/>
  <c r="G108" i="107" a="1"/>
  <c r="G108" i="107" s="1"/>
  <c r="F108" i="107" a="1"/>
  <c r="F108" i="107" s="1"/>
  <c r="P108" i="107" s="1"/>
  <c r="E108" i="107" a="1"/>
  <c r="E108" i="107" s="1"/>
  <c r="O108" i="107" s="1"/>
  <c r="D108" i="107" a="1"/>
  <c r="D108" i="107" s="1"/>
  <c r="I107" i="107" a="1"/>
  <c r="I107" i="107" s="1"/>
  <c r="H107" i="107" a="1"/>
  <c r="H107" i="107" s="1"/>
  <c r="G107" i="107" a="1"/>
  <c r="G107" i="107" s="1"/>
  <c r="F107" i="107" a="1"/>
  <c r="F107" i="107" s="1"/>
  <c r="P107" i="107" s="1"/>
  <c r="E107" i="107" a="1"/>
  <c r="E107" i="107" s="1"/>
  <c r="O107" i="107" s="1"/>
  <c r="D107" i="107" a="1"/>
  <c r="D107" i="107" s="1"/>
  <c r="I106" i="107" a="1"/>
  <c r="I106" i="107" s="1"/>
  <c r="H106" i="107" a="1"/>
  <c r="H106" i="107" s="1"/>
  <c r="G106" i="107" a="1"/>
  <c r="G106" i="107" s="1"/>
  <c r="F106" i="107" a="1"/>
  <c r="F106" i="107" s="1"/>
  <c r="P106" i="107" s="1"/>
  <c r="E106" i="107" a="1"/>
  <c r="E106" i="107" s="1"/>
  <c r="O106" i="107" s="1"/>
  <c r="D106" i="107" a="1"/>
  <c r="D106" i="107" s="1"/>
  <c r="I105" i="107" a="1"/>
  <c r="I105" i="107" s="1"/>
  <c r="H105" i="107" a="1"/>
  <c r="H105" i="107" s="1"/>
  <c r="G105" i="107" a="1"/>
  <c r="G105" i="107" s="1"/>
  <c r="F105" i="107" a="1"/>
  <c r="F105" i="107" s="1"/>
  <c r="P105" i="107" s="1"/>
  <c r="E105" i="107" a="1"/>
  <c r="E105" i="107" s="1"/>
  <c r="O105" i="107" s="1"/>
  <c r="Q104" i="107" s="1"/>
  <c r="D105" i="107" a="1"/>
  <c r="D105" i="107" s="1"/>
  <c r="I104" i="107" a="1"/>
  <c r="I104" i="107" s="1"/>
  <c r="H104" i="107" a="1"/>
  <c r="H104" i="107" s="1"/>
  <c r="G104" i="107" a="1"/>
  <c r="G104" i="107" s="1"/>
  <c r="F104" i="107" a="1"/>
  <c r="F104" i="107" s="1"/>
  <c r="M104" i="107" s="1"/>
  <c r="E104" i="107" a="1"/>
  <c r="E104" i="107" s="1"/>
  <c r="L104" i="107" s="1"/>
  <c r="D104" i="107" a="1"/>
  <c r="D104" i="107" s="1"/>
  <c r="I103" i="107" a="1"/>
  <c r="I103" i="107" s="1"/>
  <c r="H103" i="107" a="1"/>
  <c r="H103" i="107" s="1"/>
  <c r="G103" i="107" a="1"/>
  <c r="G103" i="107" s="1"/>
  <c r="F103" i="107" a="1"/>
  <c r="F103" i="107" s="1"/>
  <c r="M103" i="107" s="1"/>
  <c r="E103" i="107" a="1"/>
  <c r="E103" i="107" s="1"/>
  <c r="L103" i="107" s="1"/>
  <c r="D103" i="107" a="1"/>
  <c r="D103" i="107" s="1"/>
  <c r="I102" i="107" a="1"/>
  <c r="I102" i="107" s="1"/>
  <c r="H102" i="107" a="1"/>
  <c r="H102" i="107" s="1"/>
  <c r="G102" i="107" a="1"/>
  <c r="G102" i="107" s="1"/>
  <c r="F102" i="107" a="1"/>
  <c r="F102" i="107" s="1"/>
  <c r="M102" i="107" s="1"/>
  <c r="E102" i="107" a="1"/>
  <c r="E102" i="107" s="1"/>
  <c r="L102" i="107" s="1"/>
  <c r="D102" i="107" a="1"/>
  <c r="D102" i="107" s="1"/>
  <c r="I101" i="107" a="1"/>
  <c r="I101" i="107" s="1"/>
  <c r="H101" i="107" a="1"/>
  <c r="H101" i="107" s="1"/>
  <c r="G101" i="107" a="1"/>
  <c r="G101" i="107" s="1"/>
  <c r="F101" i="107" a="1"/>
  <c r="F101" i="107" s="1"/>
  <c r="M101" i="107" s="1"/>
  <c r="E101" i="107" a="1"/>
  <c r="E101" i="107" s="1"/>
  <c r="L101" i="107" s="1"/>
  <c r="D101" i="107" a="1"/>
  <c r="D101" i="107" s="1"/>
  <c r="I100" i="107" a="1"/>
  <c r="I100" i="107" s="1"/>
  <c r="H100" i="107"/>
  <c r="H100" i="107" a="1"/>
  <c r="G100" i="107"/>
  <c r="G100" i="107" a="1"/>
  <c r="F100" i="107"/>
  <c r="M100" i="107" s="1"/>
  <c r="F100" i="107" a="1"/>
  <c r="E100" i="107" a="1"/>
  <c r="E100" i="107" s="1"/>
  <c r="L100" i="107" s="1"/>
  <c r="D100" i="107" a="1"/>
  <c r="D100" i="107" s="1"/>
  <c r="I99" i="107" a="1"/>
  <c r="I99" i="107" s="1"/>
  <c r="H99" i="107" a="1"/>
  <c r="H99" i="107" s="1"/>
  <c r="G99" i="107" a="1"/>
  <c r="G99" i="107" s="1"/>
  <c r="F99" i="107"/>
  <c r="M99" i="107" s="1"/>
  <c r="F99" i="107" a="1"/>
  <c r="E99" i="107"/>
  <c r="L99" i="107" s="1"/>
  <c r="E99" i="107" a="1"/>
  <c r="D99" i="107" a="1"/>
  <c r="D99" i="107" s="1"/>
  <c r="I98" i="107" a="1"/>
  <c r="I98" i="107" s="1"/>
  <c r="H98" i="107" a="1"/>
  <c r="H98" i="107" s="1"/>
  <c r="G98" i="107" a="1"/>
  <c r="G98" i="107" s="1"/>
  <c r="F98" i="107" a="1"/>
  <c r="F98" i="107" s="1"/>
  <c r="M98" i="107" s="1"/>
  <c r="E98" i="107" a="1"/>
  <c r="E98" i="107" s="1"/>
  <c r="L98" i="107" s="1"/>
  <c r="N97" i="107" s="1"/>
  <c r="D98" i="107" a="1"/>
  <c r="D98" i="107" s="1"/>
  <c r="I97" i="107" a="1"/>
  <c r="I97" i="107" s="1"/>
  <c r="H97" i="107" a="1"/>
  <c r="H97" i="107" s="1"/>
  <c r="G97" i="107" a="1"/>
  <c r="G97" i="107" s="1"/>
  <c r="F97" i="107" a="1"/>
  <c r="F97" i="107" s="1"/>
  <c r="P97" i="107" s="1"/>
  <c r="E97" i="107" a="1"/>
  <c r="E97" i="107" s="1"/>
  <c r="O97" i="107" s="1"/>
  <c r="D97" i="107" a="1"/>
  <c r="D97" i="107" s="1"/>
  <c r="I96" i="107" a="1"/>
  <c r="I96" i="107" s="1"/>
  <c r="H96" i="107" a="1"/>
  <c r="H96" i="107" s="1"/>
  <c r="G96" i="107" a="1"/>
  <c r="G96" i="107" s="1"/>
  <c r="F96" i="107" a="1"/>
  <c r="F96" i="107" s="1"/>
  <c r="P96" i="107" s="1"/>
  <c r="E96" i="107" a="1"/>
  <c r="E96" i="107" s="1"/>
  <c r="O96" i="107" s="1"/>
  <c r="D96" i="107" a="1"/>
  <c r="D96" i="107" s="1"/>
  <c r="I95" i="107" a="1"/>
  <c r="I95" i="107" s="1"/>
  <c r="H95" i="107" a="1"/>
  <c r="H95" i="107" s="1"/>
  <c r="G95" i="107" a="1"/>
  <c r="G95" i="107" s="1"/>
  <c r="F95" i="107" a="1"/>
  <c r="F95" i="107" s="1"/>
  <c r="P95" i="107" s="1"/>
  <c r="E95" i="107" a="1"/>
  <c r="E95" i="107" s="1"/>
  <c r="O95" i="107" s="1"/>
  <c r="D95" i="107" a="1"/>
  <c r="D95" i="107" s="1"/>
  <c r="I94" i="107" a="1"/>
  <c r="I94" i="107" s="1"/>
  <c r="H94" i="107" a="1"/>
  <c r="H94" i="107" s="1"/>
  <c r="G94" i="107" a="1"/>
  <c r="G94" i="107" s="1"/>
  <c r="F94" i="107" a="1"/>
  <c r="F94" i="107" s="1"/>
  <c r="P94" i="107" s="1"/>
  <c r="E94" i="107" a="1"/>
  <c r="E94" i="107" s="1"/>
  <c r="O94" i="107" s="1"/>
  <c r="D94" i="107" a="1"/>
  <c r="D94" i="107" s="1"/>
  <c r="I93" i="107" a="1"/>
  <c r="I93" i="107" s="1"/>
  <c r="H93" i="107" a="1"/>
  <c r="H93" i="107" s="1"/>
  <c r="G93" i="107" a="1"/>
  <c r="G93" i="107" s="1"/>
  <c r="F93" i="107" a="1"/>
  <c r="F93" i="107" s="1"/>
  <c r="P93" i="107" s="1"/>
  <c r="E93" i="107" a="1"/>
  <c r="E93" i="107" s="1"/>
  <c r="O93" i="107" s="1"/>
  <c r="D93" i="107" a="1"/>
  <c r="D93" i="107" s="1"/>
  <c r="I92" i="107" a="1"/>
  <c r="I92" i="107" s="1"/>
  <c r="H92" i="107" a="1"/>
  <c r="H92" i="107" s="1"/>
  <c r="G92" i="107" a="1"/>
  <c r="G92" i="107" s="1"/>
  <c r="F92" i="107" a="1"/>
  <c r="F92" i="107" s="1"/>
  <c r="P92" i="107" s="1"/>
  <c r="E92" i="107" a="1"/>
  <c r="E92" i="107" s="1"/>
  <c r="O92" i="107" s="1"/>
  <c r="D92" i="107" a="1"/>
  <c r="D92" i="107" s="1"/>
  <c r="I91" i="107" a="1"/>
  <c r="I91" i="107" s="1"/>
  <c r="H91" i="107" a="1"/>
  <c r="H91" i="107" s="1"/>
  <c r="G91" i="107" a="1"/>
  <c r="G91" i="107" s="1"/>
  <c r="F91" i="107" a="1"/>
  <c r="F91" i="107" s="1"/>
  <c r="P91" i="107" s="1"/>
  <c r="E91" i="107" a="1"/>
  <c r="E91" i="107" s="1"/>
  <c r="O91" i="107" s="1"/>
  <c r="D91" i="107" a="1"/>
  <c r="D91" i="107" s="1"/>
  <c r="I90" i="107" a="1"/>
  <c r="I90" i="107" s="1"/>
  <c r="H90" i="107" a="1"/>
  <c r="H90" i="107" s="1"/>
  <c r="G90" i="107" a="1"/>
  <c r="G90" i="107" s="1"/>
  <c r="F90" i="107" a="1"/>
  <c r="F90" i="107" s="1"/>
  <c r="P90" i="107" s="1"/>
  <c r="E90" i="107" a="1"/>
  <c r="E90" i="107" s="1"/>
  <c r="D90" i="107" a="1"/>
  <c r="D90" i="107" s="1"/>
  <c r="I86" i="107" a="1"/>
  <c r="I86" i="107" s="1"/>
  <c r="H86" i="107" a="1"/>
  <c r="H86" i="107" s="1"/>
  <c r="G86" i="107" a="1"/>
  <c r="G86" i="107" s="1"/>
  <c r="F86" i="107" a="1"/>
  <c r="F86" i="107" s="1"/>
  <c r="E86" i="107" a="1"/>
  <c r="E86" i="107" s="1"/>
  <c r="D86" i="107" a="1"/>
  <c r="D86" i="107" s="1"/>
  <c r="I85" i="107" a="1"/>
  <c r="I85" i="107" s="1"/>
  <c r="H85" i="107" a="1"/>
  <c r="H85" i="107" s="1"/>
  <c r="G85" i="107" a="1"/>
  <c r="G85" i="107" s="1"/>
  <c r="F85" i="107" a="1"/>
  <c r="F85" i="107" s="1"/>
  <c r="E85" i="107" a="1"/>
  <c r="E85" i="107" s="1"/>
  <c r="D85" i="107" a="1"/>
  <c r="D85" i="107" s="1"/>
  <c r="I84" i="107" a="1"/>
  <c r="I84" i="107" s="1"/>
  <c r="H84" i="107" a="1"/>
  <c r="H84" i="107" s="1"/>
  <c r="G84" i="107" a="1"/>
  <c r="G84" i="107" s="1"/>
  <c r="F84" i="107" a="1"/>
  <c r="F84" i="107" s="1"/>
  <c r="E84" i="107" a="1"/>
  <c r="E84" i="107" s="1"/>
  <c r="D84" i="107" a="1"/>
  <c r="D84" i="107" s="1"/>
  <c r="I83" i="107" a="1"/>
  <c r="I83" i="107" s="1"/>
  <c r="H83" i="107" a="1"/>
  <c r="H83" i="107" s="1"/>
  <c r="G83" i="107" a="1"/>
  <c r="G83" i="107" s="1"/>
  <c r="F83" i="107" a="1"/>
  <c r="F83" i="107" s="1"/>
  <c r="E83" i="107" a="1"/>
  <c r="E83" i="107" s="1"/>
  <c r="D83" i="107" a="1"/>
  <c r="D83" i="107" s="1"/>
  <c r="I80" i="107" a="1"/>
  <c r="I80" i="107" s="1"/>
  <c r="H80" i="107" a="1"/>
  <c r="H80" i="107" s="1"/>
  <c r="G80" i="107" a="1"/>
  <c r="G80" i="107" s="1"/>
  <c r="F80" i="107" a="1"/>
  <c r="F80" i="107" s="1"/>
  <c r="E80" i="107"/>
  <c r="E80" i="107" a="1"/>
  <c r="D80" i="107" a="1"/>
  <c r="D80" i="107" s="1"/>
  <c r="I79" i="107" a="1"/>
  <c r="I79" i="107" s="1"/>
  <c r="H79" i="107" a="1"/>
  <c r="H79" i="107" s="1"/>
  <c r="G79" i="107" a="1"/>
  <c r="G79" i="107" s="1"/>
  <c r="F79" i="107" a="1"/>
  <c r="F79" i="107" s="1"/>
  <c r="E79" i="107" a="1"/>
  <c r="E79" i="107" s="1"/>
  <c r="D79" i="107" a="1"/>
  <c r="D79" i="107" s="1"/>
  <c r="I78" i="107" a="1"/>
  <c r="I78" i="107" s="1"/>
  <c r="H78" i="107" a="1"/>
  <c r="H78" i="107" s="1"/>
  <c r="G78" i="107" a="1"/>
  <c r="G78" i="107" s="1"/>
  <c r="F78" i="107" a="1"/>
  <c r="F78" i="107" s="1"/>
  <c r="E78" i="107" a="1"/>
  <c r="E78" i="107" s="1"/>
  <c r="G451" i="106" s="1" a="1"/>
  <c r="G451" i="106" s="1"/>
  <c r="D78" i="107" a="1"/>
  <c r="D78" i="107" s="1"/>
  <c r="I74" i="107" a="1"/>
  <c r="I74" i="107" s="1"/>
  <c r="H74" i="107" a="1"/>
  <c r="H74" i="107" s="1"/>
  <c r="G74" i="107" a="1"/>
  <c r="G74" i="107" s="1"/>
  <c r="F74" i="107" a="1"/>
  <c r="F74" i="107" s="1"/>
  <c r="E74" i="107" a="1"/>
  <c r="E74" i="107" s="1"/>
  <c r="D74" i="107" a="1"/>
  <c r="D74" i="107" s="1"/>
  <c r="I73" i="107" a="1"/>
  <c r="I73" i="107" s="1"/>
  <c r="H73" i="107" a="1"/>
  <c r="H73" i="107" s="1"/>
  <c r="G73" i="107" a="1"/>
  <c r="G73" i="107" s="1"/>
  <c r="F73" i="107" a="1"/>
  <c r="F73" i="107" s="1"/>
  <c r="E73" i="107" a="1"/>
  <c r="E73" i="107" s="1"/>
  <c r="D73" i="107" a="1"/>
  <c r="D73" i="107" s="1"/>
  <c r="I72" i="107" a="1"/>
  <c r="I72" i="107" s="1"/>
  <c r="H72" i="107" a="1"/>
  <c r="H72" i="107" s="1"/>
  <c r="G72" i="107" a="1"/>
  <c r="G72" i="107" s="1"/>
  <c r="F72" i="107" a="1"/>
  <c r="F72" i="107" s="1"/>
  <c r="E72" i="107" a="1"/>
  <c r="E72" i="107" s="1"/>
  <c r="D72" i="107" a="1"/>
  <c r="D72" i="107" s="1"/>
  <c r="I71" i="107" a="1"/>
  <c r="I71" i="107" s="1"/>
  <c r="H71" i="107" a="1"/>
  <c r="H71" i="107" s="1"/>
  <c r="G71" i="107" a="1"/>
  <c r="G71" i="107" s="1"/>
  <c r="F71" i="107" a="1"/>
  <c r="F71" i="107" s="1"/>
  <c r="E71" i="107" a="1"/>
  <c r="E71" i="107" s="1"/>
  <c r="D71" i="107" a="1"/>
  <c r="D71" i="107" s="1"/>
  <c r="I70" i="107" a="1"/>
  <c r="I70" i="107" s="1"/>
  <c r="H70" i="107" a="1"/>
  <c r="H70" i="107" s="1"/>
  <c r="G70" i="107" a="1"/>
  <c r="G70" i="107" s="1"/>
  <c r="F70" i="107" a="1"/>
  <c r="F70" i="107" s="1"/>
  <c r="E70" i="107" a="1"/>
  <c r="E70" i="107" s="1"/>
  <c r="D70" i="107"/>
  <c r="D70" i="107" a="1"/>
  <c r="I69" i="107" a="1"/>
  <c r="I69" i="107" s="1"/>
  <c r="H69" i="107" a="1"/>
  <c r="H69" i="107" s="1"/>
  <c r="G69" i="107" a="1"/>
  <c r="G69" i="107" s="1"/>
  <c r="F69" i="107" a="1"/>
  <c r="F69" i="107" s="1"/>
  <c r="E69" i="107" a="1"/>
  <c r="E69" i="107" s="1"/>
  <c r="D69" i="107" a="1"/>
  <c r="D69" i="107" s="1"/>
  <c r="I68" i="107" a="1"/>
  <c r="I68" i="107" s="1"/>
  <c r="H68" i="107" a="1"/>
  <c r="H68" i="107" s="1"/>
  <c r="G68" i="107" a="1"/>
  <c r="G68" i="107" s="1"/>
  <c r="F68" i="107" a="1"/>
  <c r="F68" i="107" s="1"/>
  <c r="E68" i="107" a="1"/>
  <c r="E68" i="107" s="1"/>
  <c r="D68" i="107" a="1"/>
  <c r="D68" i="107" s="1"/>
  <c r="I67" i="107" a="1"/>
  <c r="I67" i="107" s="1"/>
  <c r="H67" i="107" a="1"/>
  <c r="H67" i="107" s="1"/>
  <c r="G67" i="107" a="1"/>
  <c r="G67" i="107" s="1"/>
  <c r="F67" i="107" a="1"/>
  <c r="F67" i="107" s="1"/>
  <c r="E67" i="107" a="1"/>
  <c r="E67" i="107" s="1"/>
  <c r="D67" i="107" a="1"/>
  <c r="D67" i="107" s="1"/>
  <c r="I66" i="107" a="1"/>
  <c r="I66" i="107" s="1"/>
  <c r="H66" i="107" a="1"/>
  <c r="H66" i="107" s="1"/>
  <c r="G66" i="107" a="1"/>
  <c r="G66" i="107" s="1"/>
  <c r="F66" i="107" a="1"/>
  <c r="F66" i="107" s="1"/>
  <c r="E66" i="107" a="1"/>
  <c r="E66" i="107" s="1"/>
  <c r="D66" i="107" a="1"/>
  <c r="D66" i="107" s="1"/>
  <c r="I65" i="107" a="1"/>
  <c r="I65" i="107" s="1"/>
  <c r="H65" i="107" a="1"/>
  <c r="H65" i="107" s="1"/>
  <c r="G65" i="107" a="1"/>
  <c r="G65" i="107" s="1"/>
  <c r="F65" i="107" a="1"/>
  <c r="F65" i="107" s="1"/>
  <c r="E65" i="107" a="1"/>
  <c r="E65" i="107" s="1"/>
  <c r="D65" i="107" a="1"/>
  <c r="D65" i="107" s="1"/>
  <c r="I64" i="107"/>
  <c r="I64" i="107" a="1"/>
  <c r="H64" i="107" a="1"/>
  <c r="H64" i="107" s="1"/>
  <c r="G64" i="107" a="1"/>
  <c r="G64" i="107" s="1"/>
  <c r="F64" i="107" a="1"/>
  <c r="F64" i="107" s="1"/>
  <c r="E64" i="107" a="1"/>
  <c r="E64" i="107" s="1"/>
  <c r="D64" i="107" a="1"/>
  <c r="D64" i="107" s="1"/>
  <c r="I63" i="107" a="1"/>
  <c r="I63" i="107" s="1"/>
  <c r="H63" i="107" a="1"/>
  <c r="H63" i="107" s="1"/>
  <c r="G63" i="107" a="1"/>
  <c r="G63" i="107" s="1"/>
  <c r="F63" i="107" a="1"/>
  <c r="F63" i="107" s="1"/>
  <c r="E63" i="107" a="1"/>
  <c r="E63" i="107" s="1"/>
  <c r="D63" i="107" a="1"/>
  <c r="D63" i="107" s="1"/>
  <c r="I62" i="107" a="1"/>
  <c r="I62" i="107" s="1"/>
  <c r="H62" i="107"/>
  <c r="H62" i="107" a="1"/>
  <c r="G62" i="107" a="1"/>
  <c r="G62" i="107" s="1"/>
  <c r="F62" i="107" a="1"/>
  <c r="F62" i="107" s="1"/>
  <c r="E62" i="107" a="1"/>
  <c r="E62" i="107" s="1"/>
  <c r="D62" i="107" a="1"/>
  <c r="D62" i="107" s="1"/>
  <c r="I61" i="107" a="1"/>
  <c r="I61" i="107" s="1"/>
  <c r="H61" i="107" a="1"/>
  <c r="H61" i="107" s="1"/>
  <c r="G61" i="107" a="1"/>
  <c r="G61" i="107" s="1"/>
  <c r="F61" i="107" a="1"/>
  <c r="F61" i="107" s="1"/>
  <c r="E61" i="107" a="1"/>
  <c r="E61" i="107" s="1"/>
  <c r="D61" i="107" a="1"/>
  <c r="D61" i="107" s="1"/>
  <c r="I60" i="107" a="1"/>
  <c r="I60" i="107" s="1"/>
  <c r="H60" i="107" a="1"/>
  <c r="H60" i="107" s="1"/>
  <c r="G60" i="107" a="1"/>
  <c r="G60" i="107" s="1"/>
  <c r="F60" i="107" a="1"/>
  <c r="F60" i="107" s="1"/>
  <c r="E60" i="107"/>
  <c r="E60" i="107" a="1"/>
  <c r="D60" i="107" a="1"/>
  <c r="D60" i="107" s="1"/>
  <c r="I59" i="107" a="1"/>
  <c r="I59" i="107" s="1"/>
  <c r="H59" i="107" a="1"/>
  <c r="H59" i="107" s="1"/>
  <c r="G59" i="107" a="1"/>
  <c r="G59" i="107" s="1"/>
  <c r="F59" i="107" a="1"/>
  <c r="F59" i="107" s="1"/>
  <c r="E59" i="107" a="1"/>
  <c r="E59" i="107" s="1"/>
  <c r="D59" i="107" a="1"/>
  <c r="D59" i="107" s="1"/>
  <c r="I58" i="107" a="1"/>
  <c r="I58" i="107" s="1"/>
  <c r="H58" i="107" a="1"/>
  <c r="H58" i="107" s="1"/>
  <c r="G58" i="107" a="1"/>
  <c r="G58" i="107" s="1"/>
  <c r="F58" i="107" a="1"/>
  <c r="F58" i="107" s="1"/>
  <c r="E58" i="107" a="1"/>
  <c r="E58" i="107" s="1"/>
  <c r="D58" i="107"/>
  <c r="D58" i="107" a="1"/>
  <c r="I57" i="107" a="1"/>
  <c r="I57" i="107" s="1"/>
  <c r="H57" i="107" a="1"/>
  <c r="H57" i="107" s="1"/>
  <c r="G57" i="107" a="1"/>
  <c r="G57" i="107" s="1"/>
  <c r="F57" i="107" a="1"/>
  <c r="F57" i="107" s="1"/>
  <c r="E57" i="107" a="1"/>
  <c r="E57" i="107" s="1"/>
  <c r="D57" i="107" a="1"/>
  <c r="D57" i="107" s="1"/>
  <c r="I56" i="107" a="1"/>
  <c r="I56" i="107" s="1"/>
  <c r="H56" i="107" a="1"/>
  <c r="H56" i="107" s="1"/>
  <c r="G56" i="107" a="1"/>
  <c r="G56" i="107" s="1"/>
  <c r="F56" i="107" a="1"/>
  <c r="F56" i="107" s="1"/>
  <c r="E56" i="107" a="1"/>
  <c r="E56" i="107" s="1"/>
  <c r="D56" i="107" a="1"/>
  <c r="D56" i="107" s="1"/>
  <c r="I55" i="107" a="1"/>
  <c r="I55" i="107" s="1"/>
  <c r="H55" i="107" a="1"/>
  <c r="H55" i="107" s="1"/>
  <c r="G55" i="107" a="1"/>
  <c r="G55" i="107" s="1"/>
  <c r="F55" i="107" a="1"/>
  <c r="F55" i="107" s="1"/>
  <c r="E55" i="107" a="1"/>
  <c r="E55" i="107" s="1"/>
  <c r="D55" i="107" a="1"/>
  <c r="D55" i="107" s="1"/>
  <c r="I54" i="107" a="1"/>
  <c r="I54" i="107" s="1"/>
  <c r="H54" i="107" a="1"/>
  <c r="H54" i="107" s="1"/>
  <c r="G54" i="107" a="1"/>
  <c r="G54" i="107" s="1"/>
  <c r="F54" i="107" a="1"/>
  <c r="F54" i="107" s="1"/>
  <c r="E54" i="107" a="1"/>
  <c r="E54" i="107" s="1"/>
  <c r="D54" i="107" a="1"/>
  <c r="D54" i="107" s="1"/>
  <c r="I53" i="107" a="1"/>
  <c r="I53" i="107" s="1"/>
  <c r="H53" i="107" a="1"/>
  <c r="H53" i="107" s="1"/>
  <c r="G53" i="107" a="1"/>
  <c r="G53" i="107" s="1"/>
  <c r="F53" i="107" a="1"/>
  <c r="F53" i="107" s="1"/>
  <c r="E53" i="107" a="1"/>
  <c r="E53" i="107" s="1"/>
  <c r="D53" i="107" a="1"/>
  <c r="D53" i="107" s="1"/>
  <c r="I52" i="107" a="1"/>
  <c r="I52" i="107" s="1"/>
  <c r="H52" i="107" a="1"/>
  <c r="H52" i="107" s="1"/>
  <c r="G52" i="107" a="1"/>
  <c r="G52" i="107" s="1"/>
  <c r="F52" i="107" a="1"/>
  <c r="F52" i="107" s="1"/>
  <c r="E52" i="107" a="1"/>
  <c r="E52" i="107" s="1"/>
  <c r="D52" i="107" a="1"/>
  <c r="D52" i="107" s="1"/>
  <c r="I51" i="107" a="1"/>
  <c r="I51" i="107" s="1"/>
  <c r="H51" i="107" a="1"/>
  <c r="H51" i="107" s="1"/>
  <c r="G51" i="107" a="1"/>
  <c r="G51" i="107" s="1"/>
  <c r="F51" i="107" a="1"/>
  <c r="F51" i="107" s="1"/>
  <c r="E51" i="107" a="1"/>
  <c r="E51" i="107" s="1"/>
  <c r="D51" i="107" a="1"/>
  <c r="D51" i="107" s="1"/>
  <c r="I50" i="107" a="1"/>
  <c r="I50" i="107" s="1"/>
  <c r="H50" i="107" a="1"/>
  <c r="H50" i="107" s="1"/>
  <c r="G50" i="107" a="1"/>
  <c r="G50" i="107" s="1"/>
  <c r="F50" i="107" a="1"/>
  <c r="F50" i="107" s="1"/>
  <c r="E50" i="107" a="1"/>
  <c r="E50" i="107" s="1"/>
  <c r="D50" i="107" a="1"/>
  <c r="D50" i="107" s="1"/>
  <c r="I49" i="107" a="1"/>
  <c r="I49" i="107" s="1"/>
  <c r="H49" i="107" a="1"/>
  <c r="H49" i="107" s="1"/>
  <c r="G49" i="107" a="1"/>
  <c r="G49" i="107" s="1"/>
  <c r="F49" i="107" a="1"/>
  <c r="F49" i="107" s="1"/>
  <c r="E49" i="107" a="1"/>
  <c r="E49" i="107" s="1"/>
  <c r="D49" i="107" a="1"/>
  <c r="D49" i="107" s="1"/>
  <c r="I48" i="107" a="1"/>
  <c r="I48" i="107" s="1"/>
  <c r="H48" i="107" a="1"/>
  <c r="H48" i="107" s="1"/>
  <c r="G48" i="107" a="1"/>
  <c r="G48" i="107" s="1"/>
  <c r="F48" i="107" a="1"/>
  <c r="F48" i="107" s="1"/>
  <c r="E48" i="107" a="1"/>
  <c r="E48" i="107" s="1"/>
  <c r="D48" i="107" a="1"/>
  <c r="D48" i="107" s="1"/>
  <c r="I47" i="107" a="1"/>
  <c r="I47" i="107" s="1"/>
  <c r="H47" i="107" a="1"/>
  <c r="H47" i="107" s="1"/>
  <c r="G47" i="107" a="1"/>
  <c r="G47" i="107" s="1"/>
  <c r="F47" i="107" a="1"/>
  <c r="F47" i="107" s="1"/>
  <c r="E47" i="107" a="1"/>
  <c r="E47" i="107" s="1"/>
  <c r="D47" i="107" a="1"/>
  <c r="D47" i="107" s="1"/>
  <c r="I46" i="107" a="1"/>
  <c r="I46" i="107" s="1"/>
  <c r="H46" i="107" a="1"/>
  <c r="H46" i="107" s="1"/>
  <c r="G46" i="107" a="1"/>
  <c r="G46" i="107" s="1"/>
  <c r="F46" i="107" a="1"/>
  <c r="F46" i="107" s="1"/>
  <c r="E46" i="107" a="1"/>
  <c r="E46" i="107" s="1"/>
  <c r="D46" i="107" a="1"/>
  <c r="D46" i="107" s="1"/>
  <c r="I45" i="107" a="1"/>
  <c r="I45" i="107" s="1"/>
  <c r="H45" i="107" a="1"/>
  <c r="H45" i="107" s="1"/>
  <c r="G45" i="107" a="1"/>
  <c r="G45" i="107" s="1"/>
  <c r="F45" i="107" a="1"/>
  <c r="F45" i="107" s="1"/>
  <c r="E45" i="107" a="1"/>
  <c r="E45" i="107" s="1"/>
  <c r="D45" i="107" a="1"/>
  <c r="D45" i="107" s="1"/>
  <c r="I44" i="107" a="1"/>
  <c r="I44" i="107" s="1"/>
  <c r="H44" i="107" a="1"/>
  <c r="H44" i="107" s="1"/>
  <c r="G44" i="107" a="1"/>
  <c r="G44" i="107" s="1"/>
  <c r="F44" i="107" a="1"/>
  <c r="F44" i="107" s="1"/>
  <c r="E44" i="107" a="1"/>
  <c r="E44" i="107" s="1"/>
  <c r="D44" i="107" a="1"/>
  <c r="D44" i="107" s="1"/>
  <c r="I43" i="107" a="1"/>
  <c r="I43" i="107" s="1"/>
  <c r="H43" i="107" a="1"/>
  <c r="H43" i="107" s="1"/>
  <c r="G43" i="107" a="1"/>
  <c r="G43" i="107" s="1"/>
  <c r="F43" i="107" a="1"/>
  <c r="F43" i="107" s="1"/>
  <c r="E43" i="107" a="1"/>
  <c r="E43" i="107" s="1"/>
  <c r="D43" i="107" a="1"/>
  <c r="D43" i="107" s="1"/>
  <c r="I42" i="107" a="1"/>
  <c r="I42" i="107" s="1"/>
  <c r="H42" i="107" a="1"/>
  <c r="H42" i="107" s="1"/>
  <c r="G42" i="107"/>
  <c r="G42" i="107" a="1"/>
  <c r="F42" i="107"/>
  <c r="F42" i="107" a="1"/>
  <c r="E42" i="107"/>
  <c r="E42" i="107" a="1"/>
  <c r="D42" i="107" a="1"/>
  <c r="D42" i="107" s="1"/>
  <c r="I41" i="107"/>
  <c r="I41" i="107" a="1"/>
  <c r="H41" i="107" a="1"/>
  <c r="H41" i="107" s="1"/>
  <c r="G41" i="107" a="1"/>
  <c r="G41" i="107" s="1"/>
  <c r="F41" i="107" a="1"/>
  <c r="F41" i="107" s="1"/>
  <c r="E41" i="107" a="1"/>
  <c r="E41" i="107" s="1"/>
  <c r="D41" i="107" a="1"/>
  <c r="D41" i="107" s="1"/>
  <c r="I40" i="107" a="1"/>
  <c r="I40" i="107" s="1"/>
  <c r="H40" i="107" a="1"/>
  <c r="H40" i="107" s="1"/>
  <c r="G40" i="107" a="1"/>
  <c r="G40" i="107" s="1"/>
  <c r="F40" i="107" a="1"/>
  <c r="F40" i="107" s="1"/>
  <c r="E40" i="107" a="1"/>
  <c r="E40" i="107" s="1"/>
  <c r="D40" i="107" a="1"/>
  <c r="D40" i="107" s="1"/>
  <c r="I39" i="107" a="1"/>
  <c r="I39" i="107" s="1"/>
  <c r="H39" i="107" a="1"/>
  <c r="H39" i="107" s="1"/>
  <c r="G39" i="107" a="1"/>
  <c r="G39" i="107" s="1"/>
  <c r="F39" i="107" a="1"/>
  <c r="F39" i="107" s="1"/>
  <c r="E39" i="107" a="1"/>
  <c r="E39" i="107" s="1"/>
  <c r="D39" i="107" a="1"/>
  <c r="D39" i="107" s="1"/>
  <c r="I38" i="107" a="1"/>
  <c r="I38" i="107" s="1"/>
  <c r="H38" i="107" a="1"/>
  <c r="H38" i="107" s="1"/>
  <c r="G38" i="107" a="1"/>
  <c r="G38" i="107" s="1"/>
  <c r="F38" i="107" a="1"/>
  <c r="F38" i="107" s="1"/>
  <c r="E38" i="107" a="1"/>
  <c r="E38" i="107" s="1"/>
  <c r="D38" i="107" a="1"/>
  <c r="D38" i="107" s="1"/>
  <c r="I37" i="107" a="1"/>
  <c r="I37" i="107" s="1"/>
  <c r="H37" i="107" a="1"/>
  <c r="H37" i="107" s="1"/>
  <c r="G37" i="107" a="1"/>
  <c r="G37" i="107" s="1"/>
  <c r="F37" i="107" a="1"/>
  <c r="F37" i="107" s="1"/>
  <c r="E37" i="107" a="1"/>
  <c r="E37" i="107" s="1"/>
  <c r="D37" i="107" a="1"/>
  <c r="D37" i="107" s="1"/>
  <c r="I36" i="107" a="1"/>
  <c r="I36" i="107" s="1"/>
  <c r="H36" i="107" a="1"/>
  <c r="H36" i="107" s="1"/>
  <c r="G36" i="107" a="1"/>
  <c r="G36" i="107" s="1"/>
  <c r="F36" i="107" a="1"/>
  <c r="F36" i="107" s="1"/>
  <c r="E36" i="107" a="1"/>
  <c r="E36" i="107" s="1"/>
  <c r="D36" i="107" a="1"/>
  <c r="D36" i="107" s="1"/>
  <c r="I35" i="107" a="1"/>
  <c r="I35" i="107" s="1"/>
  <c r="H35" i="107" a="1"/>
  <c r="H35" i="107" s="1"/>
  <c r="G35" i="107" a="1"/>
  <c r="G35" i="107" s="1"/>
  <c r="F35" i="107" a="1"/>
  <c r="F35" i="107" s="1"/>
  <c r="E35" i="107" a="1"/>
  <c r="E35" i="107" s="1"/>
  <c r="D35" i="107" a="1"/>
  <c r="D35" i="107" s="1"/>
  <c r="I34" i="107" a="1"/>
  <c r="I34" i="107" s="1"/>
  <c r="H34" i="107" a="1"/>
  <c r="H34" i="107" s="1"/>
  <c r="G34" i="107" a="1"/>
  <c r="G34" i="107" s="1"/>
  <c r="F34" i="107" a="1"/>
  <c r="F34" i="107" s="1"/>
  <c r="E34" i="107" a="1"/>
  <c r="E34" i="107" s="1"/>
  <c r="D34" i="107" a="1"/>
  <c r="D34" i="107" s="1"/>
  <c r="J651" i="106" a="1"/>
  <c r="J651" i="106" s="1"/>
  <c r="J648" i="106" a="1"/>
  <c r="J648" i="106" s="1"/>
  <c r="J644" i="106" a="1"/>
  <c r="J644" i="106" s="1"/>
  <c r="J643" i="106" a="1"/>
  <c r="J643" i="106" s="1"/>
  <c r="J650" i="106" a="1"/>
  <c r="J650" i="106" s="1"/>
  <c r="J633" i="106" a="1"/>
  <c r="J633" i="106" s="1"/>
  <c r="J632" i="106" a="1"/>
  <c r="J632" i="106" s="1"/>
  <c r="J631" i="106" a="1"/>
  <c r="J631" i="106" s="1"/>
  <c r="J628" i="106" a="1"/>
  <c r="J628" i="106" s="1"/>
  <c r="J627" i="106" a="1"/>
  <c r="J627" i="106" s="1"/>
  <c r="J626" i="106" a="1"/>
  <c r="J626" i="106" s="1"/>
  <c r="J625" i="106" a="1"/>
  <c r="J625" i="106" s="1"/>
  <c r="J630" i="106" a="1"/>
  <c r="J630" i="106" s="1"/>
  <c r="G616" i="106" a="1"/>
  <c r="G616" i="106" s="1"/>
  <c r="D616" i="106" a="1"/>
  <c r="D616" i="106" s="1"/>
  <c r="E614" i="106" a="1"/>
  <c r="E614" i="106" s="1"/>
  <c r="E613" i="106" a="1"/>
  <c r="E613" i="106" s="1"/>
  <c r="D608" i="106" a="1"/>
  <c r="D608" i="106" s="1"/>
  <c r="D607" i="106" a="1"/>
  <c r="D607" i="106" s="1"/>
  <c r="E601" i="106" a="1"/>
  <c r="E601" i="106" s="1"/>
  <c r="F603" i="106" s="1"/>
  <c r="E600" i="106" a="1"/>
  <c r="E600" i="106" s="1"/>
  <c r="D598" i="106" a="1"/>
  <c r="D598" i="106" s="1"/>
  <c r="D597" i="106"/>
  <c r="D597" i="106" a="1"/>
  <c r="N593" i="106"/>
  <c r="N593" i="106" a="1"/>
  <c r="F593" i="106" a="1"/>
  <c r="F593" i="106" s="1"/>
  <c r="L590" i="106" a="1"/>
  <c r="L590" i="106" s="1"/>
  <c r="D590" i="106"/>
  <c r="D590" i="106" a="1"/>
  <c r="R586" i="106"/>
  <c r="R585" i="106"/>
  <c r="R584" i="106"/>
  <c r="P584" i="106" a="1"/>
  <c r="P584" i="106" s="1"/>
  <c r="L584" i="106" a="1"/>
  <c r="L584" i="106" s="1"/>
  <c r="J584" i="106"/>
  <c r="H584" i="106" a="1"/>
  <c r="H584" i="106" s="1"/>
  <c r="D584" i="106" a="1"/>
  <c r="D584" i="106" s="1"/>
  <c r="E580" i="106" a="1"/>
  <c r="E580" i="106" s="1"/>
  <c r="E579" i="106" a="1"/>
  <c r="E579" i="106" s="1"/>
  <c r="D575" i="106"/>
  <c r="D575" i="106" a="1"/>
  <c r="D574" i="106" a="1"/>
  <c r="D574" i="106" s="1"/>
  <c r="I568" i="106"/>
  <c r="I564" i="106"/>
  <c r="I563" i="106"/>
  <c r="I562" i="106"/>
  <c r="G562" i="106" a="1"/>
  <c r="G562" i="106" s="1"/>
  <c r="D562" i="106" a="1"/>
  <c r="D562" i="106" s="1"/>
  <c r="E560" i="106" a="1"/>
  <c r="E560" i="106" s="1"/>
  <c r="E559" i="106" a="1"/>
  <c r="E559" i="106" s="1"/>
  <c r="D554" i="106" a="1"/>
  <c r="D554" i="106" s="1"/>
  <c r="D553" i="106" a="1"/>
  <c r="D553" i="106" s="1"/>
  <c r="D552" i="106" a="1"/>
  <c r="D552" i="106" s="1"/>
  <c r="I546" i="106"/>
  <c r="I544" i="106"/>
  <c r="G544" i="106" a="1"/>
  <c r="G544" i="106" s="1"/>
  <c r="D544" i="106" a="1"/>
  <c r="D544" i="106" s="1"/>
  <c r="E542" i="106" a="1"/>
  <c r="E542" i="106" s="1"/>
  <c r="E541" i="106" a="1"/>
  <c r="E541" i="106" s="1"/>
  <c r="D537" i="106" a="1"/>
  <c r="D537" i="106" s="1"/>
  <c r="D536" i="106" a="1"/>
  <c r="D536" i="106" s="1"/>
  <c r="G530" i="106" a="1"/>
  <c r="G530" i="106" s="1"/>
  <c r="D530" i="106" a="1"/>
  <c r="D530" i="106" s="1"/>
  <c r="E528" i="106" a="1"/>
  <c r="E528" i="106" s="1"/>
  <c r="E527" i="106" a="1"/>
  <c r="E527" i="106" s="1"/>
  <c r="D522" i="106" a="1"/>
  <c r="D522" i="106" s="1"/>
  <c r="D521" i="106" a="1"/>
  <c r="D521" i="106" s="1"/>
  <c r="E496" i="106"/>
  <c r="I496" i="106" s="1" a="1"/>
  <c r="I496" i="106" s="1"/>
  <c r="E495" i="106"/>
  <c r="E494" i="106"/>
  <c r="I494" i="106" s="1" a="1"/>
  <c r="I494" i="106" s="1"/>
  <c r="E485" i="106"/>
  <c r="I485" i="106" s="1" a="1"/>
  <c r="I485" i="106" s="1"/>
  <c r="E484" i="106"/>
  <c r="E483" i="106"/>
  <c r="I483" i="106" s="1" a="1"/>
  <c r="I483" i="106" s="1"/>
  <c r="E482" i="106"/>
  <c r="I481" i="106" a="1"/>
  <c r="I481" i="106" s="1"/>
  <c r="E481" i="106"/>
  <c r="J467" i="106" a="1"/>
  <c r="J467" i="106" s="1"/>
  <c r="J464" i="106" a="1"/>
  <c r="J464" i="106" s="1"/>
  <c r="J466" i="106" a="1"/>
  <c r="J466" i="106" s="1"/>
  <c r="J450" i="106" a="1"/>
  <c r="J450" i="106" s="1"/>
  <c r="J448" i="106" a="1"/>
  <c r="J448" i="106" s="1"/>
  <c r="G439" i="106" a="1"/>
  <c r="G439" i="106" s="1"/>
  <c r="D439" i="106" a="1"/>
  <c r="D439" i="106" s="1"/>
  <c r="E437" i="106" a="1"/>
  <c r="E437" i="106" s="1"/>
  <c r="E436" i="106" a="1"/>
  <c r="E436" i="106" s="1"/>
  <c r="D431" i="106" a="1"/>
  <c r="D431" i="106" s="1"/>
  <c r="D430" i="106" a="1"/>
  <c r="D430" i="106" s="1"/>
  <c r="K421" i="106"/>
  <c r="J421" i="106" a="1"/>
  <c r="J421" i="106" s="1"/>
  <c r="K419" i="106"/>
  <c r="K418" i="106"/>
  <c r="J415" i="106" a="1"/>
  <c r="J415" i="106" s="1"/>
  <c r="J414" i="106" a="1"/>
  <c r="J414" i="106" s="1"/>
  <c r="K414" i="106"/>
  <c r="J418" i="106" a="1"/>
  <c r="J418" i="106" s="1"/>
  <c r="F407" i="106" a="1"/>
  <c r="F407" i="106" s="1"/>
  <c r="D407" i="106" a="1"/>
  <c r="D407" i="106" s="1"/>
  <c r="E405" i="106" a="1"/>
  <c r="E405" i="106" s="1"/>
  <c r="E404" i="106" a="1"/>
  <c r="E404" i="106" s="1"/>
  <c r="D399" i="106" a="1"/>
  <c r="D399" i="106" s="1"/>
  <c r="D398" i="106" a="1"/>
  <c r="D398" i="106" s="1"/>
  <c r="J382" i="106" a="1"/>
  <c r="J382" i="106" s="1"/>
  <c r="F377" i="106" a="1"/>
  <c r="F377" i="106" s="1"/>
  <c r="D377" i="106" a="1"/>
  <c r="D377" i="106" s="1"/>
  <c r="E375" i="106" a="1"/>
  <c r="E375" i="106" s="1"/>
  <c r="E374" i="106" a="1"/>
  <c r="E374" i="106" s="1"/>
  <c r="D369" i="106" a="1"/>
  <c r="D369" i="106" s="1"/>
  <c r="D368" i="106" a="1"/>
  <c r="D368" i="106" s="1"/>
  <c r="D367" i="106" a="1"/>
  <c r="D367" i="106" s="1"/>
  <c r="L360" i="106"/>
  <c r="K360" i="106" a="1"/>
  <c r="K360" i="106" s="1"/>
  <c r="L359" i="106"/>
  <c r="K359" i="106" a="1"/>
  <c r="K359" i="106" s="1"/>
  <c r="L358" i="106"/>
  <c r="K358" i="106" a="1"/>
  <c r="K358" i="106" s="1"/>
  <c r="K356" i="106" a="1"/>
  <c r="K356" i="106" s="1"/>
  <c r="K355" i="106" a="1"/>
  <c r="K355" i="106" s="1"/>
  <c r="L354" i="106"/>
  <c r="L353" i="106"/>
  <c r="K353" i="106" a="1"/>
  <c r="K353" i="106" s="1"/>
  <c r="K354" i="106" a="1"/>
  <c r="K354" i="106" s="1"/>
  <c r="G344" i="106" a="1"/>
  <c r="G344" i="106" s="1"/>
  <c r="D344" i="106" a="1"/>
  <c r="D344" i="106" s="1"/>
  <c r="E342" i="106" a="1"/>
  <c r="E342" i="106" s="1"/>
  <c r="E341" i="106" a="1"/>
  <c r="E341" i="106" s="1"/>
  <c r="D337" i="106" a="1"/>
  <c r="D337" i="106" s="1"/>
  <c r="D336" i="106" a="1"/>
  <c r="D336" i="106" s="1"/>
  <c r="F311" i="106" a="1"/>
  <c r="D311" i="106" a="1"/>
  <c r="D311" i="106" s="1"/>
  <c r="E309" i="106" a="1"/>
  <c r="E309" i="106" s="1"/>
  <c r="E308" i="106" a="1"/>
  <c r="E308" i="106" s="1"/>
  <c r="D304" i="106" a="1"/>
  <c r="D304" i="106" s="1"/>
  <c r="D303" i="106" a="1"/>
  <c r="D303" i="106" s="1"/>
  <c r="G280" i="106" a="1"/>
  <c r="G280" i="106" s="1"/>
  <c r="D280" i="106" a="1"/>
  <c r="D280" i="106" s="1"/>
  <c r="E278" i="106" a="1"/>
  <c r="E278" i="106" s="1"/>
  <c r="E277" i="106" a="1"/>
  <c r="E277" i="106" s="1"/>
  <c r="D272" i="106" a="1"/>
  <c r="D272" i="106" s="1"/>
  <c r="D271" i="106" a="1"/>
  <c r="D271" i="106" s="1"/>
  <c r="G224" i="106" a="1"/>
  <c r="G224" i="106" s="1"/>
  <c r="D224" i="106" a="1"/>
  <c r="D224" i="106" s="1"/>
  <c r="E222" i="106" a="1"/>
  <c r="E222" i="106" s="1"/>
  <c r="E221" i="106" a="1"/>
  <c r="E221" i="106" s="1"/>
  <c r="D217" i="106" a="1"/>
  <c r="D217" i="106" s="1"/>
  <c r="D216" i="106" a="1"/>
  <c r="D216" i="106" s="1"/>
  <c r="D215" i="106" a="1"/>
  <c r="D215" i="106" s="1"/>
  <c r="G209" i="106" a="1"/>
  <c r="G209" i="106" s="1"/>
  <c r="D209" i="106" a="1"/>
  <c r="D209" i="106" s="1"/>
  <c r="E207" i="106" a="1"/>
  <c r="E207" i="106" s="1"/>
  <c r="E206" i="106" a="1"/>
  <c r="E206" i="106" s="1"/>
  <c r="D202" i="106" a="1"/>
  <c r="D202" i="106" s="1"/>
  <c r="D201" i="106" a="1"/>
  <c r="D201" i="106" s="1"/>
  <c r="G195" i="106" a="1"/>
  <c r="G195" i="106" s="1"/>
  <c r="D195" i="106" a="1"/>
  <c r="D195" i="106" s="1"/>
  <c r="E193" i="106" a="1"/>
  <c r="E193" i="106" s="1"/>
  <c r="E192" i="106" a="1"/>
  <c r="E192" i="106" s="1"/>
  <c r="D188" i="106" a="1"/>
  <c r="D188" i="106" s="1"/>
  <c r="D187" i="106" a="1"/>
  <c r="D187" i="106" s="1"/>
  <c r="D186" i="106" a="1"/>
  <c r="D186" i="106" s="1"/>
  <c r="E179" i="106"/>
  <c r="E178" i="106"/>
  <c r="E177" i="106"/>
  <c r="I177" i="106" s="1" a="1"/>
  <c r="I177" i="106" s="1"/>
  <c r="G172" i="106" a="1"/>
  <c r="G172" i="106" s="1"/>
  <c r="D172" i="106" a="1"/>
  <c r="D172" i="106" s="1"/>
  <c r="E170" i="106" a="1"/>
  <c r="E170" i="106" s="1"/>
  <c r="E169" i="106" a="1"/>
  <c r="E169" i="106" s="1"/>
  <c r="F168" i="106"/>
  <c r="F168" i="106" a="1"/>
  <c r="D165" i="106" a="1"/>
  <c r="D165" i="106" s="1"/>
  <c r="D164" i="106" a="1"/>
  <c r="D164" i="106" s="1"/>
  <c r="E153" i="106"/>
  <c r="E152" i="106"/>
  <c r="E151" i="106"/>
  <c r="E150" i="106"/>
  <c r="E149" i="106"/>
  <c r="E148" i="106"/>
  <c r="I148" i="106" s="1" a="1"/>
  <c r="I148" i="106" s="1"/>
  <c r="E140" i="106"/>
  <c r="E139" i="106"/>
  <c r="E138" i="106"/>
  <c r="I138" i="106" s="1" a="1"/>
  <c r="I138" i="106" s="1"/>
  <c r="E137" i="106"/>
  <c r="I137" i="106" s="1" a="1"/>
  <c r="I137" i="106" s="1"/>
  <c r="G107" i="106" a="1"/>
  <c r="G107" i="106" s="1"/>
  <c r="D107" i="106" a="1"/>
  <c r="D107" i="106" s="1"/>
  <c r="E105" i="106"/>
  <c r="F143" i="106" s="1"/>
  <c r="E105" i="106" a="1"/>
  <c r="E104" i="106"/>
  <c r="E104" i="106" a="1"/>
  <c r="D100" i="106" a="1"/>
  <c r="D100" i="106" s="1"/>
  <c r="D99" i="106" a="1"/>
  <c r="D99" i="106" s="1"/>
  <c r="D98" i="106" a="1"/>
  <c r="D98" i="106" s="1"/>
  <c r="J62" i="106" a="1"/>
  <c r="J62" i="106" s="1"/>
  <c r="J61" i="106" a="1"/>
  <c r="J61" i="106" s="1"/>
  <c r="M24" i="106" a="1"/>
  <c r="M24" i="106" s="1"/>
  <c r="M23" i="106" a="1"/>
  <c r="M23" i="106" s="1"/>
  <c r="G13" i="106" a="1"/>
  <c r="G13" i="106" s="1"/>
  <c r="D13" i="106" a="1"/>
  <c r="D13" i="106" s="1"/>
  <c r="E11" i="106" a="1"/>
  <c r="E11" i="106" s="1"/>
  <c r="E10" i="106" a="1"/>
  <c r="E10" i="106" s="1"/>
  <c r="D6" i="106" a="1"/>
  <c r="D6" i="106" s="1"/>
  <c r="D5" i="106" a="1"/>
  <c r="D5" i="106" s="1"/>
  <c r="H19" i="104"/>
  <c r="O19" i="104" s="1"/>
  <c r="L18" i="104"/>
  <c r="H18" i="104"/>
  <c r="O18" i="104" s="1"/>
  <c r="H17" i="104"/>
  <c r="R17" i="104" s="1"/>
  <c r="H16" i="104"/>
  <c r="R16" i="104" s="1"/>
  <c r="H15" i="104"/>
  <c r="R15" i="104" s="1"/>
  <c r="H14" i="104"/>
  <c r="R14" i="104" s="1"/>
  <c r="H13" i="104"/>
  <c r="R13" i="104" s="1"/>
  <c r="H12" i="104"/>
  <c r="R12" i="104" s="1"/>
  <c r="R11" i="104"/>
  <c r="O11" i="104"/>
  <c r="L11" i="104"/>
  <c r="H11" i="104"/>
  <c r="R10" i="104"/>
  <c r="O10" i="104"/>
  <c r="H10" i="104"/>
  <c r="L10" i="104" s="1"/>
  <c r="Q8" i="104" a="1"/>
  <c r="Q8" i="104" s="1"/>
  <c r="N8" i="104" a="1"/>
  <c r="N8" i="104" s="1"/>
  <c r="K8" i="104" a="1"/>
  <c r="K8" i="104" s="1"/>
  <c r="F235" i="102" a="1"/>
  <c r="F235" i="102" s="1"/>
  <c r="E235" i="102" a="1"/>
  <c r="E235" i="102" s="1"/>
  <c r="D235" i="102" a="1"/>
  <c r="D235" i="102" s="1"/>
  <c r="F234" i="102" a="1"/>
  <c r="F234" i="102" s="1"/>
  <c r="E234" i="102" a="1"/>
  <c r="E234" i="102" s="1"/>
  <c r="D234" i="102" a="1"/>
  <c r="D234" i="102" s="1"/>
  <c r="F233" i="102" a="1"/>
  <c r="F233" i="102" s="1"/>
  <c r="E233" i="102" a="1"/>
  <c r="E233" i="102" s="1"/>
  <c r="D233" i="102" a="1"/>
  <c r="D233" i="102" s="1"/>
  <c r="F232" i="102" a="1"/>
  <c r="F232" i="102" s="1"/>
  <c r="E232" i="102" a="1"/>
  <c r="E232" i="102" s="1"/>
  <c r="D232" i="102" a="1"/>
  <c r="D232" i="102" s="1"/>
  <c r="F231" i="102" a="1"/>
  <c r="F231" i="102" s="1"/>
  <c r="E231" i="102" a="1"/>
  <c r="E231" i="102" s="1"/>
  <c r="D231" i="102" a="1"/>
  <c r="D231" i="102" s="1"/>
  <c r="F230" i="102" a="1"/>
  <c r="F230" i="102" s="1"/>
  <c r="E230" i="102" a="1"/>
  <c r="E230" i="102" s="1"/>
  <c r="D230" i="102" a="1"/>
  <c r="D230" i="102" s="1"/>
  <c r="F229" i="102" a="1"/>
  <c r="F229" i="102" s="1"/>
  <c r="E229" i="102" a="1"/>
  <c r="E229" i="102" s="1"/>
  <c r="D229" i="102" a="1"/>
  <c r="D229" i="102" s="1"/>
  <c r="F228" i="102" a="1"/>
  <c r="F228" i="102" s="1"/>
  <c r="E228" i="102" a="1"/>
  <c r="E228" i="102" s="1"/>
  <c r="D228" i="102" a="1"/>
  <c r="D228" i="102" s="1"/>
  <c r="F227" i="102" a="1"/>
  <c r="F227" i="102" s="1"/>
  <c r="E227" i="102" a="1"/>
  <c r="E227" i="102" s="1"/>
  <c r="D227" i="102" a="1"/>
  <c r="D227" i="102" s="1"/>
  <c r="F226" i="102" a="1"/>
  <c r="F226" i="102" s="1"/>
  <c r="E226" i="102" a="1"/>
  <c r="E226" i="102" s="1"/>
  <c r="D226" i="102" a="1"/>
  <c r="D226" i="102" s="1"/>
  <c r="F225" i="102" a="1"/>
  <c r="F225" i="102" s="1"/>
  <c r="E225" i="102" a="1"/>
  <c r="E225" i="102" s="1"/>
  <c r="D225" i="102" a="1"/>
  <c r="D225" i="102" s="1"/>
  <c r="F224" i="102" a="1"/>
  <c r="F224" i="102" s="1"/>
  <c r="E224" i="102" a="1"/>
  <c r="E224" i="102" s="1"/>
  <c r="D224" i="102" a="1"/>
  <c r="D224" i="102" s="1"/>
  <c r="F223" i="102" a="1"/>
  <c r="F223" i="102" s="1"/>
  <c r="E223" i="102" a="1"/>
  <c r="E223" i="102" s="1"/>
  <c r="D223" i="102" a="1"/>
  <c r="D223" i="102" s="1"/>
  <c r="F222" i="102" a="1"/>
  <c r="F222" i="102" s="1"/>
  <c r="E222" i="102" a="1"/>
  <c r="E222" i="102" s="1"/>
  <c r="D222" i="102" a="1"/>
  <c r="D222" i="102" s="1"/>
  <c r="F221" i="102" a="1"/>
  <c r="F221" i="102" s="1"/>
  <c r="E221" i="102" a="1"/>
  <c r="E221" i="102" s="1"/>
  <c r="D221" i="102" a="1"/>
  <c r="D221" i="102" s="1"/>
  <c r="F220" i="102" a="1"/>
  <c r="F220" i="102" s="1"/>
  <c r="E220" i="102" a="1"/>
  <c r="E220" i="102" s="1"/>
  <c r="D220" i="102" a="1"/>
  <c r="D220" i="102" s="1"/>
  <c r="F219" i="102" a="1"/>
  <c r="F219" i="102" s="1"/>
  <c r="E219" i="102" a="1"/>
  <c r="E219" i="102" s="1"/>
  <c r="D219" i="102" a="1"/>
  <c r="D219" i="102" s="1"/>
  <c r="F218" i="102" a="1"/>
  <c r="F218" i="102" s="1"/>
  <c r="E218" i="102" a="1"/>
  <c r="E218" i="102" s="1"/>
  <c r="D218" i="102" a="1"/>
  <c r="D218" i="102" s="1"/>
  <c r="F217" i="102" a="1"/>
  <c r="F217" i="102" s="1"/>
  <c r="E217" i="102" a="1"/>
  <c r="E217" i="102" s="1"/>
  <c r="D217" i="102" a="1"/>
  <c r="D217" i="102" s="1"/>
  <c r="F216" i="102" a="1"/>
  <c r="F216" i="102" s="1"/>
  <c r="E216" i="102" a="1"/>
  <c r="E216" i="102" s="1"/>
  <c r="D216" i="102" a="1"/>
  <c r="D216" i="102" s="1"/>
  <c r="F215" i="102" a="1"/>
  <c r="F215" i="102" s="1"/>
  <c r="E215" i="102" a="1"/>
  <c r="E215" i="102" s="1"/>
  <c r="D215" i="102" a="1"/>
  <c r="D215" i="102" s="1"/>
  <c r="F214" i="102" a="1"/>
  <c r="F214" i="102" s="1"/>
  <c r="E214" i="102" a="1"/>
  <c r="E214" i="102" s="1"/>
  <c r="D214" i="102" a="1"/>
  <c r="D214" i="102" s="1"/>
  <c r="F213" i="102" a="1"/>
  <c r="F213" i="102" s="1"/>
  <c r="E213" i="102" a="1"/>
  <c r="E213" i="102" s="1"/>
  <c r="D213" i="102" a="1"/>
  <c r="D213" i="102" s="1"/>
  <c r="F212" i="102" a="1"/>
  <c r="F212" i="102" s="1"/>
  <c r="E212" i="102" a="1"/>
  <c r="E212" i="102" s="1"/>
  <c r="D212" i="102" a="1"/>
  <c r="D212" i="102" s="1"/>
  <c r="F211" i="102" a="1"/>
  <c r="F211" i="102" s="1"/>
  <c r="E211" i="102" a="1"/>
  <c r="E211" i="102" s="1"/>
  <c r="D211" i="102" a="1"/>
  <c r="D211" i="102" s="1"/>
  <c r="F210" i="102" a="1"/>
  <c r="F210" i="102" s="1"/>
  <c r="E210" i="102" a="1"/>
  <c r="E210" i="102" s="1"/>
  <c r="D210" i="102" a="1"/>
  <c r="D210" i="102" s="1"/>
  <c r="F209" i="102" a="1"/>
  <c r="F209" i="102" s="1"/>
  <c r="E209" i="102" a="1"/>
  <c r="E209" i="102" s="1"/>
  <c r="D209" i="102" a="1"/>
  <c r="D209" i="102" s="1"/>
  <c r="F208" i="102" a="1"/>
  <c r="F208" i="102" s="1"/>
  <c r="E208" i="102" a="1"/>
  <c r="E208" i="102" s="1"/>
  <c r="D208" i="102" a="1"/>
  <c r="D208" i="102" s="1"/>
  <c r="F207" i="102" a="1"/>
  <c r="F207" i="102" s="1"/>
  <c r="E207" i="102" a="1"/>
  <c r="E207" i="102" s="1"/>
  <c r="D207" i="102" a="1"/>
  <c r="D207" i="102" s="1"/>
  <c r="F206" i="102" a="1"/>
  <c r="F206" i="102" s="1"/>
  <c r="E206" i="102" a="1"/>
  <c r="E206" i="102" s="1"/>
  <c r="D206" i="102" a="1"/>
  <c r="D206" i="102" s="1"/>
  <c r="F205" i="102" a="1"/>
  <c r="F205" i="102" s="1"/>
  <c r="E205" i="102" a="1"/>
  <c r="E205" i="102" s="1"/>
  <c r="D205" i="102" a="1"/>
  <c r="D205" i="102" s="1"/>
  <c r="F204" i="102" a="1"/>
  <c r="F204" i="102" s="1"/>
  <c r="E204" i="102" a="1"/>
  <c r="E204" i="102" s="1"/>
  <c r="D204" i="102" a="1"/>
  <c r="D204" i="102" s="1"/>
  <c r="F203" i="102" a="1"/>
  <c r="F203" i="102" s="1"/>
  <c r="E203" i="102" a="1"/>
  <c r="E203" i="102" s="1"/>
  <c r="D203" i="102" a="1"/>
  <c r="D203" i="102" s="1"/>
  <c r="F202" i="102" a="1"/>
  <c r="F202" i="102" s="1"/>
  <c r="E202" i="102" a="1"/>
  <c r="E202" i="102" s="1"/>
  <c r="D202" i="102" a="1"/>
  <c r="D202" i="102" s="1"/>
  <c r="F201" i="102" a="1"/>
  <c r="F201" i="102" s="1"/>
  <c r="E201" i="102" a="1"/>
  <c r="E201" i="102" s="1"/>
  <c r="D201" i="102" a="1"/>
  <c r="D201" i="102" s="1"/>
  <c r="F200" i="102" a="1"/>
  <c r="F200" i="102" s="1"/>
  <c r="E200" i="102" a="1"/>
  <c r="E200" i="102" s="1"/>
  <c r="D200" i="102" a="1"/>
  <c r="D200" i="102" s="1"/>
  <c r="F199" i="102" a="1"/>
  <c r="F199" i="102" s="1"/>
  <c r="E199" i="102" a="1"/>
  <c r="E199" i="102" s="1"/>
  <c r="D199" i="102" a="1"/>
  <c r="D199" i="102" s="1"/>
  <c r="F198" i="102" a="1"/>
  <c r="F198" i="102" s="1"/>
  <c r="E198" i="102" a="1"/>
  <c r="E198" i="102" s="1"/>
  <c r="D198" i="102" a="1"/>
  <c r="D198" i="102" s="1"/>
  <c r="F197" i="102" a="1"/>
  <c r="F197" i="102" s="1"/>
  <c r="E197" i="102" a="1"/>
  <c r="E197" i="102" s="1"/>
  <c r="D197" i="102" a="1"/>
  <c r="D197" i="102" s="1"/>
  <c r="F196" i="102" a="1"/>
  <c r="F196" i="102" s="1"/>
  <c r="E196" i="102" a="1"/>
  <c r="E196" i="102" s="1"/>
  <c r="D196" i="102" a="1"/>
  <c r="D196" i="102" s="1"/>
  <c r="F195" i="102" a="1"/>
  <c r="F195" i="102" s="1"/>
  <c r="E195" i="102" a="1"/>
  <c r="E195" i="102" s="1"/>
  <c r="D195" i="102" a="1"/>
  <c r="D195" i="102" s="1"/>
  <c r="F194" i="102" a="1"/>
  <c r="F194" i="102" s="1"/>
  <c r="E194" i="102" a="1"/>
  <c r="E194" i="102" s="1"/>
  <c r="D194" i="102" a="1"/>
  <c r="D194" i="102" s="1"/>
  <c r="F193" i="102" a="1"/>
  <c r="F193" i="102" s="1"/>
  <c r="E193" i="102" a="1"/>
  <c r="E193" i="102" s="1"/>
  <c r="D193" i="102" a="1"/>
  <c r="D193" i="102" s="1"/>
  <c r="F192" i="102" a="1"/>
  <c r="F192" i="102" s="1"/>
  <c r="E192" i="102" a="1"/>
  <c r="E192" i="102" s="1"/>
  <c r="D192" i="102" a="1"/>
  <c r="D192" i="102" s="1"/>
  <c r="F191" i="102" a="1"/>
  <c r="F191" i="102" s="1"/>
  <c r="E191" i="102" a="1"/>
  <c r="E191" i="102" s="1"/>
  <c r="D191" i="102" a="1"/>
  <c r="D191" i="102" s="1"/>
  <c r="F190" i="102" a="1"/>
  <c r="F190" i="102" s="1"/>
  <c r="E190" i="102" a="1"/>
  <c r="E190" i="102" s="1"/>
  <c r="D190" i="102" a="1"/>
  <c r="D190" i="102" s="1"/>
  <c r="F189" i="102" a="1"/>
  <c r="F189" i="102" s="1"/>
  <c r="E189" i="102" a="1"/>
  <c r="E189" i="102" s="1"/>
  <c r="D189" i="102" a="1"/>
  <c r="D189" i="102" s="1"/>
  <c r="F188" i="102" a="1"/>
  <c r="F188" i="102" s="1"/>
  <c r="E188" i="102" a="1"/>
  <c r="E188" i="102" s="1"/>
  <c r="D188" i="102" a="1"/>
  <c r="D188" i="102" s="1"/>
  <c r="F187" i="102" a="1"/>
  <c r="F187" i="102" s="1"/>
  <c r="E187" i="102" a="1"/>
  <c r="E187" i="102" s="1"/>
  <c r="D187" i="102" a="1"/>
  <c r="D187" i="102" s="1"/>
  <c r="F186" i="102" a="1"/>
  <c r="F186" i="102" s="1"/>
  <c r="E186" i="102" a="1"/>
  <c r="E186" i="102" s="1"/>
  <c r="D186" i="102" a="1"/>
  <c r="D186" i="102" s="1"/>
  <c r="F185" i="102" a="1"/>
  <c r="F185" i="102" s="1"/>
  <c r="E185" i="102" a="1"/>
  <c r="E185" i="102" s="1"/>
  <c r="D185" i="102" a="1"/>
  <c r="D185" i="102" s="1"/>
  <c r="F184" i="102" a="1"/>
  <c r="F184" i="102" s="1"/>
  <c r="E184" i="102" a="1"/>
  <c r="E184" i="102" s="1"/>
  <c r="D184" i="102" a="1"/>
  <c r="D184" i="102" s="1"/>
  <c r="F183" i="102" a="1"/>
  <c r="F183" i="102" s="1"/>
  <c r="E183" i="102" a="1"/>
  <c r="E183" i="102" s="1"/>
  <c r="D183" i="102" a="1"/>
  <c r="D183" i="102" s="1"/>
  <c r="F182" i="102" a="1"/>
  <c r="F182" i="102" s="1"/>
  <c r="E182" i="102" a="1"/>
  <c r="E182" i="102" s="1"/>
  <c r="D182" i="102" a="1"/>
  <c r="D182" i="102" s="1"/>
  <c r="F181" i="102" a="1"/>
  <c r="F181" i="102" s="1"/>
  <c r="E181" i="102" a="1"/>
  <c r="E181" i="102" s="1"/>
  <c r="D181" i="102" a="1"/>
  <c r="D181" i="102" s="1"/>
  <c r="F180" i="102" a="1"/>
  <c r="F180" i="102" s="1"/>
  <c r="E180" i="102" a="1"/>
  <c r="E180" i="102" s="1"/>
  <c r="D180" i="102" a="1"/>
  <c r="D180" i="102" s="1"/>
  <c r="F179" i="102" a="1"/>
  <c r="F179" i="102" s="1"/>
  <c r="E179" i="102" a="1"/>
  <c r="E179" i="102" s="1"/>
  <c r="D179" i="102" a="1"/>
  <c r="D179" i="102" s="1"/>
  <c r="F178" i="102" a="1"/>
  <c r="F178" i="102" s="1"/>
  <c r="E178" i="102" a="1"/>
  <c r="E178" i="102" s="1"/>
  <c r="D178" i="102" a="1"/>
  <c r="D178" i="102" s="1"/>
  <c r="F177" i="102" a="1"/>
  <c r="F177" i="102" s="1"/>
  <c r="E177" i="102" a="1"/>
  <c r="E177" i="102" s="1"/>
  <c r="D177" i="102" a="1"/>
  <c r="D177" i="102" s="1"/>
  <c r="F176" i="102" a="1"/>
  <c r="F176" i="102" s="1"/>
  <c r="E176" i="102" a="1"/>
  <c r="E176" i="102" s="1"/>
  <c r="D176" i="102" a="1"/>
  <c r="D176" i="102" s="1"/>
  <c r="F175" i="102" a="1"/>
  <c r="F175" i="102" s="1"/>
  <c r="E175" i="102" a="1"/>
  <c r="E175" i="102" s="1"/>
  <c r="D175" i="102" a="1"/>
  <c r="D175" i="102" s="1"/>
  <c r="F174" i="102" a="1"/>
  <c r="F174" i="102" s="1"/>
  <c r="E174" i="102" a="1"/>
  <c r="E174" i="102" s="1"/>
  <c r="D174" i="102" a="1"/>
  <c r="D174" i="102" s="1"/>
  <c r="F173" i="102" a="1"/>
  <c r="F173" i="102" s="1"/>
  <c r="E173" i="102" a="1"/>
  <c r="E173" i="102" s="1"/>
  <c r="D173" i="102" a="1"/>
  <c r="D173" i="102" s="1"/>
  <c r="F172" i="102" a="1"/>
  <c r="F172" i="102" s="1"/>
  <c r="E172" i="102" a="1"/>
  <c r="E172" i="102" s="1"/>
  <c r="D172" i="102" a="1"/>
  <c r="D172" i="102" s="1"/>
  <c r="F171" i="102" a="1"/>
  <c r="F171" i="102" s="1"/>
  <c r="E171" i="102" a="1"/>
  <c r="E171" i="102" s="1"/>
  <c r="D171" i="102" a="1"/>
  <c r="D171" i="102" s="1"/>
  <c r="F170" i="102" a="1"/>
  <c r="F170" i="102" s="1"/>
  <c r="E170" i="102" a="1"/>
  <c r="E170" i="102" s="1"/>
  <c r="D170" i="102" a="1"/>
  <c r="D170" i="102" s="1"/>
  <c r="F169" i="102" a="1"/>
  <c r="F169" i="102" s="1"/>
  <c r="E169" i="102" a="1"/>
  <c r="E169" i="102" s="1"/>
  <c r="D169" i="102" a="1"/>
  <c r="D169" i="102" s="1"/>
  <c r="F168" i="102" a="1"/>
  <c r="F168" i="102" s="1"/>
  <c r="E168" i="102" a="1"/>
  <c r="E168" i="102" s="1"/>
  <c r="D168" i="102" a="1"/>
  <c r="D168" i="102" s="1"/>
  <c r="F167" i="102" a="1"/>
  <c r="F167" i="102" s="1"/>
  <c r="E167" i="102" a="1"/>
  <c r="E167" i="102" s="1"/>
  <c r="D167" i="102" a="1"/>
  <c r="D167" i="102" s="1"/>
  <c r="F166" i="102" a="1"/>
  <c r="F166" i="102" s="1"/>
  <c r="E166" i="102" a="1"/>
  <c r="E166" i="102" s="1"/>
  <c r="D166" i="102" a="1"/>
  <c r="D166" i="102" s="1"/>
  <c r="F165" i="102" a="1"/>
  <c r="F165" i="102" s="1"/>
  <c r="E165" i="102" a="1"/>
  <c r="E165" i="102" s="1"/>
  <c r="D165" i="102" a="1"/>
  <c r="D165" i="102" s="1"/>
  <c r="F164" i="102" a="1"/>
  <c r="F164" i="102" s="1"/>
  <c r="E164" i="102" a="1"/>
  <c r="E164" i="102" s="1"/>
  <c r="D164" i="102" a="1"/>
  <c r="D164" i="102" s="1"/>
  <c r="F163" i="102" a="1"/>
  <c r="F163" i="102" s="1"/>
  <c r="E163" i="102" a="1"/>
  <c r="E163" i="102" s="1"/>
  <c r="D163" i="102" a="1"/>
  <c r="D163" i="102" s="1"/>
  <c r="F162" i="102" a="1"/>
  <c r="F162" i="102" s="1"/>
  <c r="E162" i="102" a="1"/>
  <c r="E162" i="102" s="1"/>
  <c r="D162" i="102" a="1"/>
  <c r="D162" i="102" s="1"/>
  <c r="F161" i="102" a="1"/>
  <c r="F161" i="102" s="1"/>
  <c r="E161" i="102" a="1"/>
  <c r="E161" i="102" s="1"/>
  <c r="D161" i="102" a="1"/>
  <c r="D161" i="102" s="1"/>
  <c r="F160" i="102" a="1"/>
  <c r="F160" i="102" s="1"/>
  <c r="E160" i="102" a="1"/>
  <c r="E160" i="102" s="1"/>
  <c r="D160" i="102" a="1"/>
  <c r="D160" i="102" s="1"/>
  <c r="F159" i="102" a="1"/>
  <c r="F159" i="102" s="1"/>
  <c r="E159" i="102" a="1"/>
  <c r="E159" i="102" s="1"/>
  <c r="D159" i="102" a="1"/>
  <c r="D159" i="102" s="1"/>
  <c r="F158" i="102" a="1"/>
  <c r="F158" i="102" s="1"/>
  <c r="E158" i="102" a="1"/>
  <c r="E158" i="102" s="1"/>
  <c r="D158" i="102" a="1"/>
  <c r="D158" i="102" s="1"/>
  <c r="F157" i="102" a="1"/>
  <c r="F157" i="102" s="1"/>
  <c r="E157" i="102" a="1"/>
  <c r="E157" i="102" s="1"/>
  <c r="D157" i="102" a="1"/>
  <c r="D157" i="102" s="1"/>
  <c r="F156" i="102" a="1"/>
  <c r="F156" i="102" s="1"/>
  <c r="E156" i="102" a="1"/>
  <c r="E156" i="102" s="1"/>
  <c r="D156" i="102" a="1"/>
  <c r="D156" i="102" s="1"/>
  <c r="F155" i="102" a="1"/>
  <c r="F155" i="102" s="1"/>
  <c r="E155" i="102" a="1"/>
  <c r="E155" i="102" s="1"/>
  <c r="D155" i="102" a="1"/>
  <c r="D155" i="102" s="1"/>
  <c r="F154" i="102" a="1"/>
  <c r="F154" i="102" s="1"/>
  <c r="E154" i="102" a="1"/>
  <c r="E154" i="102" s="1"/>
  <c r="D154" i="102" a="1"/>
  <c r="D154" i="102" s="1"/>
  <c r="F153" i="102" a="1"/>
  <c r="F153" i="102" s="1"/>
  <c r="E153" i="102" a="1"/>
  <c r="E153" i="102" s="1"/>
  <c r="D153" i="102" a="1"/>
  <c r="D153" i="102" s="1"/>
  <c r="F152" i="102" a="1"/>
  <c r="F152" i="102" s="1"/>
  <c r="E152" i="102" a="1"/>
  <c r="E152" i="102" s="1"/>
  <c r="D152" i="102" a="1"/>
  <c r="D152" i="102" s="1"/>
  <c r="F151" i="102" a="1"/>
  <c r="F151" i="102" s="1"/>
  <c r="E151" i="102" a="1"/>
  <c r="E151" i="102" s="1"/>
  <c r="D151" i="102" a="1"/>
  <c r="D151" i="102" s="1"/>
  <c r="F150" i="102" a="1"/>
  <c r="F150" i="102" s="1"/>
  <c r="E150" i="102" a="1"/>
  <c r="E150" i="102" s="1"/>
  <c r="D150" i="102" a="1"/>
  <c r="D150" i="102" s="1"/>
  <c r="F149" i="102" a="1"/>
  <c r="F149" i="102" s="1"/>
  <c r="E149" i="102" a="1"/>
  <c r="E149" i="102" s="1"/>
  <c r="D149" i="102" a="1"/>
  <c r="D149" i="102" s="1"/>
  <c r="F148" i="102" a="1"/>
  <c r="F148" i="102" s="1"/>
  <c r="E148" i="102" a="1"/>
  <c r="E148" i="102" s="1"/>
  <c r="D148" i="102" a="1"/>
  <c r="D148" i="102" s="1"/>
  <c r="F147" i="102" a="1"/>
  <c r="F147" i="102" s="1"/>
  <c r="E147" i="102" a="1"/>
  <c r="E147" i="102" s="1"/>
  <c r="D147" i="102" a="1"/>
  <c r="D147" i="102" s="1"/>
  <c r="F146" i="102" a="1"/>
  <c r="F146" i="102" s="1"/>
  <c r="E146" i="102" a="1"/>
  <c r="E146" i="102" s="1"/>
  <c r="D146" i="102" a="1"/>
  <c r="D146" i="102" s="1"/>
  <c r="F145" i="102" a="1"/>
  <c r="F145" i="102" s="1"/>
  <c r="E145" i="102" a="1"/>
  <c r="E145" i="102" s="1"/>
  <c r="D145" i="102" a="1"/>
  <c r="D145" i="102" s="1"/>
  <c r="F144" i="102" a="1"/>
  <c r="F144" i="102" s="1"/>
  <c r="E144" i="102" a="1"/>
  <c r="E144" i="102" s="1"/>
  <c r="D144" i="102" a="1"/>
  <c r="D144" i="102" s="1"/>
  <c r="F143" i="102" a="1"/>
  <c r="F143" i="102" s="1"/>
  <c r="E143" i="102" a="1"/>
  <c r="E143" i="102" s="1"/>
  <c r="D143" i="102" a="1"/>
  <c r="D143" i="102" s="1"/>
  <c r="F142" i="102" a="1"/>
  <c r="F142" i="102" s="1"/>
  <c r="E142" i="102" a="1"/>
  <c r="E142" i="102" s="1"/>
  <c r="D142" i="102" a="1"/>
  <c r="D142" i="102" s="1"/>
  <c r="F141" i="102" a="1"/>
  <c r="F141" i="102" s="1"/>
  <c r="E141" i="102" a="1"/>
  <c r="E141" i="102" s="1"/>
  <c r="D141" i="102" a="1"/>
  <c r="D141" i="102" s="1"/>
  <c r="F140" i="102" a="1"/>
  <c r="F140" i="102" s="1"/>
  <c r="E140" i="102" a="1"/>
  <c r="E140" i="102" s="1"/>
  <c r="D140" i="102" a="1"/>
  <c r="D140" i="102" s="1"/>
  <c r="F139" i="102" a="1"/>
  <c r="F139" i="102" s="1"/>
  <c r="E139" i="102" a="1"/>
  <c r="E139" i="102" s="1"/>
  <c r="D139" i="102" a="1"/>
  <c r="D139" i="102" s="1"/>
  <c r="F138" i="102" a="1"/>
  <c r="F138" i="102" s="1"/>
  <c r="E138" i="102" a="1"/>
  <c r="E138" i="102" s="1"/>
  <c r="D138" i="102" a="1"/>
  <c r="D138" i="102" s="1"/>
  <c r="F137" i="102" a="1"/>
  <c r="F137" i="102" s="1"/>
  <c r="E137" i="102" a="1"/>
  <c r="E137" i="102" s="1"/>
  <c r="D137" i="102" a="1"/>
  <c r="D137" i="102" s="1"/>
  <c r="F136" i="102" a="1"/>
  <c r="F136" i="102" s="1"/>
  <c r="E136" i="102" a="1"/>
  <c r="E136" i="102" s="1"/>
  <c r="D136" i="102" a="1"/>
  <c r="D136" i="102" s="1"/>
  <c r="F135" i="102" a="1"/>
  <c r="F135" i="102" s="1"/>
  <c r="E135" i="102" a="1"/>
  <c r="E135" i="102" s="1"/>
  <c r="D135" i="102" a="1"/>
  <c r="D135" i="102" s="1"/>
  <c r="F134" i="102" a="1"/>
  <c r="F134" i="102" s="1"/>
  <c r="E134" i="102" a="1"/>
  <c r="E134" i="102" s="1"/>
  <c r="D134" i="102" a="1"/>
  <c r="D134" i="102" s="1"/>
  <c r="F133" i="102" a="1"/>
  <c r="F133" i="102" s="1"/>
  <c r="E133" i="102" a="1"/>
  <c r="E133" i="102" s="1"/>
  <c r="D133" i="102" a="1"/>
  <c r="D133" i="102" s="1"/>
  <c r="F132" i="102" a="1"/>
  <c r="F132" i="102" s="1"/>
  <c r="E132" i="102" a="1"/>
  <c r="E132" i="102" s="1"/>
  <c r="D132" i="102" a="1"/>
  <c r="D132" i="102" s="1"/>
  <c r="F131" i="102" a="1"/>
  <c r="F131" i="102" s="1"/>
  <c r="E131" i="102" a="1"/>
  <c r="E131" i="102" s="1"/>
  <c r="D131" i="102" a="1"/>
  <c r="D131" i="102" s="1"/>
  <c r="F130" i="102" a="1"/>
  <c r="F130" i="102" s="1"/>
  <c r="E130" i="102" a="1"/>
  <c r="E130" i="102" s="1"/>
  <c r="D130" i="102" a="1"/>
  <c r="D130" i="102" s="1"/>
  <c r="F129" i="102" a="1"/>
  <c r="F129" i="102" s="1"/>
  <c r="E129" i="102" a="1"/>
  <c r="E129" i="102" s="1"/>
  <c r="D129" i="102" a="1"/>
  <c r="D129" i="102" s="1"/>
  <c r="F128" i="102" a="1"/>
  <c r="F128" i="102" s="1"/>
  <c r="E128" i="102" a="1"/>
  <c r="E128" i="102" s="1"/>
  <c r="D128" i="102" a="1"/>
  <c r="D128" i="102" s="1"/>
  <c r="F127" i="102" a="1"/>
  <c r="F127" i="102" s="1"/>
  <c r="E127" i="102" a="1"/>
  <c r="E127" i="102" s="1"/>
  <c r="D127" i="102" a="1"/>
  <c r="D127" i="102" s="1"/>
  <c r="F126" i="102" a="1"/>
  <c r="F126" i="102" s="1"/>
  <c r="E126" i="102" a="1"/>
  <c r="E126" i="102" s="1"/>
  <c r="D126" i="102" a="1"/>
  <c r="D126" i="102" s="1"/>
  <c r="F125" i="102" a="1"/>
  <c r="F125" i="102" s="1"/>
  <c r="E125" i="102" a="1"/>
  <c r="E125" i="102" s="1"/>
  <c r="D125" i="102" a="1"/>
  <c r="D125" i="102" s="1"/>
  <c r="F124" i="102" a="1"/>
  <c r="F124" i="102" s="1"/>
  <c r="E124" i="102" a="1"/>
  <c r="E124" i="102" s="1"/>
  <c r="D124" i="102" a="1"/>
  <c r="D124" i="102" s="1"/>
  <c r="F123" i="102" a="1"/>
  <c r="F123" i="102" s="1"/>
  <c r="E123" i="102" a="1"/>
  <c r="E123" i="102" s="1"/>
  <c r="D123" i="102" a="1"/>
  <c r="D123" i="102" s="1"/>
  <c r="F122" i="102" a="1"/>
  <c r="F122" i="102" s="1"/>
  <c r="E122" i="102" a="1"/>
  <c r="E122" i="102" s="1"/>
  <c r="D122" i="102" a="1"/>
  <c r="D122" i="102" s="1"/>
  <c r="F121" i="102" a="1"/>
  <c r="F121" i="102" s="1"/>
  <c r="E121" i="102" a="1"/>
  <c r="E121" i="102" s="1"/>
  <c r="D121" i="102" a="1"/>
  <c r="D121" i="102" s="1"/>
  <c r="F120" i="102" a="1"/>
  <c r="F120" i="102" s="1"/>
  <c r="E120" i="102" a="1"/>
  <c r="E120" i="102" s="1"/>
  <c r="D120" i="102" a="1"/>
  <c r="D120" i="102" s="1"/>
  <c r="F119" i="102" a="1"/>
  <c r="F119" i="102" s="1"/>
  <c r="E119" i="102" a="1"/>
  <c r="E119" i="102" s="1"/>
  <c r="D119" i="102" a="1"/>
  <c r="D119" i="102" s="1"/>
  <c r="F118" i="102" a="1"/>
  <c r="F118" i="102" s="1"/>
  <c r="E118" i="102" a="1"/>
  <c r="E118" i="102" s="1"/>
  <c r="D118" i="102" a="1"/>
  <c r="D118" i="102" s="1"/>
  <c r="F117" i="102" a="1"/>
  <c r="F117" i="102" s="1"/>
  <c r="E117" i="102" a="1"/>
  <c r="E117" i="102" s="1"/>
  <c r="D117" i="102" a="1"/>
  <c r="D117" i="102" s="1"/>
  <c r="F116" i="102" a="1"/>
  <c r="F116" i="102" s="1"/>
  <c r="E116" i="102" a="1"/>
  <c r="E116" i="102" s="1"/>
  <c r="D116" i="102" a="1"/>
  <c r="D116" i="102" s="1"/>
  <c r="F115" i="102" a="1"/>
  <c r="F115" i="102" s="1"/>
  <c r="E115" i="102" a="1"/>
  <c r="E115" i="102" s="1"/>
  <c r="D115" i="102" a="1"/>
  <c r="D115" i="102" s="1"/>
  <c r="F114" i="102" a="1"/>
  <c r="F114" i="102" s="1"/>
  <c r="E114" i="102" a="1"/>
  <c r="E114" i="102" s="1"/>
  <c r="D114" i="102" a="1"/>
  <c r="D114" i="102" s="1"/>
  <c r="F113" i="102" a="1"/>
  <c r="F113" i="102" s="1"/>
  <c r="E113" i="102" a="1"/>
  <c r="E113" i="102" s="1"/>
  <c r="D113" i="102" a="1"/>
  <c r="D113" i="102" s="1"/>
  <c r="F112" i="102" a="1"/>
  <c r="F112" i="102" s="1"/>
  <c r="E112" i="102" a="1"/>
  <c r="E112" i="102" s="1"/>
  <c r="D112" i="102" a="1"/>
  <c r="D112" i="102" s="1"/>
  <c r="F111" i="102" a="1"/>
  <c r="F111" i="102" s="1"/>
  <c r="E111" i="102" a="1"/>
  <c r="E111" i="102" s="1"/>
  <c r="D111" i="102" a="1"/>
  <c r="D111" i="102" s="1"/>
  <c r="F110" i="102" a="1"/>
  <c r="F110" i="102" s="1"/>
  <c r="E110" i="102" a="1"/>
  <c r="E110" i="102" s="1"/>
  <c r="D110" i="102" a="1"/>
  <c r="D110" i="102" s="1"/>
  <c r="F109" i="102" a="1"/>
  <c r="F109" i="102" s="1"/>
  <c r="E109" i="102" a="1"/>
  <c r="E109" i="102" s="1"/>
  <c r="D109" i="102" a="1"/>
  <c r="D109" i="102" s="1"/>
  <c r="F108" i="102" a="1"/>
  <c r="F108" i="102" s="1"/>
  <c r="E108" i="102" a="1"/>
  <c r="E108" i="102" s="1"/>
  <c r="D108" i="102" a="1"/>
  <c r="D108" i="102" s="1"/>
  <c r="F107" i="102" a="1"/>
  <c r="F107" i="102" s="1"/>
  <c r="E107" i="102" a="1"/>
  <c r="E107" i="102" s="1"/>
  <c r="D107" i="102" a="1"/>
  <c r="D107" i="102" s="1"/>
  <c r="F106" i="102" a="1"/>
  <c r="F106" i="102" s="1"/>
  <c r="E106" i="102" a="1"/>
  <c r="E106" i="102" s="1"/>
  <c r="D106" i="102" a="1"/>
  <c r="D106" i="102" s="1"/>
  <c r="F105" i="102" a="1"/>
  <c r="F105" i="102" s="1"/>
  <c r="E105" i="102" a="1"/>
  <c r="E105" i="102" s="1"/>
  <c r="D105" i="102" a="1"/>
  <c r="D105" i="102" s="1"/>
  <c r="F104" i="102" a="1"/>
  <c r="F104" i="102" s="1"/>
  <c r="E104" i="102" a="1"/>
  <c r="E104" i="102" s="1"/>
  <c r="D104" i="102" a="1"/>
  <c r="D104" i="102" s="1"/>
  <c r="F103" i="102" a="1"/>
  <c r="F103" i="102" s="1"/>
  <c r="E103" i="102" a="1"/>
  <c r="E103" i="102" s="1"/>
  <c r="D103" i="102" a="1"/>
  <c r="D103" i="102" s="1"/>
  <c r="F102" i="102" a="1"/>
  <c r="F102" i="102" s="1"/>
  <c r="E102" i="102" a="1"/>
  <c r="E102" i="102" s="1"/>
  <c r="D102" i="102" a="1"/>
  <c r="D102" i="102" s="1"/>
  <c r="F101" i="102" a="1"/>
  <c r="F101" i="102" s="1"/>
  <c r="E101" i="102" a="1"/>
  <c r="E101" i="102" s="1"/>
  <c r="D101" i="102" a="1"/>
  <c r="D101" i="102" s="1"/>
  <c r="F100" i="102" a="1"/>
  <c r="F100" i="102" s="1"/>
  <c r="E100" i="102" a="1"/>
  <c r="E100" i="102" s="1"/>
  <c r="D100" i="102" a="1"/>
  <c r="D100" i="102" s="1"/>
  <c r="F99" i="102" a="1"/>
  <c r="F99" i="102" s="1"/>
  <c r="E99" i="102" a="1"/>
  <c r="E99" i="102" s="1"/>
  <c r="D99" i="102" a="1"/>
  <c r="D99" i="102" s="1"/>
  <c r="F98" i="102" a="1"/>
  <c r="F98" i="102" s="1"/>
  <c r="E98" i="102" a="1"/>
  <c r="E98" i="102" s="1"/>
  <c r="D98" i="102" a="1"/>
  <c r="D98" i="102" s="1"/>
  <c r="F97" i="102" a="1"/>
  <c r="F97" i="102" s="1"/>
  <c r="E97" i="102" a="1"/>
  <c r="E97" i="102" s="1"/>
  <c r="D97" i="102" a="1"/>
  <c r="D97" i="102" s="1"/>
  <c r="F96" i="102" a="1"/>
  <c r="F96" i="102" s="1"/>
  <c r="E96" i="102" a="1"/>
  <c r="E96" i="102" s="1"/>
  <c r="D96" i="102" a="1"/>
  <c r="D96" i="102" s="1"/>
  <c r="F95" i="102" a="1"/>
  <c r="F95" i="102" s="1"/>
  <c r="E95" i="102" a="1"/>
  <c r="E95" i="102" s="1"/>
  <c r="D95" i="102" a="1"/>
  <c r="D95" i="102" s="1"/>
  <c r="F94" i="102" a="1"/>
  <c r="F94" i="102" s="1"/>
  <c r="E94" i="102" a="1"/>
  <c r="E94" i="102" s="1"/>
  <c r="D94" i="102" a="1"/>
  <c r="D94" i="102" s="1"/>
  <c r="F93" i="102" a="1"/>
  <c r="F93" i="102" s="1"/>
  <c r="E93" i="102" a="1"/>
  <c r="E93" i="102" s="1"/>
  <c r="D93" i="102" a="1"/>
  <c r="D93" i="102" s="1"/>
  <c r="D91" i="102" a="1"/>
  <c r="D91" i="102" s="1"/>
  <c r="F89" i="102" a="1"/>
  <c r="F89" i="102" s="1"/>
  <c r="E89" i="102" a="1"/>
  <c r="E89" i="102" s="1"/>
  <c r="D89" i="102" a="1"/>
  <c r="D89" i="102" s="1"/>
  <c r="F88" i="102" a="1"/>
  <c r="F88" i="102" s="1"/>
  <c r="E88" i="102" a="1"/>
  <c r="E88" i="102" s="1"/>
  <c r="D88" i="102" a="1"/>
  <c r="D88" i="102" s="1"/>
  <c r="F87" i="102" a="1"/>
  <c r="F87" i="102" s="1"/>
  <c r="E87" i="102" a="1"/>
  <c r="E87" i="102" s="1"/>
  <c r="D87" i="102" a="1"/>
  <c r="D87" i="102" s="1"/>
  <c r="F86" i="102" a="1"/>
  <c r="F86" i="102" s="1"/>
  <c r="E86" i="102" a="1"/>
  <c r="E86" i="102" s="1"/>
  <c r="D86" i="102" a="1"/>
  <c r="D86" i="102" s="1"/>
  <c r="F85" i="102" a="1"/>
  <c r="F85" i="102" s="1"/>
  <c r="E85" i="102" a="1"/>
  <c r="E85" i="102" s="1"/>
  <c r="D85" i="102" a="1"/>
  <c r="D85" i="102" s="1"/>
  <c r="F84" i="102" a="1"/>
  <c r="F84" i="102" s="1"/>
  <c r="E84" i="102" a="1"/>
  <c r="E84" i="102" s="1"/>
  <c r="D84" i="102" a="1"/>
  <c r="D84" i="102" s="1"/>
  <c r="F83" i="102" a="1"/>
  <c r="F83" i="102" s="1"/>
  <c r="E83" i="102" a="1"/>
  <c r="E83" i="102" s="1"/>
  <c r="D83" i="102" a="1"/>
  <c r="D83" i="102" s="1"/>
  <c r="F82" i="102" a="1"/>
  <c r="F82" i="102" s="1"/>
  <c r="E82" i="102" a="1"/>
  <c r="E82" i="102" s="1"/>
  <c r="D82" i="102" a="1"/>
  <c r="D82" i="102" s="1"/>
  <c r="F81" i="102" a="1"/>
  <c r="F81" i="102" s="1"/>
  <c r="E81" i="102" a="1"/>
  <c r="E81" i="102" s="1"/>
  <c r="D81" i="102" a="1"/>
  <c r="D81" i="102" s="1"/>
  <c r="F80" i="102" a="1"/>
  <c r="F80" i="102" s="1"/>
  <c r="E80" i="102" a="1"/>
  <c r="E80" i="102" s="1"/>
  <c r="D80" i="102" a="1"/>
  <c r="D80" i="102" s="1"/>
  <c r="F79" i="102" a="1"/>
  <c r="F79" i="102" s="1"/>
  <c r="E79" i="102" a="1"/>
  <c r="E79" i="102" s="1"/>
  <c r="D79" i="102" a="1"/>
  <c r="D79" i="102" s="1"/>
  <c r="F78" i="102" a="1"/>
  <c r="F78" i="102" s="1"/>
  <c r="E78" i="102" a="1"/>
  <c r="E78" i="102" s="1"/>
  <c r="D78" i="102" a="1"/>
  <c r="D78" i="102" s="1"/>
  <c r="F77" i="102" a="1"/>
  <c r="F77" i="102" s="1"/>
  <c r="E77" i="102" a="1"/>
  <c r="E77" i="102" s="1"/>
  <c r="D77" i="102" a="1"/>
  <c r="D77" i="102" s="1"/>
  <c r="F76" i="102" a="1"/>
  <c r="F76" i="102" s="1"/>
  <c r="E76" i="102" a="1"/>
  <c r="E76" i="102" s="1"/>
  <c r="D76" i="102" a="1"/>
  <c r="D76" i="102" s="1"/>
  <c r="F75" i="102" a="1"/>
  <c r="F75" i="102" s="1"/>
  <c r="E75" i="102" a="1"/>
  <c r="E75" i="102" s="1"/>
  <c r="D75" i="102" a="1"/>
  <c r="D75" i="102" s="1"/>
  <c r="F74" i="102" a="1"/>
  <c r="F74" i="102" s="1"/>
  <c r="E74" i="102" a="1"/>
  <c r="E74" i="102" s="1"/>
  <c r="D74" i="102" a="1"/>
  <c r="D74" i="102" s="1"/>
  <c r="D71" i="102" a="1"/>
  <c r="D71" i="102" s="1"/>
  <c r="D70" i="102" a="1"/>
  <c r="D70" i="102" s="1"/>
  <c r="F67" i="102" a="1"/>
  <c r="F67" i="102" s="1"/>
  <c r="E67" i="102" a="1"/>
  <c r="E67" i="102" s="1"/>
  <c r="D67" i="102" a="1"/>
  <c r="D67" i="102" s="1"/>
  <c r="F66" i="102" a="1"/>
  <c r="F66" i="102" s="1"/>
  <c r="E66" i="102" a="1"/>
  <c r="E66" i="102" s="1"/>
  <c r="D66" i="102" a="1"/>
  <c r="D66" i="102" s="1"/>
  <c r="F65" i="102" a="1"/>
  <c r="F65" i="102" s="1"/>
  <c r="E65" i="102" a="1"/>
  <c r="E65" i="102" s="1"/>
  <c r="D65" i="102" a="1"/>
  <c r="D65" i="102" s="1"/>
  <c r="F64" i="102" a="1"/>
  <c r="F64" i="102" s="1"/>
  <c r="E64" i="102" a="1"/>
  <c r="E64" i="102" s="1"/>
  <c r="D64" i="102" a="1"/>
  <c r="D64" i="102" s="1"/>
  <c r="F63" i="102" a="1"/>
  <c r="F63" i="102" s="1"/>
  <c r="E63" i="102" a="1"/>
  <c r="E63" i="102" s="1"/>
  <c r="D63" i="102" a="1"/>
  <c r="D63" i="102" s="1"/>
  <c r="D60" i="102" a="1"/>
  <c r="D60" i="102" s="1"/>
  <c r="D59" i="102" a="1"/>
  <c r="D59" i="102" s="1"/>
  <c r="I56" i="102" a="1"/>
  <c r="I56" i="102" s="1"/>
  <c r="H56" i="102" a="1"/>
  <c r="H56" i="102" s="1"/>
  <c r="G56" i="102" a="1"/>
  <c r="G56" i="102" s="1"/>
  <c r="F56" i="102" a="1"/>
  <c r="F56" i="102" s="1"/>
  <c r="E56" i="102" a="1"/>
  <c r="E56" i="102" s="1"/>
  <c r="D56" i="102" a="1"/>
  <c r="D56" i="102" s="1"/>
  <c r="I55" i="102" a="1"/>
  <c r="I55" i="102" s="1"/>
  <c r="H55" i="102" a="1"/>
  <c r="H55" i="102" s="1"/>
  <c r="G55" i="102" a="1"/>
  <c r="G55" i="102" s="1"/>
  <c r="F55" i="102" a="1"/>
  <c r="F55" i="102" s="1"/>
  <c r="E55" i="102" a="1"/>
  <c r="E55" i="102" s="1"/>
  <c r="D55" i="102" a="1"/>
  <c r="D55" i="102" s="1"/>
  <c r="I54" i="102" a="1"/>
  <c r="I54" i="102" s="1"/>
  <c r="H54" i="102" a="1"/>
  <c r="H54" i="102" s="1"/>
  <c r="G54" i="102" a="1"/>
  <c r="G54" i="102" s="1"/>
  <c r="F54" i="102" a="1"/>
  <c r="F54" i="102" s="1"/>
  <c r="E54" i="102" a="1"/>
  <c r="E54" i="102" s="1"/>
  <c r="D54" i="102" a="1"/>
  <c r="D54" i="102" s="1"/>
  <c r="I53" i="102" a="1"/>
  <c r="I53" i="102" s="1"/>
  <c r="H53" i="102" a="1"/>
  <c r="H53" i="102" s="1"/>
  <c r="G53" i="102" a="1"/>
  <c r="G53" i="102" s="1"/>
  <c r="F53" i="102" a="1"/>
  <c r="F53" i="102" s="1"/>
  <c r="E53" i="102" a="1"/>
  <c r="E53" i="102" s="1"/>
  <c r="D53" i="102" a="1"/>
  <c r="D53" i="102" s="1"/>
  <c r="I52" i="102" a="1"/>
  <c r="I52" i="102" s="1"/>
  <c r="H52" i="102" a="1"/>
  <c r="H52" i="102" s="1"/>
  <c r="G52" i="102" a="1"/>
  <c r="G52" i="102" s="1"/>
  <c r="F52" i="102" a="1"/>
  <c r="F52" i="102" s="1"/>
  <c r="E52" i="102" a="1"/>
  <c r="E52" i="102" s="1"/>
  <c r="D52" i="102" a="1"/>
  <c r="D52" i="102" s="1"/>
  <c r="D49" i="102" a="1"/>
  <c r="D49" i="102" s="1"/>
  <c r="D48" i="102" a="1"/>
  <c r="D48" i="102" s="1"/>
  <c r="E45" i="102" a="1"/>
  <c r="E45" i="102" s="1"/>
  <c r="D45" i="102" a="1"/>
  <c r="D45" i="102" s="1"/>
  <c r="E44" i="102" a="1"/>
  <c r="E44" i="102" s="1"/>
  <c r="D44" i="102" a="1"/>
  <c r="D44" i="102" s="1"/>
  <c r="D41" i="102" a="1"/>
  <c r="D41" i="102" s="1"/>
  <c r="D40" i="102" a="1"/>
  <c r="D40" i="102" s="1"/>
  <c r="L37" i="102" a="1"/>
  <c r="L37" i="102" s="1"/>
  <c r="K37" i="102" a="1"/>
  <c r="K37" i="102" s="1"/>
  <c r="J37" i="102" a="1"/>
  <c r="J37" i="102" s="1"/>
  <c r="I37" i="102" a="1"/>
  <c r="I37" i="102" s="1"/>
  <c r="H37" i="102" a="1"/>
  <c r="H37" i="102" s="1"/>
  <c r="G37" i="102" a="1"/>
  <c r="G37" i="102" s="1"/>
  <c r="F37" i="102" a="1"/>
  <c r="F37" i="102" s="1"/>
  <c r="E37" i="102" a="1"/>
  <c r="E37" i="102" s="1"/>
  <c r="D37" i="102" a="1"/>
  <c r="D37" i="102" s="1"/>
  <c r="L36" i="102" a="1"/>
  <c r="L36" i="102" s="1"/>
  <c r="K36" i="102" a="1"/>
  <c r="K36" i="102" s="1"/>
  <c r="J36" i="102" a="1"/>
  <c r="J36" i="102" s="1"/>
  <c r="I36" i="102" a="1"/>
  <c r="I36" i="102" s="1"/>
  <c r="H36" i="102" a="1"/>
  <c r="H36" i="102" s="1"/>
  <c r="G36" i="102" a="1"/>
  <c r="G36" i="102" s="1"/>
  <c r="F36" i="102" a="1"/>
  <c r="F36" i="102" s="1"/>
  <c r="E36" i="102" a="1"/>
  <c r="E36" i="102" s="1"/>
  <c r="D36" i="102" a="1"/>
  <c r="D36" i="102" s="1"/>
  <c r="L35" i="102" a="1"/>
  <c r="L35" i="102" s="1"/>
  <c r="K35" i="102" a="1"/>
  <c r="K35" i="102" s="1"/>
  <c r="J35" i="102" a="1"/>
  <c r="J35" i="102" s="1"/>
  <c r="I35" i="102" a="1"/>
  <c r="I35" i="102" s="1"/>
  <c r="H35" i="102" a="1"/>
  <c r="H35" i="102" s="1"/>
  <c r="G35" i="102" a="1"/>
  <c r="G35" i="102" s="1"/>
  <c r="F35" i="102" a="1"/>
  <c r="F35" i="102" s="1"/>
  <c r="E35" i="102" a="1"/>
  <c r="E35" i="102" s="1"/>
  <c r="D35" i="102" a="1"/>
  <c r="D35" i="102" s="1"/>
  <c r="L34" i="102" a="1"/>
  <c r="L34" i="102" s="1"/>
  <c r="K34" i="102" a="1"/>
  <c r="K34" i="102" s="1"/>
  <c r="J34" i="102" a="1"/>
  <c r="J34" i="102" s="1"/>
  <c r="I34" i="102" a="1"/>
  <c r="I34" i="102" s="1"/>
  <c r="H34" i="102" a="1"/>
  <c r="H34" i="102" s="1"/>
  <c r="G34" i="102" a="1"/>
  <c r="G34" i="102" s="1"/>
  <c r="F34" i="102" a="1"/>
  <c r="F34" i="102" s="1"/>
  <c r="E34" i="102" a="1"/>
  <c r="E34" i="102" s="1"/>
  <c r="D34" i="102" a="1"/>
  <c r="D34" i="102" s="1"/>
  <c r="L33" i="102" a="1"/>
  <c r="L33" i="102" s="1"/>
  <c r="K33" i="102" a="1"/>
  <c r="K33" i="102" s="1"/>
  <c r="J33" i="102" a="1"/>
  <c r="J33" i="102" s="1"/>
  <c r="I33" i="102" a="1"/>
  <c r="I33" i="102" s="1"/>
  <c r="H33" i="102" a="1"/>
  <c r="H33" i="102" s="1"/>
  <c r="G33" i="102" a="1"/>
  <c r="G33" i="102" s="1"/>
  <c r="F33" i="102" a="1"/>
  <c r="F33" i="102" s="1"/>
  <c r="E33" i="102" a="1"/>
  <c r="E33" i="102" s="1"/>
  <c r="D33" i="102" a="1"/>
  <c r="D33" i="102" s="1"/>
  <c r="L32" i="102" a="1"/>
  <c r="L32" i="102" s="1"/>
  <c r="K32" i="102" a="1"/>
  <c r="K32" i="102" s="1"/>
  <c r="J32" i="102" a="1"/>
  <c r="J32" i="102" s="1"/>
  <c r="I32" i="102" a="1"/>
  <c r="I32" i="102" s="1"/>
  <c r="H32" i="102" a="1"/>
  <c r="H32" i="102" s="1"/>
  <c r="G32" i="102" a="1"/>
  <c r="G32" i="102" s="1"/>
  <c r="F32" i="102" a="1"/>
  <c r="F32" i="102" s="1"/>
  <c r="E32" i="102" a="1"/>
  <c r="E32" i="102" s="1"/>
  <c r="D32" i="102" a="1"/>
  <c r="D32" i="102" s="1"/>
  <c r="L31" i="102" a="1"/>
  <c r="L31" i="102" s="1"/>
  <c r="K31" i="102" a="1"/>
  <c r="K31" i="102" s="1"/>
  <c r="J31" i="102" a="1"/>
  <c r="J31" i="102" s="1"/>
  <c r="I31" i="102" a="1"/>
  <c r="I31" i="102" s="1"/>
  <c r="H31" i="102" a="1"/>
  <c r="H31" i="102" s="1"/>
  <c r="G31" i="102" a="1"/>
  <c r="G31" i="102" s="1"/>
  <c r="F31" i="102" a="1"/>
  <c r="F31" i="102" s="1"/>
  <c r="E31" i="102" a="1"/>
  <c r="E31" i="102" s="1"/>
  <c r="D31" i="102" a="1"/>
  <c r="D31" i="102" s="1"/>
  <c r="L30" i="102" a="1"/>
  <c r="L30" i="102" s="1"/>
  <c r="K30" i="102" a="1"/>
  <c r="K30" i="102" s="1"/>
  <c r="J30" i="102" a="1"/>
  <c r="J30" i="102" s="1"/>
  <c r="I30" i="102" a="1"/>
  <c r="I30" i="102" s="1"/>
  <c r="H30" i="102" a="1"/>
  <c r="H30" i="102" s="1"/>
  <c r="G30" i="102" a="1"/>
  <c r="G30" i="102" s="1"/>
  <c r="F30" i="102" a="1"/>
  <c r="F30" i="102" s="1"/>
  <c r="E30" i="102" a="1"/>
  <c r="E30" i="102" s="1"/>
  <c r="D30" i="102" a="1"/>
  <c r="D30" i="102" s="1"/>
  <c r="L29" i="102" a="1"/>
  <c r="L29" i="102" s="1"/>
  <c r="K29" i="102" a="1"/>
  <c r="K29" i="102" s="1"/>
  <c r="J29" i="102" a="1"/>
  <c r="J29" i="102" s="1"/>
  <c r="I29" i="102" a="1"/>
  <c r="I29" i="102" s="1"/>
  <c r="H29" i="102" a="1"/>
  <c r="H29" i="102" s="1"/>
  <c r="G29" i="102" a="1"/>
  <c r="G29" i="102" s="1"/>
  <c r="F29" i="102" a="1"/>
  <c r="F29" i="102" s="1"/>
  <c r="E29" i="102" a="1"/>
  <c r="E29" i="102" s="1"/>
  <c r="D29" i="102" a="1"/>
  <c r="D29" i="102" s="1"/>
  <c r="L28" i="102" a="1"/>
  <c r="L28" i="102" s="1"/>
  <c r="K28" i="102" a="1"/>
  <c r="K28" i="102" s="1"/>
  <c r="J28" i="102" a="1"/>
  <c r="J28" i="102" s="1"/>
  <c r="I28" i="102" a="1"/>
  <c r="I28" i="102" s="1"/>
  <c r="H28" i="102" a="1"/>
  <c r="H28" i="102" s="1"/>
  <c r="G28" i="102" a="1"/>
  <c r="G28" i="102" s="1"/>
  <c r="F28" i="102" a="1"/>
  <c r="F28" i="102" s="1"/>
  <c r="E28" i="102" a="1"/>
  <c r="E28" i="102" s="1"/>
  <c r="D28" i="102" a="1"/>
  <c r="D28" i="102" s="1"/>
  <c r="L27" i="102" a="1"/>
  <c r="L27" i="102" s="1"/>
  <c r="K27" i="102" a="1"/>
  <c r="K27" i="102" s="1"/>
  <c r="J27" i="102" a="1"/>
  <c r="J27" i="102" s="1"/>
  <c r="I27" i="102" a="1"/>
  <c r="I27" i="102" s="1"/>
  <c r="H27" i="102" a="1"/>
  <c r="H27" i="102" s="1"/>
  <c r="G27" i="102" a="1"/>
  <c r="G27" i="102" s="1"/>
  <c r="F27" i="102" a="1"/>
  <c r="F27" i="102" s="1"/>
  <c r="E27" i="102" a="1"/>
  <c r="E27" i="102" s="1"/>
  <c r="D27" i="102" a="1"/>
  <c r="D27" i="102" s="1"/>
  <c r="L26" i="102" a="1"/>
  <c r="L26" i="102" s="1"/>
  <c r="K26" i="102" a="1"/>
  <c r="K26" i="102" s="1"/>
  <c r="J26" i="102" a="1"/>
  <c r="J26" i="102" s="1"/>
  <c r="I26" i="102" a="1"/>
  <c r="I26" i="102" s="1"/>
  <c r="H26" i="102" a="1"/>
  <c r="H26" i="102" s="1"/>
  <c r="G26" i="102" a="1"/>
  <c r="G26" i="102" s="1"/>
  <c r="F26" i="102" a="1"/>
  <c r="F26" i="102" s="1"/>
  <c r="E26" i="102" a="1"/>
  <c r="E26" i="102" s="1"/>
  <c r="D26" i="102" a="1"/>
  <c r="D26" i="102" s="1"/>
  <c r="L25" i="102" a="1"/>
  <c r="L25" i="102" s="1"/>
  <c r="K25" i="102" a="1"/>
  <c r="K25" i="102" s="1"/>
  <c r="J25" i="102" a="1"/>
  <c r="J25" i="102" s="1"/>
  <c r="I25" i="102" a="1"/>
  <c r="I25" i="102" s="1"/>
  <c r="H25" i="102" a="1"/>
  <c r="H25" i="102" s="1"/>
  <c r="G25" i="102" a="1"/>
  <c r="G25" i="102" s="1"/>
  <c r="F25" i="102" a="1"/>
  <c r="F25" i="102" s="1"/>
  <c r="E25" i="102" a="1"/>
  <c r="E25" i="102" s="1"/>
  <c r="D25" i="102" a="1"/>
  <c r="D25" i="102" s="1"/>
  <c r="L24" i="102" a="1"/>
  <c r="L24" i="102" s="1"/>
  <c r="K24" i="102" a="1"/>
  <c r="K24" i="102" s="1"/>
  <c r="J24" i="102" a="1"/>
  <c r="J24" i="102" s="1"/>
  <c r="I24" i="102" a="1"/>
  <c r="I24" i="102" s="1"/>
  <c r="H24" i="102" a="1"/>
  <c r="H24" i="102" s="1"/>
  <c r="G24" i="102" a="1"/>
  <c r="G24" i="102" s="1"/>
  <c r="F24" i="102" a="1"/>
  <c r="F24" i="102" s="1"/>
  <c r="E24" i="102" a="1"/>
  <c r="E24" i="102" s="1"/>
  <c r="D24" i="102" a="1"/>
  <c r="D24" i="102" s="1"/>
  <c r="L23" i="102" a="1"/>
  <c r="L23" i="102" s="1"/>
  <c r="K23" i="102" a="1"/>
  <c r="K23" i="102" s="1"/>
  <c r="J23" i="102" a="1"/>
  <c r="J23" i="102" s="1"/>
  <c r="I23" i="102" a="1"/>
  <c r="I23" i="102" s="1"/>
  <c r="H23" i="102" a="1"/>
  <c r="H23" i="102" s="1"/>
  <c r="G23" i="102" a="1"/>
  <c r="G23" i="102" s="1"/>
  <c r="F23" i="102" a="1"/>
  <c r="F23" i="102" s="1"/>
  <c r="E23" i="102" a="1"/>
  <c r="E23" i="102" s="1"/>
  <c r="D23" i="102" a="1"/>
  <c r="D23" i="102" s="1"/>
  <c r="L22" i="102" a="1"/>
  <c r="L22" i="102" s="1"/>
  <c r="K22" i="102" a="1"/>
  <c r="K22" i="102" s="1"/>
  <c r="J22" i="102" a="1"/>
  <c r="J22" i="102" s="1"/>
  <c r="I22" i="102" a="1"/>
  <c r="I22" i="102" s="1"/>
  <c r="H22" i="102" a="1"/>
  <c r="H22" i="102" s="1"/>
  <c r="G22" i="102" a="1"/>
  <c r="G22" i="102" s="1"/>
  <c r="F22" i="102" a="1"/>
  <c r="F22" i="102" s="1"/>
  <c r="E22" i="102" a="1"/>
  <c r="E22" i="102" s="1"/>
  <c r="D22" i="102" a="1"/>
  <c r="D22" i="102" s="1"/>
  <c r="L21" i="102" a="1"/>
  <c r="L21" i="102" s="1"/>
  <c r="K21" i="102" a="1"/>
  <c r="K21" i="102" s="1"/>
  <c r="J21" i="102" a="1"/>
  <c r="J21" i="102" s="1"/>
  <c r="I21" i="102" a="1"/>
  <c r="I21" i="102" s="1"/>
  <c r="H21" i="102" a="1"/>
  <c r="H21" i="102" s="1"/>
  <c r="G21" i="102" a="1"/>
  <c r="G21" i="102" s="1"/>
  <c r="F21" i="102" a="1"/>
  <c r="F21" i="102" s="1"/>
  <c r="E21" i="102" a="1"/>
  <c r="E21" i="102" s="1"/>
  <c r="D21" i="102" a="1"/>
  <c r="D21" i="102" s="1"/>
  <c r="L20" i="102" a="1"/>
  <c r="L20" i="102" s="1"/>
  <c r="K20" i="102" a="1"/>
  <c r="K20" i="102" s="1"/>
  <c r="J20" i="102" a="1"/>
  <c r="J20" i="102" s="1"/>
  <c r="I20" i="102" a="1"/>
  <c r="I20" i="102" s="1"/>
  <c r="H20" i="102" a="1"/>
  <c r="H20" i="102" s="1"/>
  <c r="G20" i="102" a="1"/>
  <c r="G20" i="102" s="1"/>
  <c r="F20" i="102" a="1"/>
  <c r="F20" i="102" s="1"/>
  <c r="E20" i="102" a="1"/>
  <c r="E20" i="102" s="1"/>
  <c r="D20" i="102" a="1"/>
  <c r="D20" i="102" s="1"/>
  <c r="D17" i="102" a="1"/>
  <c r="D17" i="102" s="1"/>
  <c r="D16" i="102" a="1"/>
  <c r="D16" i="102" s="1"/>
  <c r="D15" i="102" a="1"/>
  <c r="D15" i="102" s="1"/>
  <c r="K10" i="102" a="1"/>
  <c r="K10" i="102" s="1"/>
  <c r="J10" i="102" a="1"/>
  <c r="J10" i="102" s="1"/>
  <c r="I10" i="102" a="1"/>
  <c r="I10" i="102" s="1"/>
  <c r="H10" i="102" a="1"/>
  <c r="H10" i="102" s="1"/>
  <c r="G10" i="102" a="1"/>
  <c r="G10" i="102" s="1"/>
  <c r="F10" i="102" a="1"/>
  <c r="F10" i="102" s="1"/>
  <c r="E10" i="102" a="1"/>
  <c r="E10" i="102" s="1"/>
  <c r="D10" i="102" a="1"/>
  <c r="D10" i="102" s="1"/>
  <c r="K9" i="102" a="1"/>
  <c r="K9" i="102" s="1"/>
  <c r="J9" i="102" a="1"/>
  <c r="J9" i="102" s="1"/>
  <c r="I9" i="102" a="1"/>
  <c r="I9" i="102" s="1"/>
  <c r="H9" i="102" a="1"/>
  <c r="H9" i="102" s="1"/>
  <c r="G9" i="102" a="1"/>
  <c r="G9" i="102" s="1"/>
  <c r="F9" i="102" a="1"/>
  <c r="F9" i="102" s="1"/>
  <c r="E9" i="102" a="1"/>
  <c r="E9" i="102" s="1"/>
  <c r="D9" i="102" a="1"/>
  <c r="D9" i="102" s="1"/>
  <c r="K8" i="102" a="1"/>
  <c r="K8" i="102" s="1"/>
  <c r="J8" i="102" a="1"/>
  <c r="J8" i="102" s="1"/>
  <c r="I8" i="102" a="1"/>
  <c r="I8" i="102" s="1"/>
  <c r="H8" i="102" a="1"/>
  <c r="H8" i="102" s="1"/>
  <c r="G8" i="102" a="1"/>
  <c r="G8" i="102" s="1"/>
  <c r="F8" i="102" a="1"/>
  <c r="F8" i="102" s="1"/>
  <c r="E8" i="102" a="1"/>
  <c r="E8" i="102" s="1"/>
  <c r="D8" i="102" a="1"/>
  <c r="D8" i="102" s="1"/>
  <c r="D5" i="102" a="1"/>
  <c r="D5" i="102" s="1"/>
  <c r="P53" i="101" a="1"/>
  <c r="P53" i="101" s="1"/>
  <c r="F53" i="101" a="1"/>
  <c r="F53" i="101" s="1"/>
  <c r="N50" i="101" a="1"/>
  <c r="N50" i="101" s="1"/>
  <c r="D50" i="101" a="1"/>
  <c r="D50" i="101" s="1"/>
  <c r="N46" i="101"/>
  <c r="D46" i="101"/>
  <c r="J39" i="101"/>
  <c r="J36" i="101" a="1"/>
  <c r="J36" i="101" s="1"/>
  <c r="H36" i="101" a="1"/>
  <c r="H36" i="101" s="1"/>
  <c r="D36" i="101" a="1"/>
  <c r="D36" i="101" s="1"/>
  <c r="E34" i="101" a="1"/>
  <c r="E34" i="101" s="1"/>
  <c r="P48" i="101" s="1"/>
  <c r="E33" i="101" a="1"/>
  <c r="E33" i="101" s="1"/>
  <c r="D29" i="101" a="1"/>
  <c r="D29" i="101" s="1"/>
  <c r="D28" i="101" a="1"/>
  <c r="D28" i="101" s="1"/>
  <c r="G24" i="101"/>
  <c r="F24" i="101"/>
  <c r="J19" i="101" a="1"/>
  <c r="J19" i="101" s="1"/>
  <c r="J17" i="101"/>
  <c r="J16" i="101" a="1"/>
  <c r="J16" i="101" s="1"/>
  <c r="J14" i="101" a="1"/>
  <c r="J14" i="101" s="1"/>
  <c r="J13" i="101" a="1"/>
  <c r="J13" i="101" s="1"/>
  <c r="H13" i="101" a="1"/>
  <c r="H13" i="101" s="1"/>
  <c r="D13" i="101" a="1"/>
  <c r="D13" i="101" s="1"/>
  <c r="E11" i="101" a="1"/>
  <c r="E11" i="101" s="1"/>
  <c r="E10" i="101" a="1"/>
  <c r="E10" i="101" s="1"/>
  <c r="D6" i="101" a="1"/>
  <c r="D6" i="101" s="1"/>
  <c r="D5" i="101" a="1"/>
  <c r="D5" i="101" s="1"/>
  <c r="O66" i="100" a="1"/>
  <c r="O66" i="100" s="1"/>
  <c r="M63" i="100" a="1"/>
  <c r="M63" i="100" s="1"/>
  <c r="R58" i="100"/>
  <c r="P55" i="100" a="1"/>
  <c r="P55" i="100" s="1"/>
  <c r="M55" i="100" a="1"/>
  <c r="M55" i="100" s="1"/>
  <c r="N53" i="100" a="1"/>
  <c r="N53" i="100" s="1"/>
  <c r="N52" i="100" a="1"/>
  <c r="N52" i="100" s="1"/>
  <c r="M48" i="100" a="1"/>
  <c r="M48" i="100" s="1"/>
  <c r="M47" i="100" a="1"/>
  <c r="M47" i="100" s="1"/>
  <c r="F47" i="100" a="1"/>
  <c r="F47" i="100" s="1"/>
  <c r="D44" i="100" a="1"/>
  <c r="D44" i="100" s="1"/>
  <c r="I39" i="100"/>
  <c r="G36" i="100" a="1"/>
  <c r="G36" i="100" s="1"/>
  <c r="D36" i="100" a="1"/>
  <c r="D36" i="100" s="1"/>
  <c r="E34" i="100" a="1"/>
  <c r="E34" i="100" s="1"/>
  <c r="O61" i="100" s="1"/>
  <c r="E33" i="100" a="1"/>
  <c r="E33" i="100" s="1"/>
  <c r="P32" i="100" a="1"/>
  <c r="P32" i="100" s="1"/>
  <c r="M32" i="100" a="1"/>
  <c r="M32" i="100" s="1"/>
  <c r="N30" i="100" a="1"/>
  <c r="N30" i="100" s="1"/>
  <c r="N29" i="100" a="1"/>
  <c r="N29" i="100" s="1"/>
  <c r="D29" i="100" a="1"/>
  <c r="D29" i="100" s="1"/>
  <c r="D28" i="100" a="1"/>
  <c r="D28" i="100" s="1"/>
  <c r="M25" i="100" a="1"/>
  <c r="M25" i="100" s="1"/>
  <c r="M24" i="100" a="1"/>
  <c r="M24" i="100" s="1"/>
  <c r="I21" i="100"/>
  <c r="Q18" i="100"/>
  <c r="I16" i="100"/>
  <c r="O14" i="100" a="1"/>
  <c r="O14" i="100" s="1"/>
  <c r="M14" i="100" a="1"/>
  <c r="M14" i="100" s="1"/>
  <c r="G13" i="100" a="1"/>
  <c r="G13" i="100" s="1"/>
  <c r="D13" i="100" a="1"/>
  <c r="D13" i="100" s="1"/>
  <c r="N12" i="100" a="1"/>
  <c r="N12" i="100" s="1"/>
  <c r="N11" i="100" a="1"/>
  <c r="N11" i="100" s="1"/>
  <c r="E11" i="100" a="1"/>
  <c r="E11" i="100" s="1"/>
  <c r="E10" i="100" a="1"/>
  <c r="E10" i="100" s="1"/>
  <c r="M6" i="100" a="1"/>
  <c r="M6" i="100" s="1"/>
  <c r="D6" i="100" a="1"/>
  <c r="D6" i="100" s="1"/>
  <c r="M5" i="100" a="1"/>
  <c r="M5" i="100" s="1"/>
  <c r="D5" i="100" a="1"/>
  <c r="D5" i="100" s="1"/>
  <c r="E68" i="99" a="1"/>
  <c r="E68" i="99" s="1"/>
  <c r="D68" i="99" a="1"/>
  <c r="D68" i="99" s="1"/>
  <c r="E67" i="99" a="1"/>
  <c r="E67" i="99" s="1"/>
  <c r="D67" i="99" a="1"/>
  <c r="D67" i="99" s="1"/>
  <c r="E66" i="99" a="1"/>
  <c r="E66" i="99" s="1"/>
  <c r="D66" i="99" a="1"/>
  <c r="D66" i="99" s="1"/>
  <c r="E65" i="99" a="1"/>
  <c r="E65" i="99" s="1"/>
  <c r="D65" i="99" a="1"/>
  <c r="D65" i="99" s="1"/>
  <c r="E64" i="99" a="1"/>
  <c r="E64" i="99" s="1"/>
  <c r="D64" i="99" a="1"/>
  <c r="D64" i="99" s="1"/>
  <c r="E63" i="99" a="1"/>
  <c r="E63" i="99" s="1"/>
  <c r="D63" i="99" a="1"/>
  <c r="D63" i="99" s="1"/>
  <c r="E62" i="99" a="1"/>
  <c r="E62" i="99" s="1"/>
  <c r="D62" i="99" a="1"/>
  <c r="D62" i="99" s="1"/>
  <c r="E61" i="99" a="1"/>
  <c r="E61" i="99" s="1"/>
  <c r="D61" i="99" a="1"/>
  <c r="D61" i="99" s="1"/>
  <c r="E60" i="99" a="1"/>
  <c r="E60" i="99" s="1"/>
  <c r="D60" i="99" a="1"/>
  <c r="D60" i="99" s="1"/>
  <c r="E59" i="99" a="1"/>
  <c r="E59" i="99" s="1"/>
  <c r="D59" i="99" a="1"/>
  <c r="D59" i="99" s="1"/>
  <c r="E58" i="99" a="1"/>
  <c r="E58" i="99" s="1"/>
  <c r="D58" i="99" a="1"/>
  <c r="D58" i="99" s="1"/>
  <c r="D56" i="99" a="1"/>
  <c r="D56" i="99" s="1"/>
  <c r="D55" i="99" a="1"/>
  <c r="D55" i="99" s="1"/>
  <c r="D54" i="99" a="1"/>
  <c r="D54" i="99" s="1"/>
  <c r="D53" i="99" a="1"/>
  <c r="D53" i="99" s="1"/>
  <c r="D52" i="99" a="1"/>
  <c r="D52" i="99" s="1"/>
  <c r="G50" i="99" a="1"/>
  <c r="G50" i="99" s="1"/>
  <c r="F50" i="99" a="1"/>
  <c r="F50" i="99" s="1"/>
  <c r="E50" i="99" a="1"/>
  <c r="E50" i="99" s="1"/>
  <c r="O21" i="99" s="1"/>
  <c r="D50" i="99" a="1"/>
  <c r="D50" i="99" s="1"/>
  <c r="G49" i="99" a="1"/>
  <c r="G49" i="99" s="1"/>
  <c r="F49" i="99" a="1"/>
  <c r="F49" i="99" s="1"/>
  <c r="E49" i="99" a="1"/>
  <c r="E49" i="99" s="1"/>
  <c r="O20" i="99" s="1"/>
  <c r="D49" i="99" a="1"/>
  <c r="D49" i="99" s="1"/>
  <c r="G48" i="99" a="1"/>
  <c r="G48" i="99" s="1"/>
  <c r="F48" i="99" a="1"/>
  <c r="F48" i="99" s="1"/>
  <c r="E48" i="99" a="1"/>
  <c r="E48" i="99" s="1"/>
  <c r="O19" i="99" s="1"/>
  <c r="D48" i="99" a="1"/>
  <c r="D48" i="99" s="1"/>
  <c r="G47" i="99" a="1"/>
  <c r="G47" i="99" s="1"/>
  <c r="F47" i="99" a="1"/>
  <c r="F47" i="99" s="1"/>
  <c r="E47" i="99" a="1"/>
  <c r="E47" i="99" s="1"/>
  <c r="O18" i="99" s="1"/>
  <c r="D47" i="99" a="1"/>
  <c r="D47" i="99" s="1"/>
  <c r="G46" i="99" a="1"/>
  <c r="G46" i="99" s="1"/>
  <c r="F46" i="99" a="1"/>
  <c r="F46" i="99" s="1"/>
  <c r="E46" i="99" a="1"/>
  <c r="E46" i="99" s="1"/>
  <c r="O17" i="99" s="1"/>
  <c r="D46" i="99" a="1"/>
  <c r="D46" i="99" s="1"/>
  <c r="G45" i="99" a="1"/>
  <c r="G45" i="99" s="1"/>
  <c r="F45" i="99" a="1"/>
  <c r="F45" i="99" s="1"/>
  <c r="E45" i="99" a="1"/>
  <c r="E45" i="99" s="1"/>
  <c r="D45" i="99" a="1"/>
  <c r="D45" i="99" s="1"/>
  <c r="G44" i="99" a="1"/>
  <c r="G44" i="99" s="1"/>
  <c r="F44" i="99" a="1"/>
  <c r="F44" i="99" s="1"/>
  <c r="E44" i="99" a="1"/>
  <c r="E44" i="99" s="1"/>
  <c r="M21" i="99" s="1"/>
  <c r="D44" i="99" a="1"/>
  <c r="D44" i="99" s="1"/>
  <c r="G43" i="99" a="1"/>
  <c r="G43" i="99" s="1"/>
  <c r="F43" i="99" a="1"/>
  <c r="F43" i="99" s="1"/>
  <c r="E43" i="99" a="1"/>
  <c r="E43" i="99" s="1"/>
  <c r="M20" i="99" s="1"/>
  <c r="D43" i="99" a="1"/>
  <c r="D43" i="99" s="1"/>
  <c r="G42" i="99" a="1"/>
  <c r="G42" i="99" s="1"/>
  <c r="F42" i="99" a="1"/>
  <c r="F42" i="99" s="1"/>
  <c r="E42" i="99" a="1"/>
  <c r="E42" i="99" s="1"/>
  <c r="M19" i="99" s="1"/>
  <c r="D42" i="99" a="1"/>
  <c r="D42" i="99" s="1"/>
  <c r="G41" i="99" a="1"/>
  <c r="G41" i="99" s="1"/>
  <c r="F41" i="99" a="1"/>
  <c r="F41" i="99" s="1"/>
  <c r="E41" i="99" a="1"/>
  <c r="E41" i="99" s="1"/>
  <c r="M18" i="99" s="1"/>
  <c r="D41" i="99" a="1"/>
  <c r="D41" i="99" s="1"/>
  <c r="G40" i="99" a="1"/>
  <c r="G40" i="99" s="1"/>
  <c r="F40" i="99" a="1"/>
  <c r="F40" i="99" s="1"/>
  <c r="E40" i="99" a="1"/>
  <c r="E40" i="99" s="1"/>
  <c r="M17" i="99" s="1"/>
  <c r="D40" i="99" a="1"/>
  <c r="D40" i="99" s="1"/>
  <c r="G39" i="99" a="1"/>
  <c r="G39" i="99" s="1"/>
  <c r="F39" i="99" a="1"/>
  <c r="F39" i="99" s="1"/>
  <c r="E39" i="99" a="1"/>
  <c r="E39" i="99" s="1"/>
  <c r="D39" i="99" a="1"/>
  <c r="D39" i="99" s="1"/>
  <c r="G38" i="99" a="1"/>
  <c r="G38" i="99" s="1"/>
  <c r="F38" i="99" a="1"/>
  <c r="F38" i="99" s="1"/>
  <c r="E38" i="99" a="1"/>
  <c r="E38" i="99" s="1"/>
  <c r="K26" i="99" s="1"/>
  <c r="D38" i="99" a="1"/>
  <c r="D38" i="99" s="1"/>
  <c r="G37" i="99" a="1"/>
  <c r="G37" i="99" s="1"/>
  <c r="F37" i="99" a="1"/>
  <c r="F37" i="99" s="1"/>
  <c r="E37" i="99" a="1"/>
  <c r="E37" i="99" s="1"/>
  <c r="K25" i="99" s="1"/>
  <c r="D37" i="99" a="1"/>
  <c r="D37" i="99" s="1"/>
  <c r="G36" i="99" a="1"/>
  <c r="G36" i="99" s="1"/>
  <c r="F36" i="99" a="1"/>
  <c r="F36" i="99" s="1"/>
  <c r="E36" i="99" a="1"/>
  <c r="E36" i="99" s="1"/>
  <c r="K24" i="99" s="1"/>
  <c r="D36" i="99" a="1"/>
  <c r="D36" i="99" s="1"/>
  <c r="G35" i="99" a="1"/>
  <c r="G35" i="99" s="1"/>
  <c r="F35" i="99" a="1"/>
  <c r="F35" i="99" s="1"/>
  <c r="E35" i="99" a="1"/>
  <c r="E35" i="99" s="1"/>
  <c r="K23" i="99" s="1"/>
  <c r="D35" i="99" a="1"/>
  <c r="D35" i="99" s="1"/>
  <c r="G34" i="99" a="1"/>
  <c r="G34" i="99" s="1"/>
  <c r="F34" i="99" a="1"/>
  <c r="F34" i="99" s="1"/>
  <c r="E34" i="99" a="1"/>
  <c r="E34" i="99" s="1"/>
  <c r="K22" i="99" s="1"/>
  <c r="D34" i="99" a="1"/>
  <c r="D34" i="99" s="1"/>
  <c r="G33" i="99" a="1"/>
  <c r="G33" i="99" s="1"/>
  <c r="F33" i="99" a="1"/>
  <c r="F33" i="99" s="1"/>
  <c r="E33" i="99" a="1"/>
  <c r="E33" i="99" s="1"/>
  <c r="K21" i="99" s="1"/>
  <c r="D33" i="99" a="1"/>
  <c r="D33" i="99" s="1"/>
  <c r="G32" i="99" a="1"/>
  <c r="G32" i="99" s="1"/>
  <c r="F32" i="99" a="1"/>
  <c r="F32" i="99" s="1"/>
  <c r="E32" i="99" a="1"/>
  <c r="E32" i="99" s="1"/>
  <c r="K20" i="99" s="1"/>
  <c r="D32" i="99" a="1"/>
  <c r="D32" i="99" s="1"/>
  <c r="G31" i="99" a="1"/>
  <c r="G31" i="99" s="1"/>
  <c r="F31" i="99" a="1"/>
  <c r="F31" i="99" s="1"/>
  <c r="E31" i="99" a="1"/>
  <c r="E31" i="99" s="1"/>
  <c r="K19" i="99" s="1"/>
  <c r="D31" i="99" a="1"/>
  <c r="D31" i="99" s="1"/>
  <c r="G30" i="99" a="1"/>
  <c r="G30" i="99" s="1"/>
  <c r="F30" i="99" a="1"/>
  <c r="F30" i="99" s="1"/>
  <c r="E30" i="99" a="1"/>
  <c r="E30" i="99" s="1"/>
  <c r="K18" i="99" s="1"/>
  <c r="D30" i="99" a="1"/>
  <c r="D30" i="99" s="1"/>
  <c r="G29" i="99" a="1"/>
  <c r="G29" i="99" s="1"/>
  <c r="F29" i="99" a="1"/>
  <c r="F29" i="99" s="1"/>
  <c r="E29" i="99" a="1"/>
  <c r="E29" i="99" s="1"/>
  <c r="K17" i="99" s="1"/>
  <c r="D29" i="99" a="1"/>
  <c r="D29" i="99" s="1"/>
  <c r="G28" i="99" a="1"/>
  <c r="G28" i="99" s="1"/>
  <c r="F28" i="99" a="1"/>
  <c r="F28" i="99" s="1"/>
  <c r="E28" i="99" a="1"/>
  <c r="E28" i="99" s="1"/>
  <c r="D28" i="99" a="1"/>
  <c r="D28" i="99" s="1"/>
  <c r="G27" i="99" a="1"/>
  <c r="G27" i="99" s="1"/>
  <c r="F27" i="99" a="1"/>
  <c r="F27" i="99" s="1"/>
  <c r="E27" i="99" a="1"/>
  <c r="E27" i="99" s="1"/>
  <c r="I27" i="99" s="1"/>
  <c r="D27" i="99" a="1"/>
  <c r="D27" i="99" s="1"/>
  <c r="G26" i="99" a="1"/>
  <c r="G26" i="99" s="1"/>
  <c r="F26" i="99" a="1"/>
  <c r="F26" i="99" s="1"/>
  <c r="E26" i="99" a="1"/>
  <c r="E26" i="99" s="1"/>
  <c r="I26" i="99" s="1"/>
  <c r="D26" i="99" a="1"/>
  <c r="D26" i="99" s="1"/>
  <c r="G25" i="99" a="1"/>
  <c r="G25" i="99" s="1"/>
  <c r="F25" i="99" a="1"/>
  <c r="F25" i="99" s="1"/>
  <c r="E25" i="99" a="1"/>
  <c r="E25" i="99" s="1"/>
  <c r="I25" i="99" s="1"/>
  <c r="D25" i="99" a="1"/>
  <c r="D25" i="99" s="1"/>
  <c r="G24" i="99" a="1"/>
  <c r="G24" i="99" s="1"/>
  <c r="F24" i="99" a="1"/>
  <c r="F24" i="99" s="1"/>
  <c r="E24" i="99" a="1"/>
  <c r="E24" i="99" s="1"/>
  <c r="I24" i="99" s="1"/>
  <c r="D24" i="99" a="1"/>
  <c r="D24" i="99" s="1"/>
  <c r="G23" i="99" a="1"/>
  <c r="G23" i="99" s="1"/>
  <c r="F23" i="99" a="1"/>
  <c r="F23" i="99" s="1"/>
  <c r="E23" i="99" a="1"/>
  <c r="E23" i="99" s="1"/>
  <c r="I23" i="99" s="1"/>
  <c r="D23" i="99" a="1"/>
  <c r="D23" i="99" s="1"/>
  <c r="G22" i="99" a="1"/>
  <c r="G22" i="99" s="1"/>
  <c r="F22" i="99" a="1"/>
  <c r="F22" i="99" s="1"/>
  <c r="E22" i="99" a="1"/>
  <c r="E22" i="99" s="1"/>
  <c r="I22" i="99" s="1"/>
  <c r="D22" i="99" a="1"/>
  <c r="D22" i="99" s="1"/>
  <c r="G21" i="99" a="1"/>
  <c r="G21" i="99" s="1"/>
  <c r="F21" i="99" a="1"/>
  <c r="F21" i="99" s="1"/>
  <c r="E21" i="99" a="1"/>
  <c r="E21" i="99" s="1"/>
  <c r="I21" i="99" s="1"/>
  <c r="D21" i="99" a="1"/>
  <c r="D21" i="99" s="1"/>
  <c r="G20" i="99" a="1"/>
  <c r="G20" i="99" s="1"/>
  <c r="F20" i="99" a="1"/>
  <c r="F20" i="99" s="1"/>
  <c r="E20" i="99" a="1"/>
  <c r="E20" i="99" s="1"/>
  <c r="I20" i="99" s="1"/>
  <c r="D20" i="99" a="1"/>
  <c r="D20" i="99" s="1"/>
  <c r="G19" i="99" a="1"/>
  <c r="G19" i="99" s="1"/>
  <c r="F19" i="99" a="1"/>
  <c r="F19" i="99" s="1"/>
  <c r="E19" i="99" a="1"/>
  <c r="E19" i="99" s="1"/>
  <c r="I19" i="99" s="1"/>
  <c r="D19" i="99" a="1"/>
  <c r="D19" i="99" s="1"/>
  <c r="G18" i="99" a="1"/>
  <c r="G18" i="99" s="1"/>
  <c r="F18" i="99" a="1"/>
  <c r="F18" i="99" s="1"/>
  <c r="E18" i="99" a="1"/>
  <c r="E18" i="99" s="1"/>
  <c r="I18" i="99" s="1"/>
  <c r="D18" i="99" a="1"/>
  <c r="D18" i="99" s="1"/>
  <c r="G17" i="99" a="1"/>
  <c r="G17" i="99" s="1"/>
  <c r="F17" i="99" a="1"/>
  <c r="F17" i="99" s="1"/>
  <c r="E17" i="99" a="1"/>
  <c r="E17" i="99" s="1"/>
  <c r="D17" i="99" a="1"/>
  <c r="D17" i="99" s="1"/>
  <c r="D15" i="99" a="1"/>
  <c r="D15" i="99" s="1"/>
  <c r="D14" i="99" a="1"/>
  <c r="D14" i="99" s="1"/>
  <c r="D7" i="99" a="1"/>
  <c r="D7" i="99" s="1"/>
  <c r="D6" i="99" a="1"/>
  <c r="D6" i="99" s="1"/>
  <c r="D5" i="99" a="1"/>
  <c r="D5" i="99" s="1"/>
  <c r="H185" i="98"/>
  <c r="H179" i="98"/>
  <c r="H168" i="98"/>
  <c r="H144" i="98"/>
  <c r="H138" i="98"/>
  <c r="H127" i="98"/>
  <c r="H105" i="98" a="1"/>
  <c r="H105" i="98" s="1"/>
  <c r="D105" i="98" a="1"/>
  <c r="D105" i="98" s="1"/>
  <c r="E103" i="98" a="1"/>
  <c r="E103" i="98" s="1"/>
  <c r="E102" i="98" a="1"/>
  <c r="E102" i="98" s="1"/>
  <c r="D98" i="98" a="1"/>
  <c r="D98" i="98" s="1"/>
  <c r="D97" i="98" a="1"/>
  <c r="D97" i="98" s="1"/>
  <c r="D96" i="98" a="1"/>
  <c r="D96" i="98" s="1"/>
  <c r="J16" i="98" a="1"/>
  <c r="J16" i="98" s="1"/>
  <c r="I16" i="98" a="1"/>
  <c r="I16" i="98" s="1"/>
  <c r="J15" i="98" a="1"/>
  <c r="J15" i="98" s="1"/>
  <c r="I15" i="98" a="1"/>
  <c r="I15" i="98" s="1"/>
  <c r="J14" i="98" a="1"/>
  <c r="J14" i="98" s="1"/>
  <c r="I14" i="98" a="1"/>
  <c r="I14" i="98" s="1"/>
  <c r="J13" i="98" a="1"/>
  <c r="J13" i="98" s="1"/>
  <c r="I13" i="98" a="1"/>
  <c r="I13" i="98" s="1"/>
  <c r="G13" i="98" a="1"/>
  <c r="G13" i="98" s="1"/>
  <c r="D13" i="98" a="1"/>
  <c r="D13" i="98" s="1"/>
  <c r="E11" i="98" a="1"/>
  <c r="E11" i="98" s="1"/>
  <c r="E10" i="98" a="1"/>
  <c r="E10" i="98" s="1"/>
  <c r="D6" i="98" a="1"/>
  <c r="D6" i="98" s="1"/>
  <c r="D5" i="98" a="1"/>
  <c r="D5" i="98" s="1"/>
  <c r="E139" i="96"/>
  <c r="F40" i="95" s="1"/>
  <c r="G138" i="96"/>
  <c r="F32" i="94" s="1"/>
  <c r="E138" i="96"/>
  <c r="F39" i="95" s="1"/>
  <c r="M39" i="95" s="1" a="1"/>
  <c r="M39" i="95" s="1"/>
  <c r="G137" i="96"/>
  <c r="F31" i="94" s="1"/>
  <c r="E137" i="96"/>
  <c r="F38" i="95" s="1"/>
  <c r="D137" i="96"/>
  <c r="F31" i="95" s="1"/>
  <c r="G136" i="96"/>
  <c r="F30" i="94" s="1"/>
  <c r="M30" i="94" s="1" a="1"/>
  <c r="M30" i="94" s="1"/>
  <c r="E136" i="96"/>
  <c r="F37" i="95" s="1"/>
  <c r="D136" i="96"/>
  <c r="F30" i="95" s="1"/>
  <c r="M30" i="95" s="1" a="1"/>
  <c r="M30" i="95" s="1"/>
  <c r="G135" i="96"/>
  <c r="F29" i="94" s="1"/>
  <c r="E135" i="96"/>
  <c r="F36" i="95" s="1"/>
  <c r="M36" i="95" s="1" a="1"/>
  <c r="M36" i="95" s="1"/>
  <c r="D135" i="96"/>
  <c r="F29" i="95" s="1"/>
  <c r="G134" i="96"/>
  <c r="F28" i="94" s="1"/>
  <c r="E134" i="96"/>
  <c r="F35" i="95" s="1"/>
  <c r="D134" i="96"/>
  <c r="F28" i="95" s="1"/>
  <c r="G133" i="96"/>
  <c r="F27" i="94" s="1"/>
  <c r="M27" i="94" s="1" a="1"/>
  <c r="M27" i="94" s="1"/>
  <c r="F133" i="96"/>
  <c r="F36" i="94" s="1"/>
  <c r="M36" i="94" s="1" a="1"/>
  <c r="M36" i="94" s="1"/>
  <c r="E133" i="96"/>
  <c r="F34" i="95" s="1"/>
  <c r="D133" i="96"/>
  <c r="F27" i="95" s="1"/>
  <c r="M27" i="95" s="1" a="1"/>
  <c r="M27" i="95" s="1"/>
  <c r="I132" i="96"/>
  <c r="F38" i="94" s="1"/>
  <c r="G132" i="96"/>
  <c r="F26" i="94" s="1"/>
  <c r="F132" i="96"/>
  <c r="F35" i="94" s="1"/>
  <c r="E132" i="96"/>
  <c r="F33" i="95" s="1"/>
  <c r="M33" i="95" s="1" a="1"/>
  <c r="M33" i="95" s="1"/>
  <c r="D132" i="96"/>
  <c r="F26" i="95" s="1"/>
  <c r="I131" i="96"/>
  <c r="F37" i="94" s="1"/>
  <c r="H131" i="96"/>
  <c r="F33" i="94" s="1"/>
  <c r="G131" i="96"/>
  <c r="F25" i="94" s="1"/>
  <c r="M25" i="94" s="1" a="1"/>
  <c r="M25" i="94" s="1"/>
  <c r="F131" i="96"/>
  <c r="F34" i="94" s="1"/>
  <c r="E131" i="96"/>
  <c r="F32" i="95" s="1"/>
  <c r="D131" i="96"/>
  <c r="F25" i="95" s="1"/>
  <c r="F120" i="96" a="1"/>
  <c r="F120" i="96" s="1"/>
  <c r="E120" i="96" a="1"/>
  <c r="E120" i="96" s="1"/>
  <c r="D120" i="96" a="1"/>
  <c r="D120" i="96" s="1"/>
  <c r="F119" i="96" a="1"/>
  <c r="F119" i="96" s="1"/>
  <c r="E119" i="96" a="1"/>
  <c r="E119" i="96" s="1"/>
  <c r="D119" i="96" a="1"/>
  <c r="D119" i="96" s="1"/>
  <c r="F118" i="96" a="1"/>
  <c r="F118" i="96" s="1"/>
  <c r="E118" i="96" a="1"/>
  <c r="E118" i="96" s="1"/>
  <c r="D118" i="96" a="1"/>
  <c r="D118" i="96" s="1"/>
  <c r="F117" i="96" a="1"/>
  <c r="F117" i="96" s="1"/>
  <c r="E117" i="96" a="1"/>
  <c r="E117" i="96" s="1"/>
  <c r="D117" i="96" a="1"/>
  <c r="D117" i="96" s="1"/>
  <c r="F116" i="96" a="1"/>
  <c r="F116" i="96" s="1"/>
  <c r="E116" i="96" a="1"/>
  <c r="E116" i="96" s="1"/>
  <c r="D116" i="96" a="1"/>
  <c r="D116" i="96" s="1"/>
  <c r="F115" i="96" a="1"/>
  <c r="F115" i="96" s="1"/>
  <c r="E115" i="96" a="1"/>
  <c r="E115" i="96" s="1"/>
  <c r="D115" i="96" a="1"/>
  <c r="D115" i="96" s="1"/>
  <c r="F114" i="96" a="1"/>
  <c r="F114" i="96" s="1"/>
  <c r="E114" i="96" a="1"/>
  <c r="E114" i="96" s="1"/>
  <c r="D114" i="96" a="1"/>
  <c r="D114" i="96" s="1"/>
  <c r="G113" i="96" a="1"/>
  <c r="G113" i="96" s="1"/>
  <c r="F113" i="96" a="1"/>
  <c r="F113" i="96" s="1"/>
  <c r="E113" i="96" a="1"/>
  <c r="E113" i="96" s="1"/>
  <c r="D113" i="96" a="1"/>
  <c r="D113" i="96" s="1"/>
  <c r="D110" i="96" a="1"/>
  <c r="D110" i="96" s="1"/>
  <c r="D109" i="96" a="1"/>
  <c r="D109" i="96" s="1"/>
  <c r="D108" i="96" a="1"/>
  <c r="D108" i="96" s="1"/>
  <c r="D107" i="96" a="1"/>
  <c r="D107" i="96" s="1"/>
  <c r="J104" i="96" a="1"/>
  <c r="J104" i="96" s="1"/>
  <c r="I104" i="96" a="1"/>
  <c r="I104" i="96" s="1"/>
  <c r="H104" i="96" a="1"/>
  <c r="H104" i="96" s="1"/>
  <c r="G104" i="96" a="1"/>
  <c r="G104" i="96" s="1"/>
  <c r="F104" i="96" a="1"/>
  <c r="F104" i="96" s="1"/>
  <c r="E104" i="96" a="1"/>
  <c r="E104" i="96" s="1"/>
  <c r="D104" i="96" a="1"/>
  <c r="D104" i="96" s="1"/>
  <c r="E40" i="95" s="1"/>
  <c r="J103" i="96" a="1"/>
  <c r="J103" i="96" s="1"/>
  <c r="I103" i="96" a="1"/>
  <c r="I103" i="96" s="1"/>
  <c r="H103" i="96" a="1"/>
  <c r="H103" i="96" s="1"/>
  <c r="G103" i="96" a="1"/>
  <c r="G103" i="96" s="1"/>
  <c r="F103" i="96" a="1"/>
  <c r="F103" i="96" s="1"/>
  <c r="E103" i="96" a="1"/>
  <c r="E103" i="96" s="1"/>
  <c r="D103" i="96" a="1"/>
  <c r="D103" i="96" s="1"/>
  <c r="E39" i="95" s="1"/>
  <c r="J102" i="96" a="1"/>
  <c r="J102" i="96" s="1"/>
  <c r="I102" i="96" a="1"/>
  <c r="I102" i="96" s="1"/>
  <c r="H102" i="96" a="1"/>
  <c r="H102" i="96" s="1"/>
  <c r="G102" i="96" a="1"/>
  <c r="G102" i="96" s="1"/>
  <c r="F102" i="96" a="1"/>
  <c r="F102" i="96" s="1"/>
  <c r="E102" i="96" a="1"/>
  <c r="E102" i="96" s="1"/>
  <c r="D102" i="96" a="1"/>
  <c r="D102" i="96" s="1"/>
  <c r="J101" i="96" a="1"/>
  <c r="J101" i="96" s="1"/>
  <c r="I101" i="96" a="1"/>
  <c r="I101" i="96" s="1"/>
  <c r="H101" i="96" a="1"/>
  <c r="H101" i="96" s="1"/>
  <c r="G101" i="96" a="1"/>
  <c r="G101" i="96" s="1"/>
  <c r="F101" i="96" a="1"/>
  <c r="F101" i="96" s="1"/>
  <c r="E101" i="96" a="1"/>
  <c r="E101" i="96" s="1"/>
  <c r="D101" i="96" a="1"/>
  <c r="D101" i="96" s="1"/>
  <c r="J100" i="96" a="1"/>
  <c r="J100" i="96" s="1"/>
  <c r="I100" i="96" a="1"/>
  <c r="I100" i="96" s="1"/>
  <c r="H100" i="96" a="1"/>
  <c r="H100" i="96" s="1"/>
  <c r="G100" i="96" a="1"/>
  <c r="G100" i="96" s="1"/>
  <c r="F100" i="96" a="1"/>
  <c r="F100" i="96" s="1"/>
  <c r="E100" i="96" a="1"/>
  <c r="E100" i="96" s="1"/>
  <c r="D100" i="96" a="1"/>
  <c r="D100" i="96" s="1"/>
  <c r="J99" i="96" a="1"/>
  <c r="J99" i="96" s="1"/>
  <c r="I99" i="96" a="1"/>
  <c r="I99" i="96" s="1"/>
  <c r="H99" i="96" a="1"/>
  <c r="H99" i="96" s="1"/>
  <c r="G99" i="96" a="1"/>
  <c r="G99" i="96" s="1"/>
  <c r="F99" i="96" a="1"/>
  <c r="F99" i="96" s="1"/>
  <c r="E99" i="96" a="1"/>
  <c r="E99" i="96" s="1"/>
  <c r="D99" i="96" a="1"/>
  <c r="D99" i="96" s="1"/>
  <c r="J98" i="96" a="1"/>
  <c r="J98" i="96" s="1"/>
  <c r="I98" i="96" a="1"/>
  <c r="I98" i="96" s="1"/>
  <c r="H98" i="96" a="1"/>
  <c r="H98" i="96" s="1"/>
  <c r="G98" i="96" a="1"/>
  <c r="G98" i="96" s="1"/>
  <c r="F98" i="96" a="1"/>
  <c r="F98" i="96" s="1"/>
  <c r="E98" i="96" a="1"/>
  <c r="E98" i="96" s="1"/>
  <c r="D98" i="96" a="1"/>
  <c r="D98" i="96" s="1"/>
  <c r="J97" i="96" a="1"/>
  <c r="J97" i="96" s="1"/>
  <c r="I97" i="96" a="1"/>
  <c r="I97" i="96" s="1"/>
  <c r="H97" i="96" a="1"/>
  <c r="H97" i="96" s="1"/>
  <c r="G97" i="96" a="1"/>
  <c r="G97" i="96" s="1"/>
  <c r="F97" i="96" a="1"/>
  <c r="F97" i="96" s="1"/>
  <c r="E97" i="96" a="1"/>
  <c r="E97" i="96" s="1"/>
  <c r="D97" i="96" a="1"/>
  <c r="D97" i="96" s="1"/>
  <c r="J96" i="96" a="1"/>
  <c r="J96" i="96" s="1"/>
  <c r="I96" i="96" a="1"/>
  <c r="I96" i="96" s="1"/>
  <c r="H96" i="96" a="1"/>
  <c r="H96" i="96" s="1"/>
  <c r="G96" i="96" a="1"/>
  <c r="G96" i="96" s="1"/>
  <c r="F96" i="96" a="1"/>
  <c r="F96" i="96" s="1"/>
  <c r="E96" i="96" a="1"/>
  <c r="E96" i="96" s="1"/>
  <c r="D96" i="96" a="1"/>
  <c r="D96" i="96" s="1"/>
  <c r="J95" i="96" a="1"/>
  <c r="J95" i="96" s="1"/>
  <c r="I95" i="96" a="1"/>
  <c r="I95" i="96" s="1"/>
  <c r="H95" i="96" a="1"/>
  <c r="H95" i="96" s="1"/>
  <c r="G95" i="96" a="1"/>
  <c r="G95" i="96" s="1"/>
  <c r="F95" i="96" a="1"/>
  <c r="F95" i="96" s="1"/>
  <c r="E95" i="96" a="1"/>
  <c r="E95" i="96" s="1"/>
  <c r="D95" i="96" a="1"/>
  <c r="D95" i="96" s="1"/>
  <c r="J94" i="96" a="1"/>
  <c r="J94" i="96" s="1"/>
  <c r="I94" i="96" a="1"/>
  <c r="I94" i="96" s="1"/>
  <c r="H94" i="96" a="1"/>
  <c r="H94" i="96" s="1"/>
  <c r="G94" i="96" a="1"/>
  <c r="G94" i="96" s="1"/>
  <c r="F94" i="96" a="1"/>
  <c r="F94" i="96" s="1"/>
  <c r="E94" i="96" a="1"/>
  <c r="E94" i="96" s="1"/>
  <c r="D94" i="96" a="1"/>
  <c r="D94" i="96" s="1"/>
  <c r="J93" i="96" a="1"/>
  <c r="J93" i="96" s="1"/>
  <c r="I93" i="96" a="1"/>
  <c r="I93" i="96" s="1"/>
  <c r="H93" i="96" a="1"/>
  <c r="H93" i="96" s="1"/>
  <c r="G93" i="96" a="1"/>
  <c r="G93" i="96" s="1"/>
  <c r="F93" i="96" a="1"/>
  <c r="F93" i="96" s="1"/>
  <c r="E93" i="96" a="1"/>
  <c r="E93" i="96" s="1"/>
  <c r="D93" i="96" a="1"/>
  <c r="D93" i="96" s="1"/>
  <c r="J92" i="96" a="1"/>
  <c r="J92" i="96" s="1"/>
  <c r="I92" i="96" a="1"/>
  <c r="I92" i="96" s="1"/>
  <c r="H92" i="96" a="1"/>
  <c r="H92" i="96" s="1"/>
  <c r="G92" i="96" a="1"/>
  <c r="G92" i="96" s="1"/>
  <c r="F92" i="96" a="1"/>
  <c r="F92" i="96" s="1"/>
  <c r="E92" i="96" a="1"/>
  <c r="E92" i="96" s="1"/>
  <c r="D92" i="96" a="1"/>
  <c r="D92" i="96" s="1"/>
  <c r="J91" i="96" a="1"/>
  <c r="J91" i="96" s="1"/>
  <c r="I91" i="96" a="1"/>
  <c r="I91" i="96" s="1"/>
  <c r="H91" i="96" a="1"/>
  <c r="H91" i="96" s="1"/>
  <c r="G91" i="96" a="1"/>
  <c r="G91" i="96" s="1"/>
  <c r="F91" i="96" a="1"/>
  <c r="F91" i="96" s="1"/>
  <c r="E91" i="96" a="1"/>
  <c r="E91" i="96" s="1"/>
  <c r="D91" i="96" a="1"/>
  <c r="D91" i="96" s="1"/>
  <c r="J90" i="96" a="1"/>
  <c r="J90" i="96" s="1"/>
  <c r="I90" i="96" a="1"/>
  <c r="I90" i="96" s="1"/>
  <c r="H90" i="96" a="1"/>
  <c r="H90" i="96" s="1"/>
  <c r="G90" i="96" a="1"/>
  <c r="G90" i="96" s="1"/>
  <c r="F90" i="96" a="1"/>
  <c r="F90" i="96" s="1"/>
  <c r="E90" i="96" a="1"/>
  <c r="E90" i="96" s="1"/>
  <c r="D90" i="96" a="1"/>
  <c r="D90" i="96" s="1"/>
  <c r="J89" i="96" a="1"/>
  <c r="J89" i="96" s="1"/>
  <c r="I89" i="96" a="1"/>
  <c r="I89" i="96" s="1"/>
  <c r="H89" i="96" a="1"/>
  <c r="H89" i="96" s="1"/>
  <c r="G89" i="96" a="1"/>
  <c r="G89" i="96" s="1"/>
  <c r="F89" i="96" a="1"/>
  <c r="F89" i="96" s="1"/>
  <c r="E89" i="96" a="1"/>
  <c r="E89" i="96" s="1"/>
  <c r="D89" i="96" a="1"/>
  <c r="D89" i="96" s="1"/>
  <c r="J88" i="96" a="1"/>
  <c r="J88" i="96" s="1"/>
  <c r="I88" i="96" a="1"/>
  <c r="I88" i="96" s="1"/>
  <c r="H88" i="96" a="1"/>
  <c r="H88" i="96" s="1"/>
  <c r="G88" i="96" a="1"/>
  <c r="G88" i="96" s="1"/>
  <c r="F88" i="96" a="1"/>
  <c r="F88" i="96" s="1"/>
  <c r="E88" i="96" a="1"/>
  <c r="E88" i="96" s="1"/>
  <c r="D88" i="96" a="1"/>
  <c r="D88" i="96" s="1"/>
  <c r="J87" i="96" a="1"/>
  <c r="J87" i="96" s="1"/>
  <c r="I87" i="96" a="1"/>
  <c r="I87" i="96" s="1"/>
  <c r="H87" i="96" a="1"/>
  <c r="H87" i="96" s="1"/>
  <c r="G87" i="96" a="1"/>
  <c r="G87" i="96" s="1"/>
  <c r="F87" i="96" a="1"/>
  <c r="F87" i="96" s="1"/>
  <c r="E87" i="96" a="1"/>
  <c r="E87" i="96" s="1"/>
  <c r="D87" i="96" a="1"/>
  <c r="D87" i="96" s="1"/>
  <c r="D84" i="96" a="1"/>
  <c r="D84" i="96" s="1"/>
  <c r="D83" i="96" a="1"/>
  <c r="D83" i="96" s="1"/>
  <c r="D82" i="96" a="1"/>
  <c r="D82" i="96" s="1"/>
  <c r="D81" i="96" a="1"/>
  <c r="D81" i="96" s="1"/>
  <c r="K77" i="96" a="1"/>
  <c r="K77" i="96" s="1"/>
  <c r="J77" i="96" a="1"/>
  <c r="J77" i="96" s="1"/>
  <c r="I77" i="96" a="1"/>
  <c r="I77" i="96" s="1"/>
  <c r="H77" i="96" a="1"/>
  <c r="H77" i="96" s="1"/>
  <c r="G77" i="96" a="1"/>
  <c r="G77" i="96" s="1"/>
  <c r="F77" i="96" a="1"/>
  <c r="F77" i="96" s="1"/>
  <c r="E77" i="96" a="1"/>
  <c r="E77" i="96" s="1"/>
  <c r="D77" i="96" a="1"/>
  <c r="D77" i="96" s="1"/>
  <c r="E31" i="95" s="1"/>
  <c r="K76" i="96" a="1"/>
  <c r="K76" i="96" s="1"/>
  <c r="J76" i="96" a="1"/>
  <c r="J76" i="96" s="1"/>
  <c r="I76" i="96" a="1"/>
  <c r="I76" i="96" s="1"/>
  <c r="H76" i="96" a="1"/>
  <c r="H76" i="96" s="1"/>
  <c r="G76" i="96" a="1"/>
  <c r="G76" i="96" s="1"/>
  <c r="F76" i="96" a="1"/>
  <c r="F76" i="96" s="1"/>
  <c r="E76" i="96" a="1"/>
  <c r="E76" i="96" s="1"/>
  <c r="D76" i="96" a="1"/>
  <c r="D76" i="96" s="1"/>
  <c r="K75" i="96" a="1"/>
  <c r="K75" i="96" s="1"/>
  <c r="J75" i="96" a="1"/>
  <c r="J75" i="96" s="1"/>
  <c r="I75" i="96" a="1"/>
  <c r="I75" i="96" s="1"/>
  <c r="H75" i="96" a="1"/>
  <c r="H75" i="96" s="1"/>
  <c r="G75" i="96" a="1"/>
  <c r="G75" i="96" s="1"/>
  <c r="F75" i="96" a="1"/>
  <c r="F75" i="96" s="1"/>
  <c r="E75" i="96" a="1"/>
  <c r="E75" i="96" s="1"/>
  <c r="D75" i="96" a="1"/>
  <c r="D75" i="96" s="1"/>
  <c r="E30" i="95" s="1"/>
  <c r="K30" i="95" s="1"/>
  <c r="K74" i="96" a="1"/>
  <c r="K74" i="96" s="1"/>
  <c r="J74" i="96" a="1"/>
  <c r="J74" i="96" s="1"/>
  <c r="I74" i="96" a="1"/>
  <c r="I74" i="96" s="1"/>
  <c r="H74" i="96" a="1"/>
  <c r="H74" i="96" s="1"/>
  <c r="G74" i="96" a="1"/>
  <c r="G74" i="96" s="1"/>
  <c r="F74" i="96" a="1"/>
  <c r="F74" i="96" s="1"/>
  <c r="E74" i="96" a="1"/>
  <c r="E74" i="96" s="1"/>
  <c r="D74" i="96" a="1"/>
  <c r="D74" i="96" s="1"/>
  <c r="E36" i="95" s="1"/>
  <c r="K73" i="96" a="1"/>
  <c r="K73" i="96" s="1"/>
  <c r="J73" i="96" a="1"/>
  <c r="J73" i="96" s="1"/>
  <c r="I73" i="96" a="1"/>
  <c r="I73" i="96" s="1"/>
  <c r="H73" i="96" a="1"/>
  <c r="H73" i="96" s="1"/>
  <c r="G73" i="96" a="1"/>
  <c r="G73" i="96" s="1"/>
  <c r="F73" i="96" a="1"/>
  <c r="F73" i="96" s="1"/>
  <c r="E73" i="96" a="1"/>
  <c r="E73" i="96" s="1"/>
  <c r="D73" i="96" a="1"/>
  <c r="D73" i="96" s="1"/>
  <c r="E35" i="95" s="1"/>
  <c r="K72" i="96" a="1"/>
  <c r="K72" i="96" s="1"/>
  <c r="J72" i="96" a="1"/>
  <c r="J72" i="96" s="1"/>
  <c r="I72" i="96" a="1"/>
  <c r="I72" i="96" s="1"/>
  <c r="H72" i="96" a="1"/>
  <c r="H72" i="96" s="1"/>
  <c r="G72" i="96" a="1"/>
  <c r="G72" i="96" s="1"/>
  <c r="F72" i="96" a="1"/>
  <c r="F72" i="96" s="1"/>
  <c r="E72" i="96" a="1"/>
  <c r="E72" i="96" s="1"/>
  <c r="D72" i="96" a="1"/>
  <c r="D72" i="96" s="1"/>
  <c r="K71" i="96" a="1"/>
  <c r="K71" i="96" s="1"/>
  <c r="J71" i="96" a="1"/>
  <c r="J71" i="96" s="1"/>
  <c r="I71" i="96" a="1"/>
  <c r="I71" i="96" s="1"/>
  <c r="H71" i="96" a="1"/>
  <c r="H71" i="96" s="1"/>
  <c r="G71" i="96" a="1"/>
  <c r="G71" i="96" s="1"/>
  <c r="F71" i="96" a="1"/>
  <c r="F71" i="96" s="1"/>
  <c r="E71" i="96" a="1"/>
  <c r="E71" i="96" s="1"/>
  <c r="D71" i="96" a="1"/>
  <c r="D71" i="96" s="1"/>
  <c r="K70" i="96" a="1"/>
  <c r="K70" i="96" s="1"/>
  <c r="J70" i="96" a="1"/>
  <c r="J70" i="96" s="1"/>
  <c r="I70" i="96" a="1"/>
  <c r="I70" i="96" s="1"/>
  <c r="H70" i="96" a="1"/>
  <c r="H70" i="96" s="1"/>
  <c r="G70" i="96" a="1"/>
  <c r="G70" i="96" s="1"/>
  <c r="F70" i="96" a="1"/>
  <c r="F70" i="96" s="1"/>
  <c r="E70" i="96" a="1"/>
  <c r="E70" i="96" s="1"/>
  <c r="D70" i="96" a="1"/>
  <c r="D70" i="96" s="1"/>
  <c r="K69" i="96" a="1"/>
  <c r="K69" i="96" s="1"/>
  <c r="J69" i="96" a="1"/>
  <c r="J69" i="96" s="1"/>
  <c r="I69" i="96" a="1"/>
  <c r="I69" i="96" s="1"/>
  <c r="H69" i="96" a="1"/>
  <c r="H69" i="96" s="1"/>
  <c r="G69" i="96" a="1"/>
  <c r="G69" i="96" s="1"/>
  <c r="F69" i="96" a="1"/>
  <c r="F69" i="96" s="1"/>
  <c r="E69" i="96" a="1"/>
  <c r="E69" i="96" s="1"/>
  <c r="D69" i="96" a="1"/>
  <c r="D69" i="96" s="1"/>
  <c r="K68" i="96" a="1"/>
  <c r="K68" i="96" s="1"/>
  <c r="J68" i="96" a="1"/>
  <c r="J68" i="96" s="1"/>
  <c r="I68" i="96" a="1"/>
  <c r="I68" i="96" s="1"/>
  <c r="H68" i="96" a="1"/>
  <c r="H68" i="96" s="1"/>
  <c r="G68" i="96" a="1"/>
  <c r="G68" i="96" s="1"/>
  <c r="F68" i="96" a="1"/>
  <c r="F68" i="96" s="1"/>
  <c r="E68" i="96" a="1"/>
  <c r="E68" i="96" s="1"/>
  <c r="D68" i="96" a="1"/>
  <c r="D68" i="96" s="1"/>
  <c r="K67" i="96" a="1"/>
  <c r="K67" i="96" s="1"/>
  <c r="J67" i="96" a="1"/>
  <c r="J67" i="96" s="1"/>
  <c r="I67" i="96" a="1"/>
  <c r="I67" i="96" s="1"/>
  <c r="H67" i="96" a="1"/>
  <c r="H67" i="96" s="1"/>
  <c r="G67" i="96" a="1"/>
  <c r="G67" i="96" s="1"/>
  <c r="F67" i="96" a="1"/>
  <c r="F67" i="96" s="1"/>
  <c r="E67" i="96" a="1"/>
  <c r="E67" i="96" s="1"/>
  <c r="D67" i="96" a="1"/>
  <c r="D67" i="96" s="1"/>
  <c r="E27" i="95" s="1"/>
  <c r="K66" i="96" a="1"/>
  <c r="K66" i="96" s="1"/>
  <c r="J66" i="96" a="1"/>
  <c r="J66" i="96" s="1"/>
  <c r="I66" i="96" a="1"/>
  <c r="I66" i="96" s="1"/>
  <c r="H66" i="96" a="1"/>
  <c r="H66" i="96" s="1"/>
  <c r="G66" i="96" a="1"/>
  <c r="G66" i="96" s="1"/>
  <c r="F66" i="96" a="1"/>
  <c r="F66" i="96" s="1"/>
  <c r="E66" i="96" a="1"/>
  <c r="E66" i="96" s="1"/>
  <c r="D66" i="96" a="1"/>
  <c r="D66" i="96" s="1"/>
  <c r="K65" i="96" a="1"/>
  <c r="K65" i="96" s="1"/>
  <c r="J65" i="96" a="1"/>
  <c r="J65" i="96" s="1"/>
  <c r="I65" i="96" a="1"/>
  <c r="I65" i="96" s="1"/>
  <c r="H65" i="96" a="1"/>
  <c r="H65" i="96" s="1"/>
  <c r="G65" i="96" a="1"/>
  <c r="G65" i="96" s="1"/>
  <c r="F65" i="96" a="1"/>
  <c r="F65" i="96" s="1"/>
  <c r="E65" i="96" a="1"/>
  <c r="E65" i="96" s="1"/>
  <c r="D65" i="96" a="1"/>
  <c r="D65" i="96" s="1"/>
  <c r="K64" i="96" a="1"/>
  <c r="K64" i="96" s="1"/>
  <c r="J64" i="96" a="1"/>
  <c r="J64" i="96" s="1"/>
  <c r="I64" i="96" a="1"/>
  <c r="I64" i="96" s="1"/>
  <c r="H64" i="96" a="1"/>
  <c r="H64" i="96" s="1"/>
  <c r="G64" i="96" a="1"/>
  <c r="G64" i="96" s="1"/>
  <c r="F64" i="96" a="1"/>
  <c r="F64" i="96" s="1"/>
  <c r="E64" i="96" a="1"/>
  <c r="E64" i="96" s="1"/>
  <c r="D64" i="96" a="1"/>
  <c r="D64" i="96" s="1"/>
  <c r="K63" i="96" a="1"/>
  <c r="K63" i="96" s="1"/>
  <c r="J63" i="96" a="1"/>
  <c r="J63" i="96" s="1"/>
  <c r="I63" i="96" a="1"/>
  <c r="I63" i="96" s="1"/>
  <c r="H63" i="96" a="1"/>
  <c r="H63" i="96" s="1"/>
  <c r="G63" i="96" a="1"/>
  <c r="G63" i="96" s="1"/>
  <c r="F63" i="96" a="1"/>
  <c r="F63" i="96" s="1"/>
  <c r="E63" i="96" a="1"/>
  <c r="E63" i="96" s="1"/>
  <c r="D63" i="96" a="1"/>
  <c r="D63" i="96" s="1"/>
  <c r="E33" i="95" s="1"/>
  <c r="K33" i="95" s="1"/>
  <c r="K62" i="96" a="1"/>
  <c r="K62" i="96" s="1"/>
  <c r="J62" i="96" a="1"/>
  <c r="J62" i="96" s="1"/>
  <c r="I62" i="96" a="1"/>
  <c r="I62" i="96" s="1"/>
  <c r="H62" i="96" a="1"/>
  <c r="H62" i="96" s="1"/>
  <c r="G62" i="96" a="1"/>
  <c r="G62" i="96" s="1"/>
  <c r="F62" i="96" a="1"/>
  <c r="F62" i="96" s="1"/>
  <c r="E62" i="96" a="1"/>
  <c r="E62" i="96" s="1"/>
  <c r="D62" i="96" a="1"/>
  <c r="D62" i="96" s="1"/>
  <c r="K61" i="96" a="1"/>
  <c r="K61" i="96" s="1"/>
  <c r="J61" i="96" a="1"/>
  <c r="J61" i="96" s="1"/>
  <c r="I61" i="96" a="1"/>
  <c r="I61" i="96" s="1"/>
  <c r="H61" i="96" a="1"/>
  <c r="H61" i="96" s="1"/>
  <c r="G61" i="96" a="1"/>
  <c r="G61" i="96" s="1"/>
  <c r="F61" i="96" a="1"/>
  <c r="F61" i="96" s="1"/>
  <c r="E61" i="96" a="1"/>
  <c r="E61" i="96" s="1"/>
  <c r="D61" i="96" a="1"/>
  <c r="D61" i="96" s="1"/>
  <c r="K60" i="96" a="1"/>
  <c r="K60" i="96" s="1"/>
  <c r="J60" i="96" a="1"/>
  <c r="J60" i="96" s="1"/>
  <c r="I60" i="96" a="1"/>
  <c r="I60" i="96" s="1"/>
  <c r="H60" i="96" a="1"/>
  <c r="H60" i="96" s="1"/>
  <c r="G60" i="96" a="1"/>
  <c r="G60" i="96" s="1"/>
  <c r="F60" i="96" a="1"/>
  <c r="F60" i="96" s="1"/>
  <c r="E60" i="96" a="1"/>
  <c r="E60" i="96" s="1"/>
  <c r="D60" i="96" a="1"/>
  <c r="D60" i="96" s="1"/>
  <c r="K59" i="96" a="1"/>
  <c r="K59" i="96" s="1"/>
  <c r="J59" i="96" a="1"/>
  <c r="J59" i="96" s="1"/>
  <c r="I59" i="96" a="1"/>
  <c r="I59" i="96" s="1"/>
  <c r="H59" i="96" a="1"/>
  <c r="H59" i="96" s="1"/>
  <c r="G59" i="96" a="1"/>
  <c r="G59" i="96" s="1"/>
  <c r="F59" i="96" a="1"/>
  <c r="F59" i="96" s="1"/>
  <c r="E59" i="96" a="1"/>
  <c r="E59" i="96" s="1"/>
  <c r="D59" i="96" a="1"/>
  <c r="D59" i="96" s="1"/>
  <c r="K58" i="96" a="1"/>
  <c r="K58" i="96" s="1"/>
  <c r="J58" i="96" a="1"/>
  <c r="J58" i="96" s="1"/>
  <c r="I58" i="96" a="1"/>
  <c r="I58" i="96" s="1"/>
  <c r="H58" i="96" a="1"/>
  <c r="H58" i="96" s="1"/>
  <c r="G58" i="96" a="1"/>
  <c r="G58" i="96" s="1"/>
  <c r="F58" i="96" a="1"/>
  <c r="F58" i="96" s="1"/>
  <c r="E58" i="96" a="1"/>
  <c r="E58" i="96" s="1"/>
  <c r="D58" i="96" a="1"/>
  <c r="D58" i="96" s="1"/>
  <c r="E25" i="95" s="1"/>
  <c r="K57" i="96" a="1"/>
  <c r="K57" i="96" s="1"/>
  <c r="J57" i="96" a="1"/>
  <c r="J57" i="96" s="1"/>
  <c r="I57" i="96" a="1"/>
  <c r="I57" i="96" s="1"/>
  <c r="H57" i="96" a="1"/>
  <c r="H57" i="96" s="1"/>
  <c r="G57" i="96" a="1"/>
  <c r="G57" i="96" s="1"/>
  <c r="F57" i="96" a="1"/>
  <c r="F57" i="96" s="1"/>
  <c r="E57" i="96" a="1"/>
  <c r="E57" i="96" s="1"/>
  <c r="D57" i="96" a="1"/>
  <c r="D57" i="96" s="1"/>
  <c r="K56" i="96" a="1"/>
  <c r="K56" i="96" s="1"/>
  <c r="J56" i="96" a="1"/>
  <c r="J56" i="96" s="1"/>
  <c r="I56" i="96" a="1"/>
  <c r="I56" i="96" s="1"/>
  <c r="H56" i="96" a="1"/>
  <c r="H56" i="96" s="1"/>
  <c r="G56" i="96" a="1"/>
  <c r="G56" i="96" s="1"/>
  <c r="F56" i="96" a="1"/>
  <c r="F56" i="96" s="1"/>
  <c r="E56" i="96" a="1"/>
  <c r="E56" i="96" s="1"/>
  <c r="D56" i="96" a="1"/>
  <c r="D56" i="96" s="1"/>
  <c r="K55" i="96" a="1"/>
  <c r="K55" i="96" s="1"/>
  <c r="J55" i="96" a="1"/>
  <c r="J55" i="96" s="1"/>
  <c r="I55" i="96" a="1"/>
  <c r="I55" i="96" s="1"/>
  <c r="H55" i="96" a="1"/>
  <c r="H55" i="96" s="1"/>
  <c r="G55" i="96" a="1"/>
  <c r="G55" i="96" s="1"/>
  <c r="F55" i="96" a="1"/>
  <c r="F55" i="96" s="1"/>
  <c r="E55" i="96" a="1"/>
  <c r="E55" i="96" s="1"/>
  <c r="D55" i="96" a="1"/>
  <c r="D55" i="96" s="1"/>
  <c r="K54" i="96" a="1"/>
  <c r="K54" i="96" s="1"/>
  <c r="J54" i="96" a="1"/>
  <c r="J54" i="96" s="1"/>
  <c r="I54" i="96" a="1"/>
  <c r="I54" i="96" s="1"/>
  <c r="H54" i="96" a="1"/>
  <c r="H54" i="96" s="1"/>
  <c r="G54" i="96" a="1"/>
  <c r="G54" i="96" s="1"/>
  <c r="F54" i="96" a="1"/>
  <c r="F54" i="96" s="1"/>
  <c r="E54" i="96" a="1"/>
  <c r="E54" i="96" s="1"/>
  <c r="D54" i="96" a="1"/>
  <c r="D54" i="96" s="1"/>
  <c r="D52" i="96" a="1"/>
  <c r="D52" i="96" s="1"/>
  <c r="D51" i="96" a="1"/>
  <c r="D51" i="96" s="1"/>
  <c r="D50" i="96" a="1"/>
  <c r="D50" i="96" s="1"/>
  <c r="D49" i="96" a="1"/>
  <c r="D49" i="96" s="1"/>
  <c r="J43" i="96" a="1"/>
  <c r="J43" i="96" s="1"/>
  <c r="I43" i="96" a="1"/>
  <c r="I43" i="96" s="1"/>
  <c r="H43" i="96" a="1"/>
  <c r="H43" i="96" s="1"/>
  <c r="G43" i="96" a="1"/>
  <c r="G43" i="96" s="1"/>
  <c r="F43" i="96" a="1"/>
  <c r="F43" i="96" s="1"/>
  <c r="E43" i="96" a="1"/>
  <c r="E43" i="96" s="1"/>
  <c r="D43" i="96" a="1"/>
  <c r="D43" i="96" s="1"/>
  <c r="J42" i="96" a="1"/>
  <c r="J42" i="96" s="1"/>
  <c r="I42" i="96" a="1"/>
  <c r="I42" i="96" s="1"/>
  <c r="H42" i="96" a="1"/>
  <c r="H42" i="96" s="1"/>
  <c r="G42" i="96" a="1"/>
  <c r="G42" i="96" s="1"/>
  <c r="F42" i="96" a="1"/>
  <c r="F42" i="96" s="1"/>
  <c r="E42" i="96" a="1"/>
  <c r="E42" i="96" s="1"/>
  <c r="D42" i="96" a="1"/>
  <c r="D42" i="96" s="1"/>
  <c r="J41" i="96" a="1"/>
  <c r="J41" i="96" s="1"/>
  <c r="I41" i="96" a="1"/>
  <c r="I41" i="96" s="1"/>
  <c r="H41" i="96" a="1"/>
  <c r="H41" i="96" s="1"/>
  <c r="G41" i="96" a="1"/>
  <c r="G41" i="96" s="1"/>
  <c r="F41" i="96" a="1"/>
  <c r="F41" i="96" s="1"/>
  <c r="E41" i="96" a="1"/>
  <c r="E41" i="96" s="1"/>
  <c r="D41" i="96" a="1"/>
  <c r="D41" i="96" s="1"/>
  <c r="J40" i="96" a="1"/>
  <c r="J40" i="96" s="1"/>
  <c r="I40" i="96" a="1"/>
  <c r="I40" i="96" s="1"/>
  <c r="H40" i="96" a="1"/>
  <c r="H40" i="96" s="1"/>
  <c r="G40" i="96" a="1"/>
  <c r="G40" i="96" s="1"/>
  <c r="F40" i="96" a="1"/>
  <c r="F40" i="96" s="1"/>
  <c r="E40" i="96" a="1"/>
  <c r="E40" i="96" s="1"/>
  <c r="D40" i="96" a="1"/>
  <c r="D40" i="96" s="1"/>
  <c r="D38" i="96" a="1"/>
  <c r="D38" i="96" s="1"/>
  <c r="D37" i="96" a="1"/>
  <c r="D37" i="96" s="1"/>
  <c r="L34" i="96" a="1"/>
  <c r="L34" i="96" s="1"/>
  <c r="K34" i="96" a="1"/>
  <c r="K34" i="96" s="1"/>
  <c r="J34" i="96" a="1"/>
  <c r="J34" i="96" s="1"/>
  <c r="I34" i="96" a="1"/>
  <c r="I34" i="96" s="1"/>
  <c r="H34" i="96" a="1"/>
  <c r="H34" i="96" s="1"/>
  <c r="G34" i="96" a="1"/>
  <c r="G34" i="96" s="1"/>
  <c r="F34" i="96" a="1"/>
  <c r="F34" i="96" s="1"/>
  <c r="E34" i="96" a="1"/>
  <c r="E34" i="96" s="1"/>
  <c r="D34" i="96" a="1"/>
  <c r="D34" i="96" s="1"/>
  <c r="L33" i="96" a="1"/>
  <c r="L33" i="96" s="1"/>
  <c r="K33" i="96" a="1"/>
  <c r="K33" i="96" s="1"/>
  <c r="J33" i="96" a="1"/>
  <c r="J33" i="96" s="1"/>
  <c r="I33" i="96" a="1"/>
  <c r="I33" i="96" s="1"/>
  <c r="H33" i="96" a="1"/>
  <c r="H33" i="96" s="1"/>
  <c r="G33" i="96" a="1"/>
  <c r="G33" i="96" s="1"/>
  <c r="F33" i="96" a="1"/>
  <c r="F33" i="96" s="1"/>
  <c r="E33" i="96" a="1"/>
  <c r="E33" i="96" s="1"/>
  <c r="E39" i="94" s="1"/>
  <c r="D33" i="96" a="1"/>
  <c r="D33" i="96" s="1"/>
  <c r="L32" i="96" a="1"/>
  <c r="L32" i="96" s="1"/>
  <c r="K32" i="96" a="1"/>
  <c r="K32" i="96" s="1"/>
  <c r="J32" i="96" a="1"/>
  <c r="J32" i="96" s="1"/>
  <c r="I32" i="96" a="1"/>
  <c r="I32" i="96" s="1"/>
  <c r="H32" i="96" a="1"/>
  <c r="H32" i="96" s="1"/>
  <c r="G32" i="96" a="1"/>
  <c r="G32" i="96" s="1"/>
  <c r="F32" i="96" a="1"/>
  <c r="F32" i="96" s="1"/>
  <c r="E32" i="96" a="1"/>
  <c r="E32" i="96" s="1"/>
  <c r="D32" i="96" a="1"/>
  <c r="D32" i="96" s="1"/>
  <c r="L31" i="96" a="1"/>
  <c r="L31" i="96" s="1"/>
  <c r="K31" i="96" a="1"/>
  <c r="K31" i="96" s="1"/>
  <c r="J31" i="96" a="1"/>
  <c r="J31" i="96" s="1"/>
  <c r="I31" i="96" a="1"/>
  <c r="I31" i="96" s="1"/>
  <c r="H31" i="96" a="1"/>
  <c r="H31" i="96" s="1"/>
  <c r="G31" i="96" a="1"/>
  <c r="G31" i="96" s="1"/>
  <c r="F31" i="96" a="1"/>
  <c r="F31" i="96" s="1"/>
  <c r="E31" i="96" a="1"/>
  <c r="E31" i="96" s="1"/>
  <c r="D31" i="96" a="1"/>
  <c r="D31" i="96" s="1"/>
  <c r="L30" i="96" a="1"/>
  <c r="L30" i="96" s="1"/>
  <c r="K30" i="96" a="1"/>
  <c r="K30" i="96" s="1"/>
  <c r="J30" i="96" a="1"/>
  <c r="J30" i="96" s="1"/>
  <c r="I30" i="96" a="1"/>
  <c r="I30" i="96" s="1"/>
  <c r="H30" i="96" a="1"/>
  <c r="H30" i="96" s="1"/>
  <c r="G30" i="96" a="1"/>
  <c r="G30" i="96" s="1"/>
  <c r="F30" i="96" a="1"/>
  <c r="F30" i="96" s="1"/>
  <c r="E30" i="96" a="1"/>
  <c r="E30" i="96" s="1"/>
  <c r="E36" i="94" s="1"/>
  <c r="D30" i="96" a="1"/>
  <c r="D30" i="96" s="1"/>
  <c r="L29" i="96" a="1"/>
  <c r="L29" i="96" s="1"/>
  <c r="K29" i="96" a="1"/>
  <c r="K29" i="96" s="1"/>
  <c r="J29" i="96" a="1"/>
  <c r="J29" i="96" s="1"/>
  <c r="I29" i="96" a="1"/>
  <c r="I29" i="96" s="1"/>
  <c r="H29" i="96" a="1"/>
  <c r="H29" i="96" s="1"/>
  <c r="G29" i="96" a="1"/>
  <c r="G29" i="96" s="1"/>
  <c r="F29" i="96" a="1"/>
  <c r="F29" i="96" s="1"/>
  <c r="E29" i="96" a="1"/>
  <c r="E29" i="96" s="1"/>
  <c r="E35" i="94" s="1"/>
  <c r="D29" i="96" a="1"/>
  <c r="D29" i="96" s="1"/>
  <c r="L28" i="96" a="1"/>
  <c r="L28" i="96" s="1"/>
  <c r="K28" i="96" a="1"/>
  <c r="K28" i="96" s="1"/>
  <c r="J28" i="96" a="1"/>
  <c r="J28" i="96" s="1"/>
  <c r="I28" i="96" a="1"/>
  <c r="I28" i="96" s="1"/>
  <c r="H28" i="96" a="1"/>
  <c r="H28" i="96" s="1"/>
  <c r="G28" i="96" a="1"/>
  <c r="G28" i="96" s="1"/>
  <c r="F28" i="96" a="1"/>
  <c r="F28" i="96" s="1"/>
  <c r="E28" i="96" a="1"/>
  <c r="E28" i="96" s="1"/>
  <c r="E34" i="94" s="1"/>
  <c r="D28" i="96" a="1"/>
  <c r="D28" i="96" s="1"/>
  <c r="L27" i="96" a="1"/>
  <c r="L27" i="96" s="1"/>
  <c r="K27" i="96" a="1"/>
  <c r="K27" i="96" s="1"/>
  <c r="J27" i="96" a="1"/>
  <c r="J27" i="96" s="1"/>
  <c r="I27" i="96" a="1"/>
  <c r="I27" i="96" s="1"/>
  <c r="H27" i="96" a="1"/>
  <c r="H27" i="96" s="1"/>
  <c r="G27" i="96" a="1"/>
  <c r="G27" i="96" s="1"/>
  <c r="F27" i="96" a="1"/>
  <c r="F27" i="96" s="1"/>
  <c r="E27" i="96" a="1"/>
  <c r="E27" i="96" s="1"/>
  <c r="D27" i="96" a="1"/>
  <c r="D27" i="96" s="1"/>
  <c r="L26" i="96" a="1"/>
  <c r="L26" i="96" s="1"/>
  <c r="K26" i="96" a="1"/>
  <c r="K26" i="96" s="1"/>
  <c r="J26" i="96" a="1"/>
  <c r="J26" i="96" s="1"/>
  <c r="I26" i="96" a="1"/>
  <c r="I26" i="96" s="1"/>
  <c r="H26" i="96" a="1"/>
  <c r="H26" i="96" s="1"/>
  <c r="G26" i="96" a="1"/>
  <c r="G26" i="96" s="1"/>
  <c r="F26" i="96" a="1"/>
  <c r="F26" i="96" s="1"/>
  <c r="E26" i="96" a="1"/>
  <c r="E26" i="96" s="1"/>
  <c r="D26" i="96" a="1"/>
  <c r="D26" i="96" s="1"/>
  <c r="L25" i="96" a="1"/>
  <c r="L25" i="96" s="1"/>
  <c r="K25" i="96" a="1"/>
  <c r="K25" i="96" s="1"/>
  <c r="J25" i="96" a="1"/>
  <c r="J25" i="96" s="1"/>
  <c r="I25" i="96" a="1"/>
  <c r="I25" i="96" s="1"/>
  <c r="H25" i="96" a="1"/>
  <c r="H25" i="96" s="1"/>
  <c r="G25" i="96" a="1"/>
  <c r="G25" i="96" s="1"/>
  <c r="F25" i="96" a="1"/>
  <c r="F25" i="96" s="1"/>
  <c r="E25" i="96" a="1"/>
  <c r="E25" i="96" s="1"/>
  <c r="D25" i="96" a="1"/>
  <c r="D25" i="96" s="1"/>
  <c r="L24" i="96" a="1"/>
  <c r="L24" i="96" s="1"/>
  <c r="K24" i="96" a="1"/>
  <c r="K24" i="96" s="1"/>
  <c r="J24" i="96" a="1"/>
  <c r="J24" i="96" s="1"/>
  <c r="I24" i="96" a="1"/>
  <c r="I24" i="96" s="1"/>
  <c r="H24" i="96" a="1"/>
  <c r="H24" i="96" s="1"/>
  <c r="G24" i="96" a="1"/>
  <c r="G24" i="96" s="1"/>
  <c r="F24" i="96" a="1"/>
  <c r="F24" i="96" s="1"/>
  <c r="E24" i="96" a="1"/>
  <c r="E24" i="96" s="1"/>
  <c r="D24" i="96" a="1"/>
  <c r="D24" i="96" s="1"/>
  <c r="L23" i="96" a="1"/>
  <c r="L23" i="96" s="1"/>
  <c r="K23" i="96" a="1"/>
  <c r="K23" i="96" s="1"/>
  <c r="J23" i="96" a="1"/>
  <c r="J23" i="96" s="1"/>
  <c r="I23" i="96" a="1"/>
  <c r="I23" i="96" s="1"/>
  <c r="H23" i="96" a="1"/>
  <c r="H23" i="96" s="1"/>
  <c r="G23" i="96" a="1"/>
  <c r="G23" i="96" s="1"/>
  <c r="F23" i="96" a="1"/>
  <c r="F23" i="96" s="1"/>
  <c r="E23" i="96" a="1"/>
  <c r="E23" i="96" s="1"/>
  <c r="D23" i="96" a="1"/>
  <c r="D23" i="96" s="1"/>
  <c r="L22" i="96" a="1"/>
  <c r="L22" i="96" s="1"/>
  <c r="K22" i="96" a="1"/>
  <c r="K22" i="96" s="1"/>
  <c r="J22" i="96" a="1"/>
  <c r="J22" i="96" s="1"/>
  <c r="I22" i="96" a="1"/>
  <c r="I22" i="96" s="1"/>
  <c r="H22" i="96" a="1"/>
  <c r="H22" i="96" s="1"/>
  <c r="G22" i="96" a="1"/>
  <c r="G22" i="96" s="1"/>
  <c r="F22" i="96" a="1"/>
  <c r="F22" i="96" s="1"/>
  <c r="E22" i="96" a="1"/>
  <c r="E22" i="96" s="1"/>
  <c r="D22" i="96" a="1"/>
  <c r="D22" i="96" s="1"/>
  <c r="L21" i="96" a="1"/>
  <c r="L21" i="96" s="1"/>
  <c r="K21" i="96" a="1"/>
  <c r="K21" i="96" s="1"/>
  <c r="J21" i="96" a="1"/>
  <c r="J21" i="96" s="1"/>
  <c r="I21" i="96" a="1"/>
  <c r="I21" i="96" s="1"/>
  <c r="H21" i="96" a="1"/>
  <c r="H21" i="96" s="1"/>
  <c r="G21" i="96" a="1"/>
  <c r="G21" i="96" s="1"/>
  <c r="F21" i="96" a="1"/>
  <c r="F21" i="96" s="1"/>
  <c r="E21" i="96" a="1"/>
  <c r="E21" i="96" s="1"/>
  <c r="D21" i="96" a="1"/>
  <c r="D21" i="96" s="1"/>
  <c r="L20" i="96" a="1"/>
  <c r="L20" i="96" s="1"/>
  <c r="K20" i="96" a="1"/>
  <c r="K20" i="96" s="1"/>
  <c r="J20" i="96" a="1"/>
  <c r="J20" i="96" s="1"/>
  <c r="I20" i="96" a="1"/>
  <c r="I20" i="96" s="1"/>
  <c r="H20" i="96" a="1"/>
  <c r="H20" i="96" s="1"/>
  <c r="G20" i="96" a="1"/>
  <c r="G20" i="96" s="1"/>
  <c r="F20" i="96" a="1"/>
  <c r="F20" i="96" s="1"/>
  <c r="E20" i="96" a="1"/>
  <c r="E20" i="96" s="1"/>
  <c r="D20" i="96" a="1"/>
  <c r="D20" i="96" s="1"/>
  <c r="L19" i="96" a="1"/>
  <c r="L19" i="96" s="1"/>
  <c r="K19" i="96" a="1"/>
  <c r="K19" i="96" s="1"/>
  <c r="J19" i="96" a="1"/>
  <c r="J19" i="96" s="1"/>
  <c r="I19" i="96" a="1"/>
  <c r="I19" i="96" s="1"/>
  <c r="H19" i="96" a="1"/>
  <c r="H19" i="96" s="1"/>
  <c r="G19" i="96" a="1"/>
  <c r="G19" i="96" s="1"/>
  <c r="F19" i="96" a="1"/>
  <c r="F19" i="96" s="1"/>
  <c r="E19" i="96" a="1"/>
  <c r="E19" i="96" s="1"/>
  <c r="D19" i="96" a="1"/>
  <c r="D19" i="96" s="1"/>
  <c r="L18" i="96" a="1"/>
  <c r="L18" i="96" s="1"/>
  <c r="K18" i="96" a="1"/>
  <c r="K18" i="96" s="1"/>
  <c r="J18" i="96" a="1"/>
  <c r="J18" i="96" s="1"/>
  <c r="I18" i="96" a="1"/>
  <c r="I18" i="96" s="1"/>
  <c r="H18" i="96" a="1"/>
  <c r="H18" i="96" s="1"/>
  <c r="G18" i="96" a="1"/>
  <c r="G18" i="96" s="1"/>
  <c r="F18" i="96" a="1"/>
  <c r="F18" i="96" s="1"/>
  <c r="E18" i="96" a="1"/>
  <c r="E18" i="96" s="1"/>
  <c r="D18" i="96" a="1"/>
  <c r="D18" i="96" s="1"/>
  <c r="L17" i="96" a="1"/>
  <c r="L17" i="96" s="1"/>
  <c r="K17" i="96" a="1"/>
  <c r="K17" i="96" s="1"/>
  <c r="J17" i="96" a="1"/>
  <c r="J17" i="96" s="1"/>
  <c r="I17" i="96" a="1"/>
  <c r="I17" i="96" s="1"/>
  <c r="H17" i="96" a="1"/>
  <c r="H17" i="96" s="1"/>
  <c r="G17" i="96" a="1"/>
  <c r="G17" i="96" s="1"/>
  <c r="F17" i="96" a="1"/>
  <c r="F17" i="96" s="1"/>
  <c r="E17" i="96" a="1"/>
  <c r="E17" i="96" s="1"/>
  <c r="E32" i="94" s="1"/>
  <c r="D17" i="96" a="1"/>
  <c r="D17" i="96" s="1"/>
  <c r="L16" i="96" a="1"/>
  <c r="L16" i="96" s="1"/>
  <c r="K16" i="96" a="1"/>
  <c r="K16" i="96" s="1"/>
  <c r="J16" i="96" a="1"/>
  <c r="J16" i="96" s="1"/>
  <c r="I16" i="96" a="1"/>
  <c r="I16" i="96" s="1"/>
  <c r="H16" i="96" a="1"/>
  <c r="H16" i="96" s="1"/>
  <c r="G16" i="96" a="1"/>
  <c r="G16" i="96" s="1"/>
  <c r="F16" i="96" a="1"/>
  <c r="F16" i="96" s="1"/>
  <c r="E16" i="96" a="1"/>
  <c r="E16" i="96" s="1"/>
  <c r="E31" i="94" s="1"/>
  <c r="D16" i="96" a="1"/>
  <c r="D16" i="96" s="1"/>
  <c r="L15" i="96" a="1"/>
  <c r="L15" i="96" s="1"/>
  <c r="K15" i="96" a="1"/>
  <c r="K15" i="96" s="1"/>
  <c r="J15" i="96" a="1"/>
  <c r="J15" i="96" s="1"/>
  <c r="I15" i="96" a="1"/>
  <c r="I15" i="96" s="1"/>
  <c r="H15" i="96" a="1"/>
  <c r="H15" i="96" s="1"/>
  <c r="G15" i="96" a="1"/>
  <c r="G15" i="96" s="1"/>
  <c r="F15" i="96" a="1"/>
  <c r="F15" i="96" s="1"/>
  <c r="E15" i="96" a="1"/>
  <c r="E15" i="96" s="1"/>
  <c r="E30" i="94" s="1"/>
  <c r="D15" i="96" a="1"/>
  <c r="D15" i="96" s="1"/>
  <c r="L14" i="96" a="1"/>
  <c r="L14" i="96" s="1"/>
  <c r="K14" i="96" a="1"/>
  <c r="K14" i="96" s="1"/>
  <c r="J14" i="96" a="1"/>
  <c r="J14" i="96" s="1"/>
  <c r="I14" i="96" a="1"/>
  <c r="I14" i="96" s="1"/>
  <c r="H14" i="96" a="1"/>
  <c r="H14" i="96" s="1"/>
  <c r="G14" i="96" a="1"/>
  <c r="G14" i="96" s="1"/>
  <c r="F14" i="96" a="1"/>
  <c r="F14" i="96" s="1"/>
  <c r="E14" i="96" a="1"/>
  <c r="E14" i="96" s="1"/>
  <c r="E29" i="94" s="1"/>
  <c r="D14" i="96" a="1"/>
  <c r="D14" i="96" s="1"/>
  <c r="L13" i="96" a="1"/>
  <c r="L13" i="96" s="1"/>
  <c r="K13" i="96" a="1"/>
  <c r="K13" i="96" s="1"/>
  <c r="J13" i="96" a="1"/>
  <c r="J13" i="96" s="1"/>
  <c r="I13" i="96" a="1"/>
  <c r="I13" i="96" s="1"/>
  <c r="H13" i="96" a="1"/>
  <c r="H13" i="96" s="1"/>
  <c r="G13" i="96" a="1"/>
  <c r="G13" i="96" s="1"/>
  <c r="F13" i="96" a="1"/>
  <c r="F13" i="96" s="1"/>
  <c r="E13" i="96" a="1"/>
  <c r="E13" i="96" s="1"/>
  <c r="E28" i="94" s="1"/>
  <c r="D13" i="96" a="1"/>
  <c r="D13" i="96" s="1"/>
  <c r="L12" i="96" a="1"/>
  <c r="L12" i="96" s="1"/>
  <c r="K12" i="96" a="1"/>
  <c r="K12" i="96" s="1"/>
  <c r="J12" i="96" a="1"/>
  <c r="J12" i="96" s="1"/>
  <c r="I12" i="96" a="1"/>
  <c r="I12" i="96" s="1"/>
  <c r="H12" i="96" a="1"/>
  <c r="H12" i="96" s="1"/>
  <c r="G12" i="96" a="1"/>
  <c r="G12" i="96" s="1"/>
  <c r="F12" i="96" a="1"/>
  <c r="F12" i="96" s="1"/>
  <c r="E12" i="96" a="1"/>
  <c r="E12" i="96" s="1"/>
  <c r="E27" i="94" s="1"/>
  <c r="D12" i="96" a="1"/>
  <c r="D12" i="96" s="1"/>
  <c r="L11" i="96" a="1"/>
  <c r="L11" i="96" s="1"/>
  <c r="K11" i="96" a="1"/>
  <c r="K11" i="96" s="1"/>
  <c r="J11" i="96" a="1"/>
  <c r="J11" i="96" s="1"/>
  <c r="I11" i="96" a="1"/>
  <c r="I11" i="96" s="1"/>
  <c r="H11" i="96" a="1"/>
  <c r="H11" i="96" s="1"/>
  <c r="G11" i="96" a="1"/>
  <c r="G11" i="96" s="1"/>
  <c r="F11" i="96" a="1"/>
  <c r="F11" i="96" s="1"/>
  <c r="E11" i="96" a="1"/>
  <c r="E11" i="96" s="1"/>
  <c r="E33" i="94" s="1"/>
  <c r="D11" i="96" a="1"/>
  <c r="D11" i="96" s="1"/>
  <c r="L10" i="96" a="1"/>
  <c r="L10" i="96" s="1"/>
  <c r="K10" i="96" a="1"/>
  <c r="K10" i="96" s="1"/>
  <c r="J10" i="96" a="1"/>
  <c r="J10" i="96" s="1"/>
  <c r="I10" i="96" a="1"/>
  <c r="I10" i="96" s="1"/>
  <c r="H10" i="96" a="1"/>
  <c r="H10" i="96" s="1"/>
  <c r="G10" i="96" a="1"/>
  <c r="G10" i="96" s="1"/>
  <c r="F10" i="96" a="1"/>
  <c r="F10" i="96" s="1"/>
  <c r="E10" i="96" a="1"/>
  <c r="E10" i="96" s="1"/>
  <c r="D10" i="96" a="1"/>
  <c r="D10" i="96" s="1"/>
  <c r="D8" i="96" a="1"/>
  <c r="D8" i="96" s="1"/>
  <c r="D7" i="96" a="1"/>
  <c r="D7" i="96" s="1"/>
  <c r="D6" i="96" a="1"/>
  <c r="D6" i="96" s="1"/>
  <c r="D5" i="96" a="1"/>
  <c r="D5" i="96" s="1"/>
  <c r="D36" i="95"/>
  <c r="D29" i="95"/>
  <c r="P18" i="95"/>
  <c r="P17" i="95"/>
  <c r="P16" i="95" a="1"/>
  <c r="P16" i="95" s="1"/>
  <c r="I16" i="95" a="1"/>
  <c r="I16" i="95" s="1"/>
  <c r="P15" i="95" a="1"/>
  <c r="P15" i="95" s="1"/>
  <c r="I15" i="95" a="1"/>
  <c r="I15" i="95" s="1"/>
  <c r="P14" i="95" a="1"/>
  <c r="P14" i="95" s="1"/>
  <c r="N14" i="95" a="1"/>
  <c r="N14" i="95" s="1"/>
  <c r="K14" i="95" a="1"/>
  <c r="K14" i="95" s="1"/>
  <c r="I14" i="95" a="1"/>
  <c r="I14" i="95" s="1"/>
  <c r="G14" i="95" a="1"/>
  <c r="G14" i="95" s="1"/>
  <c r="D14" i="95" a="1"/>
  <c r="D14" i="95" s="1"/>
  <c r="L12" i="95" a="1"/>
  <c r="L12" i="95" s="1"/>
  <c r="E12" i="95" a="1"/>
  <c r="E12" i="95" s="1"/>
  <c r="F58" i="95" s="1"/>
  <c r="L11" i="95" a="1"/>
  <c r="L11" i="95" s="1"/>
  <c r="E11" i="95" a="1"/>
  <c r="E11" i="95" s="1"/>
  <c r="K7" i="95" a="1"/>
  <c r="K7" i="95" s="1"/>
  <c r="K6" i="95" a="1"/>
  <c r="K6" i="95" s="1"/>
  <c r="D6" i="95" a="1"/>
  <c r="D6" i="95" s="1"/>
  <c r="K5" i="95" a="1"/>
  <c r="K5" i="95" s="1"/>
  <c r="D5" i="95" a="1"/>
  <c r="D5" i="95" s="1"/>
  <c r="D39" i="94"/>
  <c r="D60" i="94"/>
  <c r="D35" i="94"/>
  <c r="D48" i="94"/>
  <c r="D42" i="94"/>
  <c r="P16" i="94" a="1"/>
  <c r="P16" i="94" s="1"/>
  <c r="I16" i="94" a="1"/>
  <c r="I16" i="94" s="1"/>
  <c r="P15" i="94" a="1"/>
  <c r="P15" i="94" s="1"/>
  <c r="I15" i="94" a="1"/>
  <c r="I15" i="94" s="1"/>
  <c r="P14" i="94" a="1"/>
  <c r="P14" i="94" s="1"/>
  <c r="N14" i="94" a="1"/>
  <c r="N14" i="94" s="1"/>
  <c r="K14" i="94" a="1"/>
  <c r="K14" i="94" s="1"/>
  <c r="I14" i="94" a="1"/>
  <c r="I14" i="94" s="1"/>
  <c r="G14" i="94" a="1"/>
  <c r="G14" i="94" s="1"/>
  <c r="D14" i="94" a="1"/>
  <c r="D14" i="94" s="1"/>
  <c r="L12" i="94" a="1"/>
  <c r="L12" i="94" s="1"/>
  <c r="E12" i="94" a="1"/>
  <c r="E12" i="94" s="1"/>
  <c r="L11" i="94" a="1"/>
  <c r="L11" i="94" s="1"/>
  <c r="E11" i="94" a="1"/>
  <c r="E11" i="94" s="1"/>
  <c r="K6" i="94" a="1"/>
  <c r="K6" i="94" s="1"/>
  <c r="D6" i="94" a="1"/>
  <c r="D6" i="94" s="1"/>
  <c r="K5" i="94" a="1"/>
  <c r="K5" i="94" s="1"/>
  <c r="D5" i="94" a="1"/>
  <c r="D5" i="94" s="1"/>
  <c r="H21" i="93"/>
  <c r="H20" i="93"/>
  <c r="H19" i="93"/>
  <c r="H18" i="93"/>
  <c r="H17" i="93"/>
  <c r="H25" i="92" a="1"/>
  <c r="H25" i="92" s="1"/>
  <c r="G25" i="92" a="1"/>
  <c r="G25" i="92" s="1"/>
  <c r="I567" i="106" s="1" a="1"/>
  <c r="I567" i="106" s="1"/>
  <c r="F25" i="92" a="1"/>
  <c r="F25" i="92" s="1"/>
  <c r="E25" i="92" a="1"/>
  <c r="E25" i="92" s="1"/>
  <c r="J36" i="91" s="1" a="1"/>
  <c r="J36" i="91" s="1"/>
  <c r="D25" i="92" a="1"/>
  <c r="D25" i="92" s="1"/>
  <c r="D22" i="92" a="1"/>
  <c r="D22" i="92" s="1"/>
  <c r="D21" i="92" a="1"/>
  <c r="D21" i="92" s="1"/>
  <c r="F19" i="92" a="1"/>
  <c r="F19" i="92" s="1"/>
  <c r="E19" i="92" a="1"/>
  <c r="E19" i="92" s="1"/>
  <c r="D19" i="92" a="1"/>
  <c r="D19" i="92" s="1"/>
  <c r="F18" i="92" a="1"/>
  <c r="F18" i="92" s="1"/>
  <c r="E18" i="92" a="1"/>
  <c r="E18" i="92" s="1"/>
  <c r="D18" i="92" a="1"/>
  <c r="D18" i="92" s="1"/>
  <c r="F17" i="92" a="1"/>
  <c r="F17" i="92" s="1"/>
  <c r="E17" i="92" a="1"/>
  <c r="E17" i="92" s="1"/>
  <c r="D17" i="92" a="1"/>
  <c r="D17" i="92" s="1"/>
  <c r="F16" i="92" a="1"/>
  <c r="F16" i="92" s="1"/>
  <c r="E16" i="92" a="1"/>
  <c r="E16" i="92" s="1"/>
  <c r="D16" i="92" a="1"/>
  <c r="D16" i="92" s="1"/>
  <c r="F15" i="92" a="1"/>
  <c r="F15" i="92" s="1"/>
  <c r="E15" i="92" a="1"/>
  <c r="E15" i="92" s="1"/>
  <c r="D15" i="92" a="1"/>
  <c r="D15" i="92" s="1"/>
  <c r="F14" i="92" a="1"/>
  <c r="F14" i="92" s="1"/>
  <c r="E14" i="92" a="1"/>
  <c r="E14" i="92" s="1"/>
  <c r="D14" i="92" a="1"/>
  <c r="D14" i="92" s="1"/>
  <c r="F13" i="92" a="1"/>
  <c r="F13" i="92" s="1"/>
  <c r="E13" i="92" a="1"/>
  <c r="E13" i="92" s="1"/>
  <c r="D13" i="92" a="1"/>
  <c r="D13" i="92" s="1"/>
  <c r="F12" i="92" a="1"/>
  <c r="F12" i="92" s="1"/>
  <c r="E12" i="92" a="1"/>
  <c r="E12" i="92" s="1"/>
  <c r="D12" i="92" a="1"/>
  <c r="D12" i="92" s="1"/>
  <c r="F11" i="92" a="1"/>
  <c r="F11" i="92" s="1"/>
  <c r="E11" i="92" a="1"/>
  <c r="E11" i="92" s="1"/>
  <c r="D11" i="92" a="1"/>
  <c r="D11" i="92" s="1"/>
  <c r="F10" i="92" a="1"/>
  <c r="F10" i="92" s="1"/>
  <c r="E10" i="92" a="1"/>
  <c r="E10" i="92" s="1"/>
  <c r="D10" i="92" a="1"/>
  <c r="D10" i="92" s="1"/>
  <c r="D7" i="92" a="1"/>
  <c r="D7" i="92" s="1"/>
  <c r="D6" i="92" a="1"/>
  <c r="D6" i="92" s="1"/>
  <c r="D5" i="92" a="1"/>
  <c r="D5" i="92" s="1"/>
  <c r="J37" i="91"/>
  <c r="J33" i="91" s="1"/>
  <c r="J32" i="91"/>
  <c r="J31" i="91"/>
  <c r="H31" i="91" a="1"/>
  <c r="H31" i="91" s="1"/>
  <c r="D31" i="91" a="1"/>
  <c r="D31" i="91" s="1"/>
  <c r="E29" i="91" a="1"/>
  <c r="E29" i="91" s="1"/>
  <c r="F39" i="91" s="1"/>
  <c r="E28" i="91" a="1"/>
  <c r="E28" i="91" s="1"/>
  <c r="D24" i="91" a="1"/>
  <c r="D24" i="91" s="1"/>
  <c r="D23" i="91" a="1"/>
  <c r="D23" i="91" s="1"/>
  <c r="D22" i="91" a="1"/>
  <c r="D22" i="91" s="1"/>
  <c r="I16" i="91"/>
  <c r="I14" i="91"/>
  <c r="G14" i="91" a="1"/>
  <c r="G14" i="91" s="1"/>
  <c r="D14" i="91" a="1"/>
  <c r="D14" i="91" s="1"/>
  <c r="E12" i="91" a="1"/>
  <c r="E12" i="91" s="1"/>
  <c r="F18" i="91" s="1"/>
  <c r="E11" i="91" a="1"/>
  <c r="E11" i="91" s="1"/>
  <c r="D7" i="91" a="1"/>
  <c r="D7" i="91" s="1"/>
  <c r="D6" i="91" a="1"/>
  <c r="D6" i="91" s="1"/>
  <c r="D5" i="91" a="1"/>
  <c r="D5" i="91" s="1"/>
  <c r="H48" i="90"/>
  <c r="E48" i="90"/>
  <c r="H47" i="90"/>
  <c r="E47" i="90"/>
  <c r="H46" i="90"/>
  <c r="E46" i="90"/>
  <c r="H39" i="90"/>
  <c r="H38" i="90"/>
  <c r="H37" i="90"/>
  <c r="E29" i="90"/>
  <c r="E16" i="90"/>
  <c r="E22" i="90" s="1"/>
  <c r="E6" i="90"/>
  <c r="AH223" i="89" a="1"/>
  <c r="AH223" i="89" s="1"/>
  <c r="AG223" i="89" a="1"/>
  <c r="AG223" i="89" s="1"/>
  <c r="AF223" i="89" a="1"/>
  <c r="AF223" i="89" s="1"/>
  <c r="AE223" i="89" a="1"/>
  <c r="AE223" i="89" s="1"/>
  <c r="AD223" i="89" a="1"/>
  <c r="AD223" i="89" s="1"/>
  <c r="AC223" i="89" a="1"/>
  <c r="AC223" i="89" s="1"/>
  <c r="AB223" i="89" a="1"/>
  <c r="AB223" i="89" s="1"/>
  <c r="AA223" i="89" a="1"/>
  <c r="AA223" i="89" s="1"/>
  <c r="Z223" i="89" a="1"/>
  <c r="Z223" i="89" s="1"/>
  <c r="Y223" i="89" a="1"/>
  <c r="Y223" i="89" s="1"/>
  <c r="X223" i="89" a="1"/>
  <c r="X223" i="89" s="1"/>
  <c r="W223" i="89" a="1"/>
  <c r="W223" i="89" s="1"/>
  <c r="V223" i="89" a="1"/>
  <c r="V223" i="89" s="1"/>
  <c r="U223" i="89" a="1"/>
  <c r="U223" i="89" s="1"/>
  <c r="T223" i="89" a="1"/>
  <c r="T223" i="89" s="1"/>
  <c r="S223" i="89" a="1"/>
  <c r="S223" i="89" s="1"/>
  <c r="R223" i="89" a="1"/>
  <c r="R223" i="89" s="1"/>
  <c r="Q223" i="89" a="1"/>
  <c r="Q223" i="89" s="1"/>
  <c r="P223" i="89" a="1"/>
  <c r="P223" i="89" s="1"/>
  <c r="O223" i="89" a="1"/>
  <c r="O223" i="89" s="1"/>
  <c r="N223" i="89" a="1"/>
  <c r="N223" i="89" s="1"/>
  <c r="M223" i="89" a="1"/>
  <c r="M223" i="89" s="1"/>
  <c r="L223" i="89" a="1"/>
  <c r="L223" i="89" s="1"/>
  <c r="K223" i="89" a="1"/>
  <c r="K223" i="89" s="1"/>
  <c r="J223" i="89" a="1"/>
  <c r="J223" i="89" s="1"/>
  <c r="I223" i="89" a="1"/>
  <c r="I223" i="89" s="1"/>
  <c r="H223" i="89" a="1"/>
  <c r="H223" i="89" s="1"/>
  <c r="G223" i="89" a="1"/>
  <c r="G223" i="89" s="1"/>
  <c r="F223" i="89" a="1"/>
  <c r="F223" i="89" s="1"/>
  <c r="E223" i="89" a="1"/>
  <c r="E223" i="89" s="1"/>
  <c r="D223" i="89" a="1"/>
  <c r="D223" i="89" s="1"/>
  <c r="AH222" i="89" a="1"/>
  <c r="AH222" i="89" s="1"/>
  <c r="AG222" i="89" a="1"/>
  <c r="AG222" i="89" s="1"/>
  <c r="AF222" i="89" a="1"/>
  <c r="AF222" i="89" s="1"/>
  <c r="AE222" i="89" a="1"/>
  <c r="AE222" i="89" s="1"/>
  <c r="AD222" i="89" a="1"/>
  <c r="AD222" i="89" s="1"/>
  <c r="AC222" i="89" a="1"/>
  <c r="AC222" i="89" s="1"/>
  <c r="AB222" i="89" a="1"/>
  <c r="AB222" i="89" s="1"/>
  <c r="AA222" i="89" a="1"/>
  <c r="AA222" i="89" s="1"/>
  <c r="Z222" i="89" a="1"/>
  <c r="Z222" i="89" s="1"/>
  <c r="Y222" i="89" a="1"/>
  <c r="Y222" i="89" s="1"/>
  <c r="X222" i="89" a="1"/>
  <c r="X222" i="89" s="1"/>
  <c r="W222" i="89" a="1"/>
  <c r="W222" i="89" s="1"/>
  <c r="V222" i="89" a="1"/>
  <c r="V222" i="89" s="1"/>
  <c r="U222" i="89" a="1"/>
  <c r="U222" i="89" s="1"/>
  <c r="T222" i="89" a="1"/>
  <c r="T222" i="89" s="1"/>
  <c r="S222" i="89" a="1"/>
  <c r="S222" i="89" s="1"/>
  <c r="R222" i="89" a="1"/>
  <c r="R222" i="89" s="1"/>
  <c r="Q222" i="89" a="1"/>
  <c r="Q222" i="89" s="1"/>
  <c r="P222" i="89" a="1"/>
  <c r="P222" i="89" s="1"/>
  <c r="O222" i="89" a="1"/>
  <c r="O222" i="89" s="1"/>
  <c r="N222" i="89" a="1"/>
  <c r="N222" i="89" s="1"/>
  <c r="M222" i="89" a="1"/>
  <c r="M222" i="89" s="1"/>
  <c r="L222" i="89" a="1"/>
  <c r="L222" i="89" s="1"/>
  <c r="K222" i="89" a="1"/>
  <c r="K222" i="89" s="1"/>
  <c r="J222" i="89" a="1"/>
  <c r="J222" i="89" s="1"/>
  <c r="I222" i="89" a="1"/>
  <c r="I222" i="89" s="1"/>
  <c r="H222" i="89" a="1"/>
  <c r="H222" i="89" s="1"/>
  <c r="G222" i="89" a="1"/>
  <c r="G222" i="89" s="1"/>
  <c r="F222" i="89" a="1"/>
  <c r="F222" i="89" s="1"/>
  <c r="E222" i="89" a="1"/>
  <c r="E222" i="89" s="1"/>
  <c r="D222" i="89" a="1"/>
  <c r="D222" i="89" s="1"/>
  <c r="AH221" i="89" a="1"/>
  <c r="AH221" i="89" s="1"/>
  <c r="AG221" i="89" a="1"/>
  <c r="AG221" i="89" s="1"/>
  <c r="AF221" i="89" a="1"/>
  <c r="AF221" i="89" s="1"/>
  <c r="AE221" i="89" a="1"/>
  <c r="AE221" i="89" s="1"/>
  <c r="AD221" i="89" a="1"/>
  <c r="AD221" i="89" s="1"/>
  <c r="AC221" i="89" a="1"/>
  <c r="AC221" i="89" s="1"/>
  <c r="AB221" i="89" a="1"/>
  <c r="AB221" i="89" s="1"/>
  <c r="AA221" i="89" a="1"/>
  <c r="AA221" i="89" s="1"/>
  <c r="Z221" i="89" a="1"/>
  <c r="Z221" i="89" s="1"/>
  <c r="Y221" i="89" a="1"/>
  <c r="Y221" i="89" s="1"/>
  <c r="X221" i="89" a="1"/>
  <c r="X221" i="89" s="1"/>
  <c r="W221" i="89" a="1"/>
  <c r="W221" i="89" s="1"/>
  <c r="V221" i="89" a="1"/>
  <c r="V221" i="89" s="1"/>
  <c r="U221" i="89" a="1"/>
  <c r="U221" i="89" s="1"/>
  <c r="T221" i="89" a="1"/>
  <c r="T221" i="89" s="1"/>
  <c r="S221" i="89" a="1"/>
  <c r="S221" i="89" s="1"/>
  <c r="R221" i="89" a="1"/>
  <c r="R221" i="89" s="1"/>
  <c r="Q221" i="89" a="1"/>
  <c r="Q221" i="89" s="1"/>
  <c r="P221" i="89" a="1"/>
  <c r="P221" i="89" s="1"/>
  <c r="O221" i="89" a="1"/>
  <c r="O221" i="89" s="1"/>
  <c r="N221" i="89" a="1"/>
  <c r="N221" i="89" s="1"/>
  <c r="M221" i="89" a="1"/>
  <c r="M221" i="89" s="1"/>
  <c r="L221" i="89" a="1"/>
  <c r="L221" i="89" s="1"/>
  <c r="K221" i="89" a="1"/>
  <c r="K221" i="89" s="1"/>
  <c r="J221" i="89" a="1"/>
  <c r="J221" i="89" s="1"/>
  <c r="I221" i="89" a="1"/>
  <c r="I221" i="89" s="1"/>
  <c r="H221" i="89" a="1"/>
  <c r="H221" i="89" s="1"/>
  <c r="G221" i="89" a="1"/>
  <c r="G221" i="89" s="1"/>
  <c r="F221" i="89" a="1"/>
  <c r="F221" i="89" s="1"/>
  <c r="E221" i="89" a="1"/>
  <c r="E221" i="89" s="1"/>
  <c r="D221" i="89" a="1"/>
  <c r="D221" i="89" s="1"/>
  <c r="AH220" i="89" a="1"/>
  <c r="AH220" i="89" s="1"/>
  <c r="AG220" i="89" a="1"/>
  <c r="AG220" i="89" s="1"/>
  <c r="AF220" i="89" a="1"/>
  <c r="AF220" i="89" s="1"/>
  <c r="AE220" i="89" a="1"/>
  <c r="AE220" i="89" s="1"/>
  <c r="AD220" i="89" a="1"/>
  <c r="AD220" i="89" s="1"/>
  <c r="AC220" i="89" a="1"/>
  <c r="AC220" i="89" s="1"/>
  <c r="AB220" i="89" a="1"/>
  <c r="AB220" i="89" s="1"/>
  <c r="AA220" i="89" a="1"/>
  <c r="AA220" i="89" s="1"/>
  <c r="Z220" i="89" a="1"/>
  <c r="Z220" i="89" s="1"/>
  <c r="Y220" i="89" a="1"/>
  <c r="Y220" i="89" s="1"/>
  <c r="X220" i="89" a="1"/>
  <c r="X220" i="89" s="1"/>
  <c r="W220" i="89" a="1"/>
  <c r="W220" i="89" s="1"/>
  <c r="V220" i="89" a="1"/>
  <c r="V220" i="89" s="1"/>
  <c r="U220" i="89" a="1"/>
  <c r="U220" i="89" s="1"/>
  <c r="T220" i="89" a="1"/>
  <c r="T220" i="89" s="1"/>
  <c r="S220" i="89" a="1"/>
  <c r="S220" i="89" s="1"/>
  <c r="R220" i="89" a="1"/>
  <c r="R220" i="89" s="1"/>
  <c r="Q220" i="89" a="1"/>
  <c r="Q220" i="89" s="1"/>
  <c r="P220" i="89" a="1"/>
  <c r="P220" i="89" s="1"/>
  <c r="O220" i="89" a="1"/>
  <c r="O220" i="89" s="1"/>
  <c r="N220" i="89" a="1"/>
  <c r="N220" i="89" s="1"/>
  <c r="M220" i="89" a="1"/>
  <c r="M220" i="89" s="1"/>
  <c r="L220" i="89" a="1"/>
  <c r="L220" i="89" s="1"/>
  <c r="K220" i="89" a="1"/>
  <c r="K220" i="89" s="1"/>
  <c r="J220" i="89" a="1"/>
  <c r="J220" i="89" s="1"/>
  <c r="I220" i="89" a="1"/>
  <c r="I220" i="89" s="1"/>
  <c r="H220" i="89" a="1"/>
  <c r="H220" i="89" s="1"/>
  <c r="G220" i="89" a="1"/>
  <c r="G220" i="89" s="1"/>
  <c r="F220" i="89" a="1"/>
  <c r="F220" i="89" s="1"/>
  <c r="E220" i="89" a="1"/>
  <c r="E220" i="89" s="1"/>
  <c r="D220" i="89" a="1"/>
  <c r="D220" i="89" s="1"/>
  <c r="AH219" i="89" a="1"/>
  <c r="AH219" i="89" s="1"/>
  <c r="AG219" i="89" a="1"/>
  <c r="AG219" i="89" s="1"/>
  <c r="AF219" i="89" a="1"/>
  <c r="AF219" i="89" s="1"/>
  <c r="AE219" i="89" a="1"/>
  <c r="AE219" i="89" s="1"/>
  <c r="AD219" i="89" a="1"/>
  <c r="AD219" i="89" s="1"/>
  <c r="AC219" i="89" a="1"/>
  <c r="AC219" i="89" s="1"/>
  <c r="AB219" i="89" a="1"/>
  <c r="AB219" i="89" s="1"/>
  <c r="AA219" i="89" a="1"/>
  <c r="AA219" i="89" s="1"/>
  <c r="Z219" i="89" a="1"/>
  <c r="Z219" i="89" s="1"/>
  <c r="Y219" i="89" a="1"/>
  <c r="Y219" i="89" s="1"/>
  <c r="X219" i="89" a="1"/>
  <c r="X219" i="89" s="1"/>
  <c r="W219" i="89" a="1"/>
  <c r="W219" i="89" s="1"/>
  <c r="V219" i="89" a="1"/>
  <c r="V219" i="89" s="1"/>
  <c r="U219" i="89" a="1"/>
  <c r="U219" i="89" s="1"/>
  <c r="T219" i="89" a="1"/>
  <c r="T219" i="89" s="1"/>
  <c r="S219" i="89" a="1"/>
  <c r="S219" i="89" s="1"/>
  <c r="R219" i="89" a="1"/>
  <c r="R219" i="89" s="1"/>
  <c r="Q219" i="89" a="1"/>
  <c r="Q219" i="89" s="1"/>
  <c r="P219" i="89" a="1"/>
  <c r="P219" i="89" s="1"/>
  <c r="O219" i="89" a="1"/>
  <c r="O219" i="89" s="1"/>
  <c r="N219" i="89" a="1"/>
  <c r="N219" i="89" s="1"/>
  <c r="M219" i="89" a="1"/>
  <c r="M219" i="89" s="1"/>
  <c r="L219" i="89" a="1"/>
  <c r="L219" i="89" s="1"/>
  <c r="K219" i="89" a="1"/>
  <c r="K219" i="89" s="1"/>
  <c r="J219" i="89" a="1"/>
  <c r="J219" i="89" s="1"/>
  <c r="I219" i="89" a="1"/>
  <c r="I219" i="89" s="1"/>
  <c r="H219" i="89" a="1"/>
  <c r="H219" i="89" s="1"/>
  <c r="G219" i="89" a="1"/>
  <c r="G219" i="89" s="1"/>
  <c r="F219" i="89" a="1"/>
  <c r="F219" i="89" s="1"/>
  <c r="E219" i="89" a="1"/>
  <c r="E219" i="89" s="1"/>
  <c r="D219" i="89" a="1"/>
  <c r="D219" i="89" s="1"/>
  <c r="AH218" i="89" a="1"/>
  <c r="AH218" i="89" s="1"/>
  <c r="AG218" i="89" a="1"/>
  <c r="AG218" i="89" s="1"/>
  <c r="AF218" i="89" a="1"/>
  <c r="AF218" i="89" s="1"/>
  <c r="AE218" i="89" a="1"/>
  <c r="AE218" i="89" s="1"/>
  <c r="AD218" i="89" a="1"/>
  <c r="AD218" i="89" s="1"/>
  <c r="AC218" i="89" a="1"/>
  <c r="AC218" i="89" s="1"/>
  <c r="AB218" i="89" a="1"/>
  <c r="AB218" i="89" s="1"/>
  <c r="AA218" i="89" a="1"/>
  <c r="AA218" i="89" s="1"/>
  <c r="Z218" i="89" a="1"/>
  <c r="Z218" i="89" s="1"/>
  <c r="Y218" i="89" a="1"/>
  <c r="Y218" i="89" s="1"/>
  <c r="X218" i="89" a="1"/>
  <c r="X218" i="89" s="1"/>
  <c r="W218" i="89" a="1"/>
  <c r="W218" i="89" s="1"/>
  <c r="V218" i="89" a="1"/>
  <c r="V218" i="89" s="1"/>
  <c r="U218" i="89" a="1"/>
  <c r="U218" i="89" s="1"/>
  <c r="T218" i="89" a="1"/>
  <c r="T218" i="89" s="1"/>
  <c r="S218" i="89" a="1"/>
  <c r="S218" i="89" s="1"/>
  <c r="R218" i="89" a="1"/>
  <c r="R218" i="89" s="1"/>
  <c r="Q218" i="89" a="1"/>
  <c r="Q218" i="89" s="1"/>
  <c r="P218" i="89" a="1"/>
  <c r="P218" i="89" s="1"/>
  <c r="O218" i="89" a="1"/>
  <c r="O218" i="89" s="1"/>
  <c r="N218" i="89" a="1"/>
  <c r="N218" i="89" s="1"/>
  <c r="M218" i="89" a="1"/>
  <c r="M218" i="89" s="1"/>
  <c r="L218" i="89" a="1"/>
  <c r="L218" i="89" s="1"/>
  <c r="K218" i="89" a="1"/>
  <c r="K218" i="89" s="1"/>
  <c r="J218" i="89" a="1"/>
  <c r="J218" i="89" s="1"/>
  <c r="I218" i="89" a="1"/>
  <c r="I218" i="89" s="1"/>
  <c r="H218" i="89" a="1"/>
  <c r="H218" i="89" s="1"/>
  <c r="G218" i="89" a="1"/>
  <c r="G218" i="89" s="1"/>
  <c r="F218" i="89" a="1"/>
  <c r="F218" i="89" s="1"/>
  <c r="E218" i="89" a="1"/>
  <c r="E218" i="89" s="1"/>
  <c r="D218" i="89" a="1"/>
  <c r="D218" i="89" s="1"/>
  <c r="AH217" i="89" a="1"/>
  <c r="AH217" i="89" s="1"/>
  <c r="AG217" i="89" a="1"/>
  <c r="AG217" i="89" s="1"/>
  <c r="AF217" i="89" a="1"/>
  <c r="AF217" i="89" s="1"/>
  <c r="AE217" i="89" a="1"/>
  <c r="AE217" i="89" s="1"/>
  <c r="AD217" i="89" a="1"/>
  <c r="AD217" i="89" s="1"/>
  <c r="AC217" i="89" a="1"/>
  <c r="AC217" i="89" s="1"/>
  <c r="AB217" i="89" a="1"/>
  <c r="AB217" i="89" s="1"/>
  <c r="AA217" i="89" a="1"/>
  <c r="AA217" i="89" s="1"/>
  <c r="Z217" i="89" a="1"/>
  <c r="Z217" i="89" s="1"/>
  <c r="Y217" i="89" a="1"/>
  <c r="Y217" i="89" s="1"/>
  <c r="X217" i="89" a="1"/>
  <c r="X217" i="89" s="1"/>
  <c r="W217" i="89" a="1"/>
  <c r="W217" i="89" s="1"/>
  <c r="V217" i="89" a="1"/>
  <c r="V217" i="89" s="1"/>
  <c r="U217" i="89" a="1"/>
  <c r="U217" i="89" s="1"/>
  <c r="T217" i="89" a="1"/>
  <c r="T217" i="89" s="1"/>
  <c r="S217" i="89" a="1"/>
  <c r="S217" i="89" s="1"/>
  <c r="R217" i="89" a="1"/>
  <c r="R217" i="89" s="1"/>
  <c r="Q217" i="89" a="1"/>
  <c r="Q217" i="89" s="1"/>
  <c r="P217" i="89" a="1"/>
  <c r="P217" i="89" s="1"/>
  <c r="O217" i="89" a="1"/>
  <c r="O217" i="89" s="1"/>
  <c r="N217" i="89" a="1"/>
  <c r="N217" i="89" s="1"/>
  <c r="M217" i="89" a="1"/>
  <c r="M217" i="89" s="1"/>
  <c r="L217" i="89" a="1"/>
  <c r="L217" i="89" s="1"/>
  <c r="K217" i="89" a="1"/>
  <c r="K217" i="89" s="1"/>
  <c r="J217" i="89" a="1"/>
  <c r="J217" i="89" s="1"/>
  <c r="I217" i="89" a="1"/>
  <c r="I217" i="89" s="1"/>
  <c r="H217" i="89" a="1"/>
  <c r="H217" i="89" s="1"/>
  <c r="G217" i="89" a="1"/>
  <c r="G217" i="89" s="1"/>
  <c r="F217" i="89" a="1"/>
  <c r="F217" i="89" s="1"/>
  <c r="E217" i="89" a="1"/>
  <c r="E217" i="89" s="1"/>
  <c r="D217" i="89" a="1"/>
  <c r="D217" i="89" s="1"/>
  <c r="AH216" i="89" a="1"/>
  <c r="AH216" i="89" s="1"/>
  <c r="AG216" i="89" a="1"/>
  <c r="AG216" i="89" s="1"/>
  <c r="AF216" i="89" a="1"/>
  <c r="AF216" i="89" s="1"/>
  <c r="AE216" i="89" a="1"/>
  <c r="AE216" i="89" s="1"/>
  <c r="AD216" i="89" a="1"/>
  <c r="AD216" i="89" s="1"/>
  <c r="AC216" i="89" a="1"/>
  <c r="AC216" i="89" s="1"/>
  <c r="AB216" i="89" a="1"/>
  <c r="AB216" i="89" s="1"/>
  <c r="AA216" i="89" a="1"/>
  <c r="AA216" i="89" s="1"/>
  <c r="Z216" i="89" a="1"/>
  <c r="Z216" i="89" s="1"/>
  <c r="Y216" i="89" a="1"/>
  <c r="Y216" i="89" s="1"/>
  <c r="X216" i="89" a="1"/>
  <c r="X216" i="89" s="1"/>
  <c r="W216" i="89" a="1"/>
  <c r="W216" i="89" s="1"/>
  <c r="V216" i="89" a="1"/>
  <c r="V216" i="89" s="1"/>
  <c r="U216" i="89" a="1"/>
  <c r="U216" i="89" s="1"/>
  <c r="T216" i="89" a="1"/>
  <c r="T216" i="89" s="1"/>
  <c r="S216" i="89" a="1"/>
  <c r="S216" i="89" s="1"/>
  <c r="R216" i="89" a="1"/>
  <c r="R216" i="89" s="1"/>
  <c r="Q216" i="89" a="1"/>
  <c r="Q216" i="89" s="1"/>
  <c r="P216" i="89" a="1"/>
  <c r="P216" i="89" s="1"/>
  <c r="O216" i="89" a="1"/>
  <c r="O216" i="89" s="1"/>
  <c r="N216" i="89" a="1"/>
  <c r="N216" i="89" s="1"/>
  <c r="M216" i="89" a="1"/>
  <c r="M216" i="89" s="1"/>
  <c r="L216" i="89" a="1"/>
  <c r="L216" i="89" s="1"/>
  <c r="K216" i="89" a="1"/>
  <c r="K216" i="89" s="1"/>
  <c r="J216" i="89" a="1"/>
  <c r="J216" i="89" s="1"/>
  <c r="I216" i="89" a="1"/>
  <c r="I216" i="89" s="1"/>
  <c r="H216" i="89" a="1"/>
  <c r="H216" i="89" s="1"/>
  <c r="G216" i="89" a="1"/>
  <c r="G216" i="89" s="1"/>
  <c r="F216" i="89" a="1"/>
  <c r="F216" i="89" s="1"/>
  <c r="E216" i="89" a="1"/>
  <c r="E216" i="89" s="1"/>
  <c r="D216" i="89" a="1"/>
  <c r="D216" i="89" s="1"/>
  <c r="AH215" i="89" a="1"/>
  <c r="AH215" i="89" s="1"/>
  <c r="AG215" i="89" a="1"/>
  <c r="AG215" i="89" s="1"/>
  <c r="AF215" i="89" a="1"/>
  <c r="AF215" i="89" s="1"/>
  <c r="AE215" i="89" a="1"/>
  <c r="AE215" i="89" s="1"/>
  <c r="AD215" i="89" a="1"/>
  <c r="AD215" i="89" s="1"/>
  <c r="AC215" i="89" a="1"/>
  <c r="AC215" i="89" s="1"/>
  <c r="AB215" i="89" a="1"/>
  <c r="AB215" i="89" s="1"/>
  <c r="AA215" i="89" a="1"/>
  <c r="AA215" i="89" s="1"/>
  <c r="Z215" i="89" a="1"/>
  <c r="Z215" i="89" s="1"/>
  <c r="Y215" i="89" a="1"/>
  <c r="Y215" i="89" s="1"/>
  <c r="X215" i="89" a="1"/>
  <c r="X215" i="89" s="1"/>
  <c r="W215" i="89" a="1"/>
  <c r="W215" i="89" s="1"/>
  <c r="V215" i="89" a="1"/>
  <c r="V215" i="89" s="1"/>
  <c r="U215" i="89" a="1"/>
  <c r="U215" i="89" s="1"/>
  <c r="T215" i="89" a="1"/>
  <c r="T215" i="89" s="1"/>
  <c r="S215" i="89" a="1"/>
  <c r="S215" i="89" s="1"/>
  <c r="R215" i="89" a="1"/>
  <c r="R215" i="89" s="1"/>
  <c r="Q215" i="89" a="1"/>
  <c r="Q215" i="89" s="1"/>
  <c r="P215" i="89" a="1"/>
  <c r="P215" i="89" s="1"/>
  <c r="O215" i="89" a="1"/>
  <c r="O215" i="89" s="1"/>
  <c r="N215" i="89" a="1"/>
  <c r="N215" i="89" s="1"/>
  <c r="M215" i="89" a="1"/>
  <c r="M215" i="89" s="1"/>
  <c r="L215" i="89" a="1"/>
  <c r="L215" i="89" s="1"/>
  <c r="K215" i="89" a="1"/>
  <c r="K215" i="89" s="1"/>
  <c r="J215" i="89" a="1"/>
  <c r="J215" i="89" s="1"/>
  <c r="I215" i="89" a="1"/>
  <c r="I215" i="89" s="1"/>
  <c r="H215" i="89" a="1"/>
  <c r="H215" i="89" s="1"/>
  <c r="G215" i="89" a="1"/>
  <c r="G215" i="89" s="1"/>
  <c r="F215" i="89" a="1"/>
  <c r="F215" i="89" s="1"/>
  <c r="E215" i="89" a="1"/>
  <c r="E215" i="89" s="1"/>
  <c r="D215" i="89" a="1"/>
  <c r="D215" i="89" s="1"/>
  <c r="AH214" i="89" a="1"/>
  <c r="AH214" i="89" s="1"/>
  <c r="AG214" i="89" a="1"/>
  <c r="AG214" i="89" s="1"/>
  <c r="AF214" i="89" a="1"/>
  <c r="AF214" i="89" s="1"/>
  <c r="AE214" i="89" a="1"/>
  <c r="AE214" i="89" s="1"/>
  <c r="AD214" i="89" a="1"/>
  <c r="AD214" i="89" s="1"/>
  <c r="AC214" i="89" a="1"/>
  <c r="AC214" i="89" s="1"/>
  <c r="AB214" i="89" a="1"/>
  <c r="AB214" i="89" s="1"/>
  <c r="AA214" i="89" a="1"/>
  <c r="AA214" i="89" s="1"/>
  <c r="Z214" i="89" a="1"/>
  <c r="Z214" i="89" s="1"/>
  <c r="Y214" i="89" a="1"/>
  <c r="Y214" i="89" s="1"/>
  <c r="X214" i="89" a="1"/>
  <c r="X214" i="89" s="1"/>
  <c r="W214" i="89" a="1"/>
  <c r="W214" i="89" s="1"/>
  <c r="V214" i="89" a="1"/>
  <c r="V214" i="89" s="1"/>
  <c r="U214" i="89" a="1"/>
  <c r="U214" i="89" s="1"/>
  <c r="T214" i="89" a="1"/>
  <c r="T214" i="89" s="1"/>
  <c r="S214" i="89" a="1"/>
  <c r="S214" i="89" s="1"/>
  <c r="R214" i="89" a="1"/>
  <c r="R214" i="89" s="1"/>
  <c r="Q214" i="89" a="1"/>
  <c r="Q214" i="89" s="1"/>
  <c r="P214" i="89" a="1"/>
  <c r="P214" i="89" s="1"/>
  <c r="O214" i="89" a="1"/>
  <c r="O214" i="89" s="1"/>
  <c r="N214" i="89" a="1"/>
  <c r="N214" i="89" s="1"/>
  <c r="M214" i="89" a="1"/>
  <c r="M214" i="89" s="1"/>
  <c r="L214" i="89" a="1"/>
  <c r="L214" i="89" s="1"/>
  <c r="K214" i="89" a="1"/>
  <c r="K214" i="89" s="1"/>
  <c r="J214" i="89" a="1"/>
  <c r="J214" i="89" s="1"/>
  <c r="I214" i="89" a="1"/>
  <c r="I214" i="89" s="1"/>
  <c r="H214" i="89" a="1"/>
  <c r="H214" i="89" s="1"/>
  <c r="G214" i="89" a="1"/>
  <c r="G214" i="89" s="1"/>
  <c r="F214" i="89" a="1"/>
  <c r="F214" i="89" s="1"/>
  <c r="E214" i="89" a="1"/>
  <c r="E214" i="89" s="1"/>
  <c r="D214" i="89" a="1"/>
  <c r="D214" i="89" s="1"/>
  <c r="AH213" i="89" a="1"/>
  <c r="AH213" i="89" s="1"/>
  <c r="AG213" i="89" a="1"/>
  <c r="AG213" i="89" s="1"/>
  <c r="AF213" i="89" a="1"/>
  <c r="AF213" i="89" s="1"/>
  <c r="AE213" i="89" a="1"/>
  <c r="AE213" i="89" s="1"/>
  <c r="AD213" i="89" a="1"/>
  <c r="AD213" i="89" s="1"/>
  <c r="AC213" i="89" a="1"/>
  <c r="AC213" i="89" s="1"/>
  <c r="AB213" i="89" a="1"/>
  <c r="AB213" i="89" s="1"/>
  <c r="AA213" i="89" a="1"/>
  <c r="AA213" i="89" s="1"/>
  <c r="Z213" i="89" a="1"/>
  <c r="Z213" i="89" s="1"/>
  <c r="Y213" i="89" a="1"/>
  <c r="Y213" i="89" s="1"/>
  <c r="X213" i="89" a="1"/>
  <c r="X213" i="89" s="1"/>
  <c r="W213" i="89" a="1"/>
  <c r="W213" i="89" s="1"/>
  <c r="V213" i="89" a="1"/>
  <c r="V213" i="89" s="1"/>
  <c r="U213" i="89" a="1"/>
  <c r="U213" i="89" s="1"/>
  <c r="T213" i="89" a="1"/>
  <c r="T213" i="89" s="1"/>
  <c r="S213" i="89" a="1"/>
  <c r="S213" i="89" s="1"/>
  <c r="R213" i="89" a="1"/>
  <c r="R213" i="89" s="1"/>
  <c r="Q213" i="89" a="1"/>
  <c r="Q213" i="89" s="1"/>
  <c r="P213" i="89" a="1"/>
  <c r="P213" i="89" s="1"/>
  <c r="O213" i="89" a="1"/>
  <c r="O213" i="89" s="1"/>
  <c r="N213" i="89" a="1"/>
  <c r="N213" i="89" s="1"/>
  <c r="M213" i="89" a="1"/>
  <c r="M213" i="89" s="1"/>
  <c r="L213" i="89" a="1"/>
  <c r="L213" i="89" s="1"/>
  <c r="K213" i="89" a="1"/>
  <c r="K213" i="89" s="1"/>
  <c r="J213" i="89" a="1"/>
  <c r="J213" i="89" s="1"/>
  <c r="I213" i="89" a="1"/>
  <c r="I213" i="89" s="1"/>
  <c r="H213" i="89" a="1"/>
  <c r="H213" i="89" s="1"/>
  <c r="G213" i="89" a="1"/>
  <c r="G213" i="89" s="1"/>
  <c r="F213" i="89" a="1"/>
  <c r="F213" i="89" s="1"/>
  <c r="E213" i="89" a="1"/>
  <c r="E213" i="89" s="1"/>
  <c r="D213" i="89" a="1"/>
  <c r="D213" i="89" s="1"/>
  <c r="AH212" i="89" a="1"/>
  <c r="AH212" i="89" s="1"/>
  <c r="AG212" i="89" a="1"/>
  <c r="AG212" i="89" s="1"/>
  <c r="AF212" i="89" a="1"/>
  <c r="AF212" i="89" s="1"/>
  <c r="AE212" i="89" a="1"/>
  <c r="AE212" i="89" s="1"/>
  <c r="AD212" i="89" a="1"/>
  <c r="AD212" i="89" s="1"/>
  <c r="AC212" i="89" a="1"/>
  <c r="AC212" i="89" s="1"/>
  <c r="AB212" i="89" a="1"/>
  <c r="AB212" i="89" s="1"/>
  <c r="AA212" i="89" a="1"/>
  <c r="AA212" i="89" s="1"/>
  <c r="Z212" i="89" a="1"/>
  <c r="Z212" i="89" s="1"/>
  <c r="Y212" i="89" a="1"/>
  <c r="Y212" i="89" s="1"/>
  <c r="X212" i="89" a="1"/>
  <c r="X212" i="89" s="1"/>
  <c r="W212" i="89" a="1"/>
  <c r="W212" i="89" s="1"/>
  <c r="V212" i="89" a="1"/>
  <c r="V212" i="89" s="1"/>
  <c r="U212" i="89" a="1"/>
  <c r="U212" i="89" s="1"/>
  <c r="T212" i="89" a="1"/>
  <c r="T212" i="89" s="1"/>
  <c r="S212" i="89" a="1"/>
  <c r="S212" i="89" s="1"/>
  <c r="R212" i="89" a="1"/>
  <c r="R212" i="89" s="1"/>
  <c r="Q212" i="89" a="1"/>
  <c r="Q212" i="89" s="1"/>
  <c r="P212" i="89" a="1"/>
  <c r="P212" i="89" s="1"/>
  <c r="O212" i="89" a="1"/>
  <c r="O212" i="89" s="1"/>
  <c r="N212" i="89" a="1"/>
  <c r="N212" i="89" s="1"/>
  <c r="M212" i="89" a="1"/>
  <c r="M212" i="89" s="1"/>
  <c r="L212" i="89" a="1"/>
  <c r="L212" i="89" s="1"/>
  <c r="K212" i="89" a="1"/>
  <c r="K212" i="89" s="1"/>
  <c r="J212" i="89" a="1"/>
  <c r="J212" i="89" s="1"/>
  <c r="I212" i="89" a="1"/>
  <c r="I212" i="89" s="1"/>
  <c r="H212" i="89" a="1"/>
  <c r="H212" i="89" s="1"/>
  <c r="G212" i="89" a="1"/>
  <c r="G212" i="89" s="1"/>
  <c r="F212" i="89" a="1"/>
  <c r="F212" i="89" s="1"/>
  <c r="E212" i="89" a="1"/>
  <c r="E212" i="89" s="1"/>
  <c r="D212" i="89" a="1"/>
  <c r="D212" i="89" s="1"/>
  <c r="AH211" i="89" a="1"/>
  <c r="AH211" i="89" s="1"/>
  <c r="AG211" i="89" a="1"/>
  <c r="AG211" i="89" s="1"/>
  <c r="AF211" i="89" a="1"/>
  <c r="AF211" i="89" s="1"/>
  <c r="AE211" i="89" a="1"/>
  <c r="AE211" i="89" s="1"/>
  <c r="AD211" i="89" a="1"/>
  <c r="AD211" i="89" s="1"/>
  <c r="AC211" i="89" a="1"/>
  <c r="AC211" i="89" s="1"/>
  <c r="AB211" i="89" a="1"/>
  <c r="AB211" i="89" s="1"/>
  <c r="AA211" i="89" a="1"/>
  <c r="AA211" i="89" s="1"/>
  <c r="Z211" i="89" a="1"/>
  <c r="Z211" i="89" s="1"/>
  <c r="Y211" i="89" a="1"/>
  <c r="Y211" i="89" s="1"/>
  <c r="X211" i="89" a="1"/>
  <c r="X211" i="89" s="1"/>
  <c r="W211" i="89" a="1"/>
  <c r="W211" i="89" s="1"/>
  <c r="V211" i="89" a="1"/>
  <c r="V211" i="89" s="1"/>
  <c r="U211" i="89" a="1"/>
  <c r="U211" i="89" s="1"/>
  <c r="T211" i="89" a="1"/>
  <c r="T211" i="89" s="1"/>
  <c r="S211" i="89" a="1"/>
  <c r="S211" i="89" s="1"/>
  <c r="R211" i="89" a="1"/>
  <c r="R211" i="89" s="1"/>
  <c r="Q211" i="89" a="1"/>
  <c r="Q211" i="89" s="1"/>
  <c r="P211" i="89" a="1"/>
  <c r="P211" i="89" s="1"/>
  <c r="O211" i="89" a="1"/>
  <c r="O211" i="89" s="1"/>
  <c r="N211" i="89" a="1"/>
  <c r="N211" i="89" s="1"/>
  <c r="M211" i="89" a="1"/>
  <c r="M211" i="89" s="1"/>
  <c r="L211" i="89" a="1"/>
  <c r="L211" i="89" s="1"/>
  <c r="K211" i="89" a="1"/>
  <c r="K211" i="89" s="1"/>
  <c r="J211" i="89" a="1"/>
  <c r="J211" i="89" s="1"/>
  <c r="I211" i="89" a="1"/>
  <c r="I211" i="89" s="1"/>
  <c r="H211" i="89" a="1"/>
  <c r="H211" i="89" s="1"/>
  <c r="G211" i="89" a="1"/>
  <c r="G211" i="89" s="1"/>
  <c r="F211" i="89" a="1"/>
  <c r="F211" i="89" s="1"/>
  <c r="E211" i="89" a="1"/>
  <c r="E211" i="89" s="1"/>
  <c r="D211" i="89" a="1"/>
  <c r="D211" i="89" s="1"/>
  <c r="AH210" i="89" a="1"/>
  <c r="AH210" i="89" s="1"/>
  <c r="AG210" i="89" a="1"/>
  <c r="AG210" i="89" s="1"/>
  <c r="AF210" i="89" a="1"/>
  <c r="AF210" i="89" s="1"/>
  <c r="AE210" i="89" a="1"/>
  <c r="AE210" i="89" s="1"/>
  <c r="AD210" i="89" a="1"/>
  <c r="AD210" i="89" s="1"/>
  <c r="AC210" i="89" a="1"/>
  <c r="AC210" i="89" s="1"/>
  <c r="AB210" i="89" a="1"/>
  <c r="AB210" i="89" s="1"/>
  <c r="AA210" i="89" a="1"/>
  <c r="AA210" i="89" s="1"/>
  <c r="Z210" i="89" a="1"/>
  <c r="Z210" i="89" s="1"/>
  <c r="Y210" i="89" a="1"/>
  <c r="Y210" i="89" s="1"/>
  <c r="X210" i="89" a="1"/>
  <c r="X210" i="89" s="1"/>
  <c r="W210" i="89" a="1"/>
  <c r="W210" i="89" s="1"/>
  <c r="V210" i="89" a="1"/>
  <c r="V210" i="89" s="1"/>
  <c r="U210" i="89" a="1"/>
  <c r="U210" i="89" s="1"/>
  <c r="T210" i="89" a="1"/>
  <c r="T210" i="89" s="1"/>
  <c r="S210" i="89" a="1"/>
  <c r="S210" i="89" s="1"/>
  <c r="R210" i="89" a="1"/>
  <c r="R210" i="89" s="1"/>
  <c r="Q210" i="89" a="1"/>
  <c r="Q210" i="89" s="1"/>
  <c r="P210" i="89" a="1"/>
  <c r="P210" i="89" s="1"/>
  <c r="O210" i="89" a="1"/>
  <c r="O210" i="89" s="1"/>
  <c r="N210" i="89" a="1"/>
  <c r="N210" i="89" s="1"/>
  <c r="M210" i="89" a="1"/>
  <c r="M210" i="89" s="1"/>
  <c r="L210" i="89" a="1"/>
  <c r="L210" i="89" s="1"/>
  <c r="K210" i="89" a="1"/>
  <c r="K210" i="89" s="1"/>
  <c r="J210" i="89" a="1"/>
  <c r="J210" i="89" s="1"/>
  <c r="I210" i="89" a="1"/>
  <c r="I210" i="89" s="1"/>
  <c r="H210" i="89" a="1"/>
  <c r="H210" i="89" s="1"/>
  <c r="G210" i="89" a="1"/>
  <c r="G210" i="89" s="1"/>
  <c r="F210" i="89" a="1"/>
  <c r="F210" i="89" s="1"/>
  <c r="E210" i="89" a="1"/>
  <c r="E210" i="89" s="1"/>
  <c r="D210" i="89" a="1"/>
  <c r="D210" i="89" s="1"/>
  <c r="AH209" i="89" a="1"/>
  <c r="AH209" i="89" s="1"/>
  <c r="AG209" i="89" a="1"/>
  <c r="AG209" i="89" s="1"/>
  <c r="AF209" i="89" a="1"/>
  <c r="AF209" i="89" s="1"/>
  <c r="AE209" i="89" a="1"/>
  <c r="AE209" i="89" s="1"/>
  <c r="AD209" i="89" a="1"/>
  <c r="AD209" i="89" s="1"/>
  <c r="AC209" i="89" a="1"/>
  <c r="AC209" i="89" s="1"/>
  <c r="AB209" i="89" a="1"/>
  <c r="AB209" i="89" s="1"/>
  <c r="AA209" i="89" a="1"/>
  <c r="AA209" i="89" s="1"/>
  <c r="Z209" i="89" a="1"/>
  <c r="Z209" i="89" s="1"/>
  <c r="Y209" i="89" a="1"/>
  <c r="Y209" i="89" s="1"/>
  <c r="X209" i="89" a="1"/>
  <c r="X209" i="89" s="1"/>
  <c r="W209" i="89" a="1"/>
  <c r="W209" i="89" s="1"/>
  <c r="V209" i="89" a="1"/>
  <c r="V209" i="89" s="1"/>
  <c r="U209" i="89" a="1"/>
  <c r="U209" i="89" s="1"/>
  <c r="T209" i="89" a="1"/>
  <c r="T209" i="89" s="1"/>
  <c r="S209" i="89" a="1"/>
  <c r="S209" i="89" s="1"/>
  <c r="R209" i="89" a="1"/>
  <c r="R209" i="89" s="1"/>
  <c r="Q209" i="89" a="1"/>
  <c r="Q209" i="89" s="1"/>
  <c r="P209" i="89" a="1"/>
  <c r="P209" i="89" s="1"/>
  <c r="O209" i="89" a="1"/>
  <c r="O209" i="89" s="1"/>
  <c r="N209" i="89" a="1"/>
  <c r="N209" i="89" s="1"/>
  <c r="M209" i="89" a="1"/>
  <c r="M209" i="89" s="1"/>
  <c r="L209" i="89" a="1"/>
  <c r="L209" i="89" s="1"/>
  <c r="K209" i="89" a="1"/>
  <c r="K209" i="89" s="1"/>
  <c r="J209" i="89" a="1"/>
  <c r="J209" i="89" s="1"/>
  <c r="I209" i="89" a="1"/>
  <c r="I209" i="89" s="1"/>
  <c r="H209" i="89" a="1"/>
  <c r="H209" i="89" s="1"/>
  <c r="G209" i="89" a="1"/>
  <c r="G209" i="89" s="1"/>
  <c r="F209" i="89" a="1"/>
  <c r="F209" i="89" s="1"/>
  <c r="E209" i="89" a="1"/>
  <c r="E209" i="89" s="1"/>
  <c r="D209" i="89" a="1"/>
  <c r="D209" i="89" s="1"/>
  <c r="AH208" i="89" a="1"/>
  <c r="AH208" i="89" s="1"/>
  <c r="AG208" i="89" a="1"/>
  <c r="AG208" i="89" s="1"/>
  <c r="AF208" i="89" a="1"/>
  <c r="AF208" i="89" s="1"/>
  <c r="AE208" i="89" a="1"/>
  <c r="AE208" i="89" s="1"/>
  <c r="AD208" i="89" a="1"/>
  <c r="AD208" i="89" s="1"/>
  <c r="AC208" i="89" a="1"/>
  <c r="AC208" i="89" s="1"/>
  <c r="AB208" i="89" a="1"/>
  <c r="AB208" i="89" s="1"/>
  <c r="AA208" i="89" a="1"/>
  <c r="AA208" i="89" s="1"/>
  <c r="Z208" i="89" a="1"/>
  <c r="Z208" i="89" s="1"/>
  <c r="Y208" i="89" a="1"/>
  <c r="Y208" i="89" s="1"/>
  <c r="X208" i="89" a="1"/>
  <c r="X208" i="89" s="1"/>
  <c r="W208" i="89" a="1"/>
  <c r="W208" i="89" s="1"/>
  <c r="V208" i="89" a="1"/>
  <c r="V208" i="89" s="1"/>
  <c r="U208" i="89" a="1"/>
  <c r="U208" i="89" s="1"/>
  <c r="T208" i="89" a="1"/>
  <c r="T208" i="89" s="1"/>
  <c r="S208" i="89" a="1"/>
  <c r="S208" i="89" s="1"/>
  <c r="R208" i="89" a="1"/>
  <c r="R208" i="89" s="1"/>
  <c r="Q208" i="89" a="1"/>
  <c r="Q208" i="89" s="1"/>
  <c r="P208" i="89" a="1"/>
  <c r="P208" i="89" s="1"/>
  <c r="O208" i="89" a="1"/>
  <c r="O208" i="89" s="1"/>
  <c r="N208" i="89" a="1"/>
  <c r="N208" i="89" s="1"/>
  <c r="M208" i="89" a="1"/>
  <c r="M208" i="89" s="1"/>
  <c r="L208" i="89" a="1"/>
  <c r="L208" i="89" s="1"/>
  <c r="K208" i="89" a="1"/>
  <c r="K208" i="89" s="1"/>
  <c r="J208" i="89" a="1"/>
  <c r="J208" i="89" s="1"/>
  <c r="I208" i="89" a="1"/>
  <c r="I208" i="89" s="1"/>
  <c r="H208" i="89" a="1"/>
  <c r="H208" i="89" s="1"/>
  <c r="G208" i="89" a="1"/>
  <c r="G208" i="89" s="1"/>
  <c r="F208" i="89" a="1"/>
  <c r="F208" i="89" s="1"/>
  <c r="E208" i="89" a="1"/>
  <c r="E208" i="89" s="1"/>
  <c r="D208" i="89" a="1"/>
  <c r="D208" i="89" s="1"/>
  <c r="AH207" i="89" a="1"/>
  <c r="AH207" i="89" s="1"/>
  <c r="AG207" i="89" a="1"/>
  <c r="AG207" i="89" s="1"/>
  <c r="AF207" i="89" a="1"/>
  <c r="AF207" i="89" s="1"/>
  <c r="AE207" i="89" a="1"/>
  <c r="AE207" i="89" s="1"/>
  <c r="AD207" i="89" a="1"/>
  <c r="AD207" i="89" s="1"/>
  <c r="AC207" i="89" a="1"/>
  <c r="AC207" i="89" s="1"/>
  <c r="AB207" i="89" a="1"/>
  <c r="AB207" i="89" s="1"/>
  <c r="AA207" i="89" a="1"/>
  <c r="AA207" i="89" s="1"/>
  <c r="Z207" i="89" a="1"/>
  <c r="Z207" i="89" s="1"/>
  <c r="Y207" i="89" a="1"/>
  <c r="Y207" i="89" s="1"/>
  <c r="X207" i="89" a="1"/>
  <c r="X207" i="89" s="1"/>
  <c r="W207" i="89" a="1"/>
  <c r="W207" i="89" s="1"/>
  <c r="V207" i="89" a="1"/>
  <c r="V207" i="89" s="1"/>
  <c r="U207" i="89" a="1"/>
  <c r="U207" i="89" s="1"/>
  <c r="T207" i="89" a="1"/>
  <c r="T207" i="89" s="1"/>
  <c r="S207" i="89" a="1"/>
  <c r="S207" i="89" s="1"/>
  <c r="R207" i="89" a="1"/>
  <c r="R207" i="89" s="1"/>
  <c r="Q207" i="89" a="1"/>
  <c r="Q207" i="89" s="1"/>
  <c r="P207" i="89" a="1"/>
  <c r="P207" i="89" s="1"/>
  <c r="O207" i="89" a="1"/>
  <c r="O207" i="89" s="1"/>
  <c r="N207" i="89" a="1"/>
  <c r="N207" i="89" s="1"/>
  <c r="M207" i="89" a="1"/>
  <c r="M207" i="89" s="1"/>
  <c r="L207" i="89" a="1"/>
  <c r="L207" i="89" s="1"/>
  <c r="K207" i="89" a="1"/>
  <c r="K207" i="89" s="1"/>
  <c r="J207" i="89" a="1"/>
  <c r="J207" i="89" s="1"/>
  <c r="I207" i="89" a="1"/>
  <c r="I207" i="89" s="1"/>
  <c r="H207" i="89" a="1"/>
  <c r="H207" i="89" s="1"/>
  <c r="G207" i="89" a="1"/>
  <c r="G207" i="89" s="1"/>
  <c r="F207" i="89" a="1"/>
  <c r="F207" i="89" s="1"/>
  <c r="E207" i="89" a="1"/>
  <c r="E207" i="89" s="1"/>
  <c r="D207" i="89" a="1"/>
  <c r="D207" i="89" s="1"/>
  <c r="AH206" i="89" a="1"/>
  <c r="AH206" i="89" s="1"/>
  <c r="AG206" i="89" a="1"/>
  <c r="AG206" i="89" s="1"/>
  <c r="AF206" i="89" a="1"/>
  <c r="AF206" i="89" s="1"/>
  <c r="AE206" i="89" a="1"/>
  <c r="AE206" i="89" s="1"/>
  <c r="AD206" i="89" a="1"/>
  <c r="AD206" i="89" s="1"/>
  <c r="AC206" i="89" a="1"/>
  <c r="AC206" i="89" s="1"/>
  <c r="AB206" i="89" a="1"/>
  <c r="AB206" i="89" s="1"/>
  <c r="AA206" i="89" a="1"/>
  <c r="AA206" i="89" s="1"/>
  <c r="Z206" i="89" a="1"/>
  <c r="Z206" i="89" s="1"/>
  <c r="Y206" i="89" a="1"/>
  <c r="Y206" i="89" s="1"/>
  <c r="X206" i="89" a="1"/>
  <c r="X206" i="89" s="1"/>
  <c r="W206" i="89" a="1"/>
  <c r="W206" i="89" s="1"/>
  <c r="V206" i="89" a="1"/>
  <c r="V206" i="89" s="1"/>
  <c r="U206" i="89" a="1"/>
  <c r="U206" i="89" s="1"/>
  <c r="T206" i="89" a="1"/>
  <c r="T206" i="89" s="1"/>
  <c r="S206" i="89" a="1"/>
  <c r="S206" i="89" s="1"/>
  <c r="R206" i="89" a="1"/>
  <c r="R206" i="89" s="1"/>
  <c r="Q206" i="89" a="1"/>
  <c r="Q206" i="89" s="1"/>
  <c r="P206" i="89" a="1"/>
  <c r="P206" i="89" s="1"/>
  <c r="O206" i="89" a="1"/>
  <c r="O206" i="89" s="1"/>
  <c r="N206" i="89" a="1"/>
  <c r="N206" i="89" s="1"/>
  <c r="M206" i="89" a="1"/>
  <c r="M206" i="89" s="1"/>
  <c r="L206" i="89" a="1"/>
  <c r="L206" i="89" s="1"/>
  <c r="K206" i="89" a="1"/>
  <c r="K206" i="89" s="1"/>
  <c r="J206" i="89" a="1"/>
  <c r="J206" i="89" s="1"/>
  <c r="I206" i="89" a="1"/>
  <c r="I206" i="89" s="1"/>
  <c r="H206" i="89" a="1"/>
  <c r="H206" i="89" s="1"/>
  <c r="G206" i="89" a="1"/>
  <c r="G206" i="89" s="1"/>
  <c r="F206" i="89" a="1"/>
  <c r="F206" i="89" s="1"/>
  <c r="E206" i="89" a="1"/>
  <c r="E206" i="89" s="1"/>
  <c r="D206" i="89" a="1"/>
  <c r="D206" i="89" s="1"/>
  <c r="AH205" i="89" a="1"/>
  <c r="AH205" i="89" s="1"/>
  <c r="AG205" i="89" a="1"/>
  <c r="AG205" i="89" s="1"/>
  <c r="AF205" i="89" a="1"/>
  <c r="AF205" i="89" s="1"/>
  <c r="AE205" i="89" a="1"/>
  <c r="AE205" i="89" s="1"/>
  <c r="AD205" i="89" a="1"/>
  <c r="AD205" i="89" s="1"/>
  <c r="AC205" i="89" a="1"/>
  <c r="AC205" i="89" s="1"/>
  <c r="AB205" i="89" a="1"/>
  <c r="AB205" i="89" s="1"/>
  <c r="AA205" i="89" a="1"/>
  <c r="AA205" i="89" s="1"/>
  <c r="Z205" i="89" a="1"/>
  <c r="Z205" i="89" s="1"/>
  <c r="Y205" i="89" a="1"/>
  <c r="Y205" i="89" s="1"/>
  <c r="X205" i="89" a="1"/>
  <c r="X205" i="89" s="1"/>
  <c r="W205" i="89" a="1"/>
  <c r="W205" i="89" s="1"/>
  <c r="V205" i="89" a="1"/>
  <c r="V205" i="89" s="1"/>
  <c r="U205" i="89" a="1"/>
  <c r="U205" i="89" s="1"/>
  <c r="T205" i="89" a="1"/>
  <c r="T205" i="89" s="1"/>
  <c r="S205" i="89" a="1"/>
  <c r="S205" i="89" s="1"/>
  <c r="R205" i="89" a="1"/>
  <c r="R205" i="89" s="1"/>
  <c r="Q205" i="89" a="1"/>
  <c r="Q205" i="89" s="1"/>
  <c r="P205" i="89" a="1"/>
  <c r="P205" i="89" s="1"/>
  <c r="O205" i="89" a="1"/>
  <c r="O205" i="89" s="1"/>
  <c r="N205" i="89" a="1"/>
  <c r="N205" i="89" s="1"/>
  <c r="M205" i="89" a="1"/>
  <c r="M205" i="89" s="1"/>
  <c r="L205" i="89" a="1"/>
  <c r="L205" i="89" s="1"/>
  <c r="K205" i="89" a="1"/>
  <c r="K205" i="89" s="1"/>
  <c r="J205" i="89" a="1"/>
  <c r="J205" i="89" s="1"/>
  <c r="I205" i="89" a="1"/>
  <c r="I205" i="89" s="1"/>
  <c r="H205" i="89" a="1"/>
  <c r="H205" i="89" s="1"/>
  <c r="G205" i="89" a="1"/>
  <c r="G205" i="89" s="1"/>
  <c r="F205" i="89" a="1"/>
  <c r="F205" i="89" s="1"/>
  <c r="E205" i="89" a="1"/>
  <c r="E205" i="89" s="1"/>
  <c r="D205" i="89" a="1"/>
  <c r="D205" i="89" s="1"/>
  <c r="AH204" i="89" a="1"/>
  <c r="AH204" i="89" s="1"/>
  <c r="AG204" i="89" a="1"/>
  <c r="AG204" i="89" s="1"/>
  <c r="AF204" i="89" a="1"/>
  <c r="AF204" i="89" s="1"/>
  <c r="AE204" i="89" a="1"/>
  <c r="AE204" i="89" s="1"/>
  <c r="AD204" i="89" a="1"/>
  <c r="AD204" i="89" s="1"/>
  <c r="AC204" i="89" a="1"/>
  <c r="AC204" i="89" s="1"/>
  <c r="AB204" i="89" a="1"/>
  <c r="AB204" i="89" s="1"/>
  <c r="AA204" i="89" a="1"/>
  <c r="AA204" i="89" s="1"/>
  <c r="Z204" i="89" a="1"/>
  <c r="Z204" i="89" s="1"/>
  <c r="Y204" i="89" a="1"/>
  <c r="Y204" i="89" s="1"/>
  <c r="X204" i="89" a="1"/>
  <c r="X204" i="89" s="1"/>
  <c r="W204" i="89" a="1"/>
  <c r="W204" i="89" s="1"/>
  <c r="V204" i="89" a="1"/>
  <c r="V204" i="89" s="1"/>
  <c r="U204" i="89" a="1"/>
  <c r="U204" i="89" s="1"/>
  <c r="T204" i="89" a="1"/>
  <c r="T204" i="89" s="1"/>
  <c r="S204" i="89" a="1"/>
  <c r="S204" i="89" s="1"/>
  <c r="R204" i="89" a="1"/>
  <c r="R204" i="89" s="1"/>
  <c r="Q204" i="89" a="1"/>
  <c r="Q204" i="89" s="1"/>
  <c r="P204" i="89" a="1"/>
  <c r="P204" i="89" s="1"/>
  <c r="O204" i="89" a="1"/>
  <c r="O204" i="89" s="1"/>
  <c r="N204" i="89" a="1"/>
  <c r="N204" i="89" s="1"/>
  <c r="M204" i="89" a="1"/>
  <c r="M204" i="89" s="1"/>
  <c r="L204" i="89" a="1"/>
  <c r="L204" i="89" s="1"/>
  <c r="K204" i="89" a="1"/>
  <c r="K204" i="89" s="1"/>
  <c r="J204" i="89" a="1"/>
  <c r="J204" i="89" s="1"/>
  <c r="I204" i="89" a="1"/>
  <c r="I204" i="89" s="1"/>
  <c r="H204" i="89" a="1"/>
  <c r="H204" i="89" s="1"/>
  <c r="G204" i="89" a="1"/>
  <c r="G204" i="89" s="1"/>
  <c r="F204" i="89" a="1"/>
  <c r="F204" i="89" s="1"/>
  <c r="E204" i="89" a="1"/>
  <c r="E204" i="89" s="1"/>
  <c r="D204" i="89" a="1"/>
  <c r="D204" i="89" s="1"/>
  <c r="AH203" i="89" a="1"/>
  <c r="AH203" i="89" s="1"/>
  <c r="AG203" i="89" a="1"/>
  <c r="AG203" i="89" s="1"/>
  <c r="AF203" i="89" a="1"/>
  <c r="AF203" i="89" s="1"/>
  <c r="AE203" i="89" a="1"/>
  <c r="AE203" i="89" s="1"/>
  <c r="AD203" i="89" a="1"/>
  <c r="AD203" i="89" s="1"/>
  <c r="AC203" i="89" a="1"/>
  <c r="AC203" i="89" s="1"/>
  <c r="AB203" i="89" a="1"/>
  <c r="AB203" i="89" s="1"/>
  <c r="AA203" i="89" a="1"/>
  <c r="AA203" i="89" s="1"/>
  <c r="Z203" i="89" a="1"/>
  <c r="Z203" i="89" s="1"/>
  <c r="Y203" i="89" a="1"/>
  <c r="Y203" i="89" s="1"/>
  <c r="X203" i="89" a="1"/>
  <c r="X203" i="89" s="1"/>
  <c r="W203" i="89" a="1"/>
  <c r="W203" i="89" s="1"/>
  <c r="V203" i="89" a="1"/>
  <c r="V203" i="89" s="1"/>
  <c r="U203" i="89" a="1"/>
  <c r="U203" i="89" s="1"/>
  <c r="T203" i="89" a="1"/>
  <c r="T203" i="89" s="1"/>
  <c r="S203" i="89" a="1"/>
  <c r="S203" i="89" s="1"/>
  <c r="R203" i="89" a="1"/>
  <c r="R203" i="89" s="1"/>
  <c r="Q203" i="89" a="1"/>
  <c r="Q203" i="89" s="1"/>
  <c r="P203" i="89" a="1"/>
  <c r="P203" i="89" s="1"/>
  <c r="O203" i="89" a="1"/>
  <c r="O203" i="89" s="1"/>
  <c r="N203" i="89" a="1"/>
  <c r="N203" i="89" s="1"/>
  <c r="M203" i="89" a="1"/>
  <c r="M203" i="89" s="1"/>
  <c r="L203" i="89" a="1"/>
  <c r="L203" i="89" s="1"/>
  <c r="K203" i="89" a="1"/>
  <c r="K203" i="89" s="1"/>
  <c r="J203" i="89" a="1"/>
  <c r="J203" i="89" s="1"/>
  <c r="I203" i="89" a="1"/>
  <c r="I203" i="89" s="1"/>
  <c r="H203" i="89" a="1"/>
  <c r="H203" i="89" s="1"/>
  <c r="G203" i="89" a="1"/>
  <c r="G203" i="89" s="1"/>
  <c r="F203" i="89" a="1"/>
  <c r="F203" i="89" s="1"/>
  <c r="E203" i="89" a="1"/>
  <c r="E203" i="89" s="1"/>
  <c r="D203" i="89" a="1"/>
  <c r="D203" i="89" s="1"/>
  <c r="AH202" i="89" a="1"/>
  <c r="AH202" i="89" s="1"/>
  <c r="AG202" i="89" a="1"/>
  <c r="AG202" i="89" s="1"/>
  <c r="AF202" i="89" a="1"/>
  <c r="AF202" i="89" s="1"/>
  <c r="AE202" i="89" a="1"/>
  <c r="AE202" i="89" s="1"/>
  <c r="AD202" i="89" a="1"/>
  <c r="AD202" i="89" s="1"/>
  <c r="AC202" i="89" a="1"/>
  <c r="AC202" i="89" s="1"/>
  <c r="AB202" i="89" a="1"/>
  <c r="AB202" i="89" s="1"/>
  <c r="AA202" i="89" a="1"/>
  <c r="AA202" i="89" s="1"/>
  <c r="Z202" i="89" a="1"/>
  <c r="Z202" i="89" s="1"/>
  <c r="Y202" i="89" a="1"/>
  <c r="Y202" i="89" s="1"/>
  <c r="X202" i="89" a="1"/>
  <c r="X202" i="89" s="1"/>
  <c r="W202" i="89" a="1"/>
  <c r="W202" i="89" s="1"/>
  <c r="V202" i="89" a="1"/>
  <c r="V202" i="89" s="1"/>
  <c r="U202" i="89" a="1"/>
  <c r="U202" i="89" s="1"/>
  <c r="T202" i="89" a="1"/>
  <c r="T202" i="89" s="1"/>
  <c r="S202" i="89" a="1"/>
  <c r="S202" i="89" s="1"/>
  <c r="R202" i="89" a="1"/>
  <c r="R202" i="89" s="1"/>
  <c r="Q202" i="89" a="1"/>
  <c r="Q202" i="89" s="1"/>
  <c r="P202" i="89" a="1"/>
  <c r="P202" i="89" s="1"/>
  <c r="O202" i="89" a="1"/>
  <c r="O202" i="89" s="1"/>
  <c r="N202" i="89" a="1"/>
  <c r="N202" i="89" s="1"/>
  <c r="M202" i="89" a="1"/>
  <c r="M202" i="89" s="1"/>
  <c r="L202" i="89" a="1"/>
  <c r="L202" i="89" s="1"/>
  <c r="K202" i="89" a="1"/>
  <c r="K202" i="89" s="1"/>
  <c r="J202" i="89" a="1"/>
  <c r="J202" i="89" s="1"/>
  <c r="I202" i="89" a="1"/>
  <c r="I202" i="89" s="1"/>
  <c r="H202" i="89" a="1"/>
  <c r="H202" i="89" s="1"/>
  <c r="G202" i="89" a="1"/>
  <c r="G202" i="89" s="1"/>
  <c r="F202" i="89" a="1"/>
  <c r="F202" i="89" s="1"/>
  <c r="E202" i="89" a="1"/>
  <c r="E202" i="89" s="1"/>
  <c r="D202" i="89" a="1"/>
  <c r="D202" i="89" s="1"/>
  <c r="AH201" i="89" a="1"/>
  <c r="AH201" i="89" s="1"/>
  <c r="AG201" i="89" a="1"/>
  <c r="AG201" i="89" s="1"/>
  <c r="AF201" i="89" a="1"/>
  <c r="AF201" i="89" s="1"/>
  <c r="AE201" i="89" a="1"/>
  <c r="AE201" i="89" s="1"/>
  <c r="AD201" i="89" a="1"/>
  <c r="AD201" i="89" s="1"/>
  <c r="AC201" i="89" a="1"/>
  <c r="AC201" i="89" s="1"/>
  <c r="AB201" i="89" a="1"/>
  <c r="AB201" i="89" s="1"/>
  <c r="AA201" i="89" a="1"/>
  <c r="AA201" i="89" s="1"/>
  <c r="Z201" i="89" a="1"/>
  <c r="Z201" i="89" s="1"/>
  <c r="Y201" i="89" a="1"/>
  <c r="Y201" i="89" s="1"/>
  <c r="X201" i="89" a="1"/>
  <c r="X201" i="89" s="1"/>
  <c r="W201" i="89" a="1"/>
  <c r="W201" i="89" s="1"/>
  <c r="V201" i="89" a="1"/>
  <c r="V201" i="89" s="1"/>
  <c r="U201" i="89" a="1"/>
  <c r="U201" i="89" s="1"/>
  <c r="T201" i="89" a="1"/>
  <c r="T201" i="89" s="1"/>
  <c r="S201" i="89" a="1"/>
  <c r="S201" i="89" s="1"/>
  <c r="R201" i="89" a="1"/>
  <c r="R201" i="89" s="1"/>
  <c r="Q201" i="89" a="1"/>
  <c r="Q201" i="89" s="1"/>
  <c r="P201" i="89" a="1"/>
  <c r="P201" i="89" s="1"/>
  <c r="O201" i="89" a="1"/>
  <c r="O201" i="89" s="1"/>
  <c r="N201" i="89" a="1"/>
  <c r="N201" i="89" s="1"/>
  <c r="M201" i="89" a="1"/>
  <c r="M201" i="89" s="1"/>
  <c r="L201" i="89" a="1"/>
  <c r="L201" i="89" s="1"/>
  <c r="K201" i="89" a="1"/>
  <c r="K201" i="89" s="1"/>
  <c r="J201" i="89" a="1"/>
  <c r="J201" i="89" s="1"/>
  <c r="I201" i="89" a="1"/>
  <c r="I201" i="89" s="1"/>
  <c r="H201" i="89" a="1"/>
  <c r="H201" i="89" s="1"/>
  <c r="G201" i="89" a="1"/>
  <c r="G201" i="89" s="1"/>
  <c r="F201" i="89" a="1"/>
  <c r="F201" i="89" s="1"/>
  <c r="E201" i="89" a="1"/>
  <c r="E201" i="89" s="1"/>
  <c r="D201" i="89" a="1"/>
  <c r="D201" i="89" s="1"/>
  <c r="AH200" i="89" a="1"/>
  <c r="AH200" i="89" s="1"/>
  <c r="AG200" i="89" a="1"/>
  <c r="AG200" i="89" s="1"/>
  <c r="AF200" i="89" a="1"/>
  <c r="AF200" i="89" s="1"/>
  <c r="AE200" i="89" a="1"/>
  <c r="AE200" i="89" s="1"/>
  <c r="AD200" i="89" a="1"/>
  <c r="AD200" i="89" s="1"/>
  <c r="AC200" i="89" a="1"/>
  <c r="AC200" i="89" s="1"/>
  <c r="AB200" i="89" a="1"/>
  <c r="AB200" i="89" s="1"/>
  <c r="AA200" i="89" a="1"/>
  <c r="AA200" i="89" s="1"/>
  <c r="Z200" i="89" a="1"/>
  <c r="Z200" i="89" s="1"/>
  <c r="Y200" i="89" a="1"/>
  <c r="Y200" i="89" s="1"/>
  <c r="X200" i="89" a="1"/>
  <c r="X200" i="89" s="1"/>
  <c r="W200" i="89" a="1"/>
  <c r="W200" i="89" s="1"/>
  <c r="V200" i="89" a="1"/>
  <c r="V200" i="89" s="1"/>
  <c r="U200" i="89" a="1"/>
  <c r="U200" i="89" s="1"/>
  <c r="T200" i="89" a="1"/>
  <c r="T200" i="89" s="1"/>
  <c r="S200" i="89" a="1"/>
  <c r="S200" i="89" s="1"/>
  <c r="R200" i="89" a="1"/>
  <c r="R200" i="89" s="1"/>
  <c r="Q200" i="89" a="1"/>
  <c r="Q200" i="89" s="1"/>
  <c r="P200" i="89" a="1"/>
  <c r="P200" i="89" s="1"/>
  <c r="O200" i="89" a="1"/>
  <c r="O200" i="89" s="1"/>
  <c r="N200" i="89" a="1"/>
  <c r="N200" i="89" s="1"/>
  <c r="M200" i="89" a="1"/>
  <c r="M200" i="89" s="1"/>
  <c r="L200" i="89" a="1"/>
  <c r="L200" i="89" s="1"/>
  <c r="K200" i="89" a="1"/>
  <c r="K200" i="89" s="1"/>
  <c r="J200" i="89" a="1"/>
  <c r="J200" i="89" s="1"/>
  <c r="I200" i="89" a="1"/>
  <c r="I200" i="89" s="1"/>
  <c r="H200" i="89" a="1"/>
  <c r="H200" i="89" s="1"/>
  <c r="G200" i="89" a="1"/>
  <c r="G200" i="89" s="1"/>
  <c r="F200" i="89" a="1"/>
  <c r="F200" i="89" s="1"/>
  <c r="E200" i="89" a="1"/>
  <c r="E200" i="89" s="1"/>
  <c r="D200" i="89" a="1"/>
  <c r="D200" i="89" s="1"/>
  <c r="AH199" i="89" a="1"/>
  <c r="AH199" i="89" s="1"/>
  <c r="AG199" i="89" a="1"/>
  <c r="AG199" i="89" s="1"/>
  <c r="AF199" i="89" a="1"/>
  <c r="AF199" i="89" s="1"/>
  <c r="AE199" i="89" a="1"/>
  <c r="AE199" i="89" s="1"/>
  <c r="AD199" i="89" a="1"/>
  <c r="AD199" i="89" s="1"/>
  <c r="AC199" i="89" a="1"/>
  <c r="AC199" i="89" s="1"/>
  <c r="AB199" i="89" a="1"/>
  <c r="AB199" i="89" s="1"/>
  <c r="AA199" i="89" a="1"/>
  <c r="AA199" i="89" s="1"/>
  <c r="Z199" i="89" a="1"/>
  <c r="Z199" i="89" s="1"/>
  <c r="Y199" i="89" a="1"/>
  <c r="Y199" i="89" s="1"/>
  <c r="X199" i="89" a="1"/>
  <c r="X199" i="89" s="1"/>
  <c r="W199" i="89" a="1"/>
  <c r="W199" i="89" s="1"/>
  <c r="V199" i="89" a="1"/>
  <c r="V199" i="89" s="1"/>
  <c r="U199" i="89" a="1"/>
  <c r="U199" i="89" s="1"/>
  <c r="T199" i="89" a="1"/>
  <c r="T199" i="89" s="1"/>
  <c r="S199" i="89" a="1"/>
  <c r="S199" i="89" s="1"/>
  <c r="R199" i="89" a="1"/>
  <c r="R199" i="89" s="1"/>
  <c r="Q199" i="89" a="1"/>
  <c r="Q199" i="89" s="1"/>
  <c r="P199" i="89" a="1"/>
  <c r="P199" i="89" s="1"/>
  <c r="O199" i="89" a="1"/>
  <c r="O199" i="89" s="1"/>
  <c r="N199" i="89" a="1"/>
  <c r="N199" i="89" s="1"/>
  <c r="M199" i="89" a="1"/>
  <c r="M199" i="89" s="1"/>
  <c r="L199" i="89" a="1"/>
  <c r="L199" i="89" s="1"/>
  <c r="K199" i="89" a="1"/>
  <c r="K199" i="89" s="1"/>
  <c r="J199" i="89" a="1"/>
  <c r="J199" i="89" s="1"/>
  <c r="I199" i="89" a="1"/>
  <c r="I199" i="89" s="1"/>
  <c r="H199" i="89" a="1"/>
  <c r="H199" i="89" s="1"/>
  <c r="G199" i="89" a="1"/>
  <c r="G199" i="89" s="1"/>
  <c r="F199" i="89" a="1"/>
  <c r="F199" i="89" s="1"/>
  <c r="E199" i="89" a="1"/>
  <c r="E199" i="89" s="1"/>
  <c r="D199" i="89" a="1"/>
  <c r="D199" i="89" s="1"/>
  <c r="AH198" i="89" a="1"/>
  <c r="AH198" i="89" s="1"/>
  <c r="AG198" i="89" a="1"/>
  <c r="AG198" i="89" s="1"/>
  <c r="AF198" i="89" a="1"/>
  <c r="AF198" i="89" s="1"/>
  <c r="AE198" i="89" a="1"/>
  <c r="AE198" i="89" s="1"/>
  <c r="AD198" i="89" a="1"/>
  <c r="AD198" i="89" s="1"/>
  <c r="AC198" i="89" a="1"/>
  <c r="AC198" i="89" s="1"/>
  <c r="AB198" i="89" a="1"/>
  <c r="AB198" i="89" s="1"/>
  <c r="AA198" i="89" a="1"/>
  <c r="AA198" i="89" s="1"/>
  <c r="Z198" i="89" a="1"/>
  <c r="Z198" i="89" s="1"/>
  <c r="Y198" i="89" a="1"/>
  <c r="Y198" i="89" s="1"/>
  <c r="X198" i="89" a="1"/>
  <c r="X198" i="89" s="1"/>
  <c r="W198" i="89" a="1"/>
  <c r="W198" i="89" s="1"/>
  <c r="V198" i="89" a="1"/>
  <c r="V198" i="89" s="1"/>
  <c r="U198" i="89" a="1"/>
  <c r="U198" i="89" s="1"/>
  <c r="T198" i="89" a="1"/>
  <c r="T198" i="89" s="1"/>
  <c r="S198" i="89" a="1"/>
  <c r="S198" i="89" s="1"/>
  <c r="R198" i="89" a="1"/>
  <c r="R198" i="89" s="1"/>
  <c r="Q198" i="89" a="1"/>
  <c r="Q198" i="89" s="1"/>
  <c r="P198" i="89" a="1"/>
  <c r="P198" i="89" s="1"/>
  <c r="O198" i="89" a="1"/>
  <c r="O198" i="89" s="1"/>
  <c r="N198" i="89" a="1"/>
  <c r="N198" i="89" s="1"/>
  <c r="M198" i="89" a="1"/>
  <c r="M198" i="89" s="1"/>
  <c r="L198" i="89" a="1"/>
  <c r="L198" i="89" s="1"/>
  <c r="K198" i="89" a="1"/>
  <c r="K198" i="89" s="1"/>
  <c r="J198" i="89" a="1"/>
  <c r="J198" i="89" s="1"/>
  <c r="I198" i="89" a="1"/>
  <c r="I198" i="89" s="1"/>
  <c r="H198" i="89" a="1"/>
  <c r="H198" i="89" s="1"/>
  <c r="G198" i="89" a="1"/>
  <c r="G198" i="89" s="1"/>
  <c r="F198" i="89" a="1"/>
  <c r="F198" i="89" s="1"/>
  <c r="E198" i="89" a="1"/>
  <c r="E198" i="89" s="1"/>
  <c r="D198" i="89" a="1"/>
  <c r="D198" i="89" s="1"/>
  <c r="AH197" i="89" a="1"/>
  <c r="AH197" i="89" s="1"/>
  <c r="AG197" i="89" a="1"/>
  <c r="AG197" i="89" s="1"/>
  <c r="AF197" i="89" a="1"/>
  <c r="AF197" i="89" s="1"/>
  <c r="AE197" i="89" a="1"/>
  <c r="AE197" i="89" s="1"/>
  <c r="AD197" i="89" a="1"/>
  <c r="AD197" i="89" s="1"/>
  <c r="AC197" i="89" a="1"/>
  <c r="AC197" i="89" s="1"/>
  <c r="AB197" i="89" a="1"/>
  <c r="AB197" i="89" s="1"/>
  <c r="AA197" i="89" a="1"/>
  <c r="AA197" i="89" s="1"/>
  <c r="Z197" i="89" a="1"/>
  <c r="Z197" i="89" s="1"/>
  <c r="Y197" i="89" a="1"/>
  <c r="Y197" i="89" s="1"/>
  <c r="X197" i="89" a="1"/>
  <c r="X197" i="89" s="1"/>
  <c r="W197" i="89" a="1"/>
  <c r="W197" i="89" s="1"/>
  <c r="V197" i="89" a="1"/>
  <c r="V197" i="89" s="1"/>
  <c r="U197" i="89" a="1"/>
  <c r="U197" i="89" s="1"/>
  <c r="T197" i="89" a="1"/>
  <c r="T197" i="89" s="1"/>
  <c r="S197" i="89" a="1"/>
  <c r="S197" i="89" s="1"/>
  <c r="R197" i="89" a="1"/>
  <c r="R197" i="89" s="1"/>
  <c r="Q197" i="89" a="1"/>
  <c r="Q197" i="89" s="1"/>
  <c r="P197" i="89" a="1"/>
  <c r="P197" i="89" s="1"/>
  <c r="O197" i="89" a="1"/>
  <c r="O197" i="89" s="1"/>
  <c r="N197" i="89" a="1"/>
  <c r="N197" i="89" s="1"/>
  <c r="M197" i="89" a="1"/>
  <c r="M197" i="89" s="1"/>
  <c r="L197" i="89" a="1"/>
  <c r="L197" i="89" s="1"/>
  <c r="K197" i="89" a="1"/>
  <c r="K197" i="89" s="1"/>
  <c r="J197" i="89" a="1"/>
  <c r="J197" i="89" s="1"/>
  <c r="I197" i="89" a="1"/>
  <c r="I197" i="89" s="1"/>
  <c r="H197" i="89" a="1"/>
  <c r="H197" i="89" s="1"/>
  <c r="G197" i="89" a="1"/>
  <c r="G197" i="89" s="1"/>
  <c r="F197" i="89" a="1"/>
  <c r="F197" i="89" s="1"/>
  <c r="E197" i="89" a="1"/>
  <c r="E197" i="89" s="1"/>
  <c r="D197" i="89" a="1"/>
  <c r="D197" i="89" s="1"/>
  <c r="AH196" i="89" a="1"/>
  <c r="AH196" i="89" s="1"/>
  <c r="AG196" i="89" a="1"/>
  <c r="AG196" i="89" s="1"/>
  <c r="AF196" i="89" a="1"/>
  <c r="AF196" i="89" s="1"/>
  <c r="AE196" i="89" a="1"/>
  <c r="AE196" i="89" s="1"/>
  <c r="AD196" i="89" a="1"/>
  <c r="AD196" i="89" s="1"/>
  <c r="AC196" i="89" a="1"/>
  <c r="AC196" i="89" s="1"/>
  <c r="AB196" i="89" a="1"/>
  <c r="AB196" i="89" s="1"/>
  <c r="AA196" i="89" a="1"/>
  <c r="AA196" i="89" s="1"/>
  <c r="Z196" i="89" a="1"/>
  <c r="Z196" i="89" s="1"/>
  <c r="Y196" i="89" a="1"/>
  <c r="Y196" i="89" s="1"/>
  <c r="X196" i="89" a="1"/>
  <c r="X196" i="89" s="1"/>
  <c r="W196" i="89" a="1"/>
  <c r="W196" i="89" s="1"/>
  <c r="V196" i="89" a="1"/>
  <c r="V196" i="89" s="1"/>
  <c r="U196" i="89" a="1"/>
  <c r="U196" i="89" s="1"/>
  <c r="T196" i="89" a="1"/>
  <c r="T196" i="89" s="1"/>
  <c r="S196" i="89" a="1"/>
  <c r="S196" i="89" s="1"/>
  <c r="R196" i="89" a="1"/>
  <c r="R196" i="89" s="1"/>
  <c r="Q196" i="89" a="1"/>
  <c r="Q196" i="89" s="1"/>
  <c r="P196" i="89" a="1"/>
  <c r="P196" i="89" s="1"/>
  <c r="O196" i="89" a="1"/>
  <c r="O196" i="89" s="1"/>
  <c r="N196" i="89" a="1"/>
  <c r="N196" i="89" s="1"/>
  <c r="M196" i="89" a="1"/>
  <c r="M196" i="89" s="1"/>
  <c r="L196" i="89" a="1"/>
  <c r="L196" i="89" s="1"/>
  <c r="K196" i="89" a="1"/>
  <c r="K196" i="89" s="1"/>
  <c r="J196" i="89" a="1"/>
  <c r="J196" i="89" s="1"/>
  <c r="I196" i="89" a="1"/>
  <c r="I196" i="89" s="1"/>
  <c r="H196" i="89" a="1"/>
  <c r="H196" i="89" s="1"/>
  <c r="G196" i="89" a="1"/>
  <c r="G196" i="89" s="1"/>
  <c r="F196" i="89" a="1"/>
  <c r="F196" i="89" s="1"/>
  <c r="E196" i="89" a="1"/>
  <c r="E196" i="89" s="1"/>
  <c r="D196" i="89" a="1"/>
  <c r="D196" i="89" s="1"/>
  <c r="AH195" i="89" a="1"/>
  <c r="AH195" i="89" s="1"/>
  <c r="AG195" i="89" a="1"/>
  <c r="AG195" i="89" s="1"/>
  <c r="AF195" i="89" a="1"/>
  <c r="AF195" i="89" s="1"/>
  <c r="AE195" i="89" a="1"/>
  <c r="AE195" i="89" s="1"/>
  <c r="AD195" i="89" a="1"/>
  <c r="AD195" i="89" s="1"/>
  <c r="AC195" i="89" a="1"/>
  <c r="AC195" i="89" s="1"/>
  <c r="AB195" i="89" a="1"/>
  <c r="AB195" i="89" s="1"/>
  <c r="AA195" i="89" a="1"/>
  <c r="AA195" i="89" s="1"/>
  <c r="Z195" i="89" a="1"/>
  <c r="Z195" i="89" s="1"/>
  <c r="Y195" i="89" a="1"/>
  <c r="Y195" i="89" s="1"/>
  <c r="X195" i="89" a="1"/>
  <c r="X195" i="89" s="1"/>
  <c r="W195" i="89" a="1"/>
  <c r="W195" i="89" s="1"/>
  <c r="V195" i="89" a="1"/>
  <c r="V195" i="89" s="1"/>
  <c r="U195" i="89" a="1"/>
  <c r="U195" i="89" s="1"/>
  <c r="T195" i="89" a="1"/>
  <c r="T195" i="89" s="1"/>
  <c r="S195" i="89" a="1"/>
  <c r="S195" i="89" s="1"/>
  <c r="R195" i="89" a="1"/>
  <c r="R195" i="89" s="1"/>
  <c r="Q195" i="89" a="1"/>
  <c r="Q195" i="89" s="1"/>
  <c r="P195" i="89" a="1"/>
  <c r="P195" i="89" s="1"/>
  <c r="O195" i="89" a="1"/>
  <c r="O195" i="89" s="1"/>
  <c r="N195" i="89" a="1"/>
  <c r="N195" i="89" s="1"/>
  <c r="M195" i="89" a="1"/>
  <c r="M195" i="89" s="1"/>
  <c r="L195" i="89" a="1"/>
  <c r="L195" i="89" s="1"/>
  <c r="K195" i="89" a="1"/>
  <c r="K195" i="89" s="1"/>
  <c r="J195" i="89" a="1"/>
  <c r="J195" i="89" s="1"/>
  <c r="I195" i="89" a="1"/>
  <c r="I195" i="89" s="1"/>
  <c r="H195" i="89" a="1"/>
  <c r="H195" i="89" s="1"/>
  <c r="G195" i="89" a="1"/>
  <c r="G195" i="89" s="1"/>
  <c r="F195" i="89" a="1"/>
  <c r="F195" i="89" s="1"/>
  <c r="E195" i="89" a="1"/>
  <c r="E195" i="89" s="1"/>
  <c r="D195" i="89" a="1"/>
  <c r="D195" i="89" s="1"/>
  <c r="AH194" i="89" a="1"/>
  <c r="AH194" i="89" s="1"/>
  <c r="AG194" i="89" a="1"/>
  <c r="AG194" i="89" s="1"/>
  <c r="AF194" i="89" a="1"/>
  <c r="AF194" i="89" s="1"/>
  <c r="AE194" i="89" a="1"/>
  <c r="AE194" i="89" s="1"/>
  <c r="AD194" i="89" a="1"/>
  <c r="AD194" i="89" s="1"/>
  <c r="AC194" i="89" a="1"/>
  <c r="AC194" i="89" s="1"/>
  <c r="AB194" i="89" a="1"/>
  <c r="AB194" i="89" s="1"/>
  <c r="AA194" i="89" a="1"/>
  <c r="AA194" i="89" s="1"/>
  <c r="Z194" i="89" a="1"/>
  <c r="Z194" i="89" s="1"/>
  <c r="Y194" i="89" a="1"/>
  <c r="Y194" i="89" s="1"/>
  <c r="X194" i="89" a="1"/>
  <c r="X194" i="89" s="1"/>
  <c r="W194" i="89" a="1"/>
  <c r="W194" i="89" s="1"/>
  <c r="V194" i="89" a="1"/>
  <c r="V194" i="89" s="1"/>
  <c r="U194" i="89" a="1"/>
  <c r="U194" i="89" s="1"/>
  <c r="T194" i="89" a="1"/>
  <c r="T194" i="89" s="1"/>
  <c r="S194" i="89" a="1"/>
  <c r="S194" i="89" s="1"/>
  <c r="R194" i="89" a="1"/>
  <c r="R194" i="89" s="1"/>
  <c r="Q194" i="89" a="1"/>
  <c r="Q194" i="89" s="1"/>
  <c r="P194" i="89" a="1"/>
  <c r="P194" i="89" s="1"/>
  <c r="O194" i="89" a="1"/>
  <c r="O194" i="89" s="1"/>
  <c r="N194" i="89" a="1"/>
  <c r="N194" i="89" s="1"/>
  <c r="M194" i="89" a="1"/>
  <c r="M194" i="89" s="1"/>
  <c r="L194" i="89" a="1"/>
  <c r="L194" i="89" s="1"/>
  <c r="K194" i="89" a="1"/>
  <c r="K194" i="89" s="1"/>
  <c r="J194" i="89" a="1"/>
  <c r="J194" i="89" s="1"/>
  <c r="I194" i="89" a="1"/>
  <c r="I194" i="89" s="1"/>
  <c r="H194" i="89" a="1"/>
  <c r="H194" i="89" s="1"/>
  <c r="G194" i="89" a="1"/>
  <c r="G194" i="89" s="1"/>
  <c r="F194" i="89" a="1"/>
  <c r="F194" i="89" s="1"/>
  <c r="E194" i="89" a="1"/>
  <c r="E194" i="89" s="1"/>
  <c r="D194" i="89" a="1"/>
  <c r="D194" i="89" s="1"/>
  <c r="AH193" i="89" a="1"/>
  <c r="AH193" i="89" s="1"/>
  <c r="AG193" i="89" a="1"/>
  <c r="AG193" i="89" s="1"/>
  <c r="AF193" i="89" a="1"/>
  <c r="AF193" i="89" s="1"/>
  <c r="AE193" i="89" a="1"/>
  <c r="AE193" i="89" s="1"/>
  <c r="AD193" i="89" a="1"/>
  <c r="AD193" i="89" s="1"/>
  <c r="AC193" i="89" a="1"/>
  <c r="AC193" i="89" s="1"/>
  <c r="AB193" i="89" a="1"/>
  <c r="AB193" i="89" s="1"/>
  <c r="AA193" i="89" a="1"/>
  <c r="AA193" i="89" s="1"/>
  <c r="Z193" i="89" a="1"/>
  <c r="Z193" i="89" s="1"/>
  <c r="Y193" i="89" a="1"/>
  <c r="Y193" i="89" s="1"/>
  <c r="X193" i="89" a="1"/>
  <c r="X193" i="89" s="1"/>
  <c r="W193" i="89" a="1"/>
  <c r="W193" i="89" s="1"/>
  <c r="V193" i="89" a="1"/>
  <c r="V193" i="89" s="1"/>
  <c r="U193" i="89" a="1"/>
  <c r="U193" i="89" s="1"/>
  <c r="T193" i="89" a="1"/>
  <c r="T193" i="89" s="1"/>
  <c r="S193" i="89" a="1"/>
  <c r="S193" i="89" s="1"/>
  <c r="R193" i="89" a="1"/>
  <c r="R193" i="89" s="1"/>
  <c r="Q193" i="89" a="1"/>
  <c r="Q193" i="89" s="1"/>
  <c r="P193" i="89" a="1"/>
  <c r="P193" i="89" s="1"/>
  <c r="O193" i="89" a="1"/>
  <c r="O193" i="89" s="1"/>
  <c r="N193" i="89" a="1"/>
  <c r="N193" i="89" s="1"/>
  <c r="M193" i="89" a="1"/>
  <c r="M193" i="89" s="1"/>
  <c r="L193" i="89" a="1"/>
  <c r="L193" i="89" s="1"/>
  <c r="K193" i="89" a="1"/>
  <c r="K193" i="89" s="1"/>
  <c r="J193" i="89" a="1"/>
  <c r="J193" i="89" s="1"/>
  <c r="I193" i="89" a="1"/>
  <c r="I193" i="89" s="1"/>
  <c r="H193" i="89" a="1"/>
  <c r="H193" i="89" s="1"/>
  <c r="G193" i="89" a="1"/>
  <c r="G193" i="89" s="1"/>
  <c r="F193" i="89" a="1"/>
  <c r="F193" i="89" s="1"/>
  <c r="E193" i="89" a="1"/>
  <c r="E193" i="89" s="1"/>
  <c r="D193" i="89" a="1"/>
  <c r="D193" i="89" s="1"/>
  <c r="AH192" i="89" a="1"/>
  <c r="AH192" i="89" s="1"/>
  <c r="AG192" i="89" a="1"/>
  <c r="AG192" i="89" s="1"/>
  <c r="AF192" i="89" a="1"/>
  <c r="AF192" i="89" s="1"/>
  <c r="AE192" i="89" a="1"/>
  <c r="AE192" i="89" s="1"/>
  <c r="AD192" i="89" a="1"/>
  <c r="AD192" i="89" s="1"/>
  <c r="AC192" i="89" a="1"/>
  <c r="AC192" i="89" s="1"/>
  <c r="AB192" i="89" a="1"/>
  <c r="AB192" i="89" s="1"/>
  <c r="AA192" i="89" a="1"/>
  <c r="AA192" i="89" s="1"/>
  <c r="Z192" i="89" a="1"/>
  <c r="Z192" i="89" s="1"/>
  <c r="Y192" i="89" a="1"/>
  <c r="Y192" i="89" s="1"/>
  <c r="X192" i="89" a="1"/>
  <c r="X192" i="89" s="1"/>
  <c r="W192" i="89" a="1"/>
  <c r="W192" i="89" s="1"/>
  <c r="V192" i="89" a="1"/>
  <c r="V192" i="89" s="1"/>
  <c r="U192" i="89" a="1"/>
  <c r="U192" i="89" s="1"/>
  <c r="T192" i="89" a="1"/>
  <c r="T192" i="89" s="1"/>
  <c r="S192" i="89" a="1"/>
  <c r="S192" i="89" s="1"/>
  <c r="R192" i="89" a="1"/>
  <c r="R192" i="89" s="1"/>
  <c r="Q192" i="89" a="1"/>
  <c r="Q192" i="89" s="1"/>
  <c r="P192" i="89" a="1"/>
  <c r="P192" i="89" s="1"/>
  <c r="O192" i="89" a="1"/>
  <c r="O192" i="89" s="1"/>
  <c r="N192" i="89" a="1"/>
  <c r="N192" i="89" s="1"/>
  <c r="M192" i="89" a="1"/>
  <c r="M192" i="89" s="1"/>
  <c r="L192" i="89" a="1"/>
  <c r="L192" i="89" s="1"/>
  <c r="K192" i="89" a="1"/>
  <c r="K192" i="89" s="1"/>
  <c r="J192" i="89" a="1"/>
  <c r="J192" i="89" s="1"/>
  <c r="I192" i="89" a="1"/>
  <c r="I192" i="89" s="1"/>
  <c r="H192" i="89" a="1"/>
  <c r="H192" i="89" s="1"/>
  <c r="G192" i="89" a="1"/>
  <c r="G192" i="89" s="1"/>
  <c r="F192" i="89" a="1"/>
  <c r="F192" i="89" s="1"/>
  <c r="E192" i="89" a="1"/>
  <c r="E192" i="89" s="1"/>
  <c r="D192" i="89" a="1"/>
  <c r="D192" i="89" s="1"/>
  <c r="AH191" i="89" a="1"/>
  <c r="AH191" i="89" s="1"/>
  <c r="AG191" i="89" a="1"/>
  <c r="AG191" i="89" s="1"/>
  <c r="AF191" i="89" a="1"/>
  <c r="AF191" i="89" s="1"/>
  <c r="AE191" i="89" a="1"/>
  <c r="AE191" i="89" s="1"/>
  <c r="AD191" i="89" a="1"/>
  <c r="AD191" i="89" s="1"/>
  <c r="AC191" i="89" a="1"/>
  <c r="AC191" i="89" s="1"/>
  <c r="AB191" i="89" a="1"/>
  <c r="AB191" i="89" s="1"/>
  <c r="AA191" i="89" a="1"/>
  <c r="AA191" i="89" s="1"/>
  <c r="Z191" i="89" a="1"/>
  <c r="Z191" i="89" s="1"/>
  <c r="Y191" i="89" a="1"/>
  <c r="Y191" i="89" s="1"/>
  <c r="X191" i="89" a="1"/>
  <c r="X191" i="89" s="1"/>
  <c r="W191" i="89" a="1"/>
  <c r="W191" i="89" s="1"/>
  <c r="V191" i="89" a="1"/>
  <c r="V191" i="89" s="1"/>
  <c r="U191" i="89" a="1"/>
  <c r="U191" i="89" s="1"/>
  <c r="T191" i="89" a="1"/>
  <c r="T191" i="89" s="1"/>
  <c r="S191" i="89" a="1"/>
  <c r="S191" i="89" s="1"/>
  <c r="R191" i="89" a="1"/>
  <c r="R191" i="89" s="1"/>
  <c r="Q191" i="89" a="1"/>
  <c r="Q191" i="89" s="1"/>
  <c r="P191" i="89" a="1"/>
  <c r="P191" i="89" s="1"/>
  <c r="O191" i="89" a="1"/>
  <c r="O191" i="89" s="1"/>
  <c r="N191" i="89" a="1"/>
  <c r="N191" i="89" s="1"/>
  <c r="M191" i="89" a="1"/>
  <c r="M191" i="89" s="1"/>
  <c r="L191" i="89" a="1"/>
  <c r="L191" i="89" s="1"/>
  <c r="K191" i="89" a="1"/>
  <c r="K191" i="89" s="1"/>
  <c r="J191" i="89" a="1"/>
  <c r="J191" i="89" s="1"/>
  <c r="I191" i="89" a="1"/>
  <c r="I191" i="89" s="1"/>
  <c r="H191" i="89" a="1"/>
  <c r="H191" i="89" s="1"/>
  <c r="G191" i="89" a="1"/>
  <c r="G191" i="89" s="1"/>
  <c r="F191" i="89" a="1"/>
  <c r="F191" i="89" s="1"/>
  <c r="E191" i="89" a="1"/>
  <c r="E191" i="89" s="1"/>
  <c r="D191" i="89" a="1"/>
  <c r="D191" i="89" s="1"/>
  <c r="AH190" i="89" a="1"/>
  <c r="AH190" i="89" s="1"/>
  <c r="AG190" i="89" a="1"/>
  <c r="AG190" i="89" s="1"/>
  <c r="AF190" i="89" a="1"/>
  <c r="AF190" i="89" s="1"/>
  <c r="AE190" i="89" a="1"/>
  <c r="AE190" i="89" s="1"/>
  <c r="AD190" i="89" a="1"/>
  <c r="AD190" i="89" s="1"/>
  <c r="AC190" i="89" a="1"/>
  <c r="AC190" i="89" s="1"/>
  <c r="AB190" i="89" a="1"/>
  <c r="AB190" i="89" s="1"/>
  <c r="AA190" i="89" a="1"/>
  <c r="AA190" i="89" s="1"/>
  <c r="Z190" i="89" a="1"/>
  <c r="Z190" i="89" s="1"/>
  <c r="Y190" i="89" a="1"/>
  <c r="Y190" i="89" s="1"/>
  <c r="X190" i="89" a="1"/>
  <c r="X190" i="89" s="1"/>
  <c r="W190" i="89" a="1"/>
  <c r="W190" i="89" s="1"/>
  <c r="V190" i="89" a="1"/>
  <c r="V190" i="89" s="1"/>
  <c r="U190" i="89" a="1"/>
  <c r="U190" i="89" s="1"/>
  <c r="T190" i="89" a="1"/>
  <c r="T190" i="89" s="1"/>
  <c r="S190" i="89" a="1"/>
  <c r="S190" i="89" s="1"/>
  <c r="R190" i="89" a="1"/>
  <c r="R190" i="89" s="1"/>
  <c r="Q190" i="89" a="1"/>
  <c r="Q190" i="89" s="1"/>
  <c r="P190" i="89" a="1"/>
  <c r="P190" i="89" s="1"/>
  <c r="O190" i="89" a="1"/>
  <c r="O190" i="89" s="1"/>
  <c r="N190" i="89" a="1"/>
  <c r="N190" i="89" s="1"/>
  <c r="M190" i="89" a="1"/>
  <c r="M190" i="89" s="1"/>
  <c r="L190" i="89" a="1"/>
  <c r="L190" i="89" s="1"/>
  <c r="K190" i="89" a="1"/>
  <c r="K190" i="89" s="1"/>
  <c r="J190" i="89" a="1"/>
  <c r="J190" i="89" s="1"/>
  <c r="I190" i="89" a="1"/>
  <c r="I190" i="89" s="1"/>
  <c r="H190" i="89" a="1"/>
  <c r="H190" i="89" s="1"/>
  <c r="G190" i="89" a="1"/>
  <c r="G190" i="89" s="1"/>
  <c r="F190" i="89" a="1"/>
  <c r="F190" i="89" s="1"/>
  <c r="E190" i="89" a="1"/>
  <c r="E190" i="89" s="1"/>
  <c r="D190" i="89" a="1"/>
  <c r="D190" i="89" s="1"/>
  <c r="AH189" i="89" a="1"/>
  <c r="AH189" i="89" s="1"/>
  <c r="AG189" i="89" a="1"/>
  <c r="AG189" i="89" s="1"/>
  <c r="AF189" i="89" a="1"/>
  <c r="AF189" i="89" s="1"/>
  <c r="AE189" i="89" a="1"/>
  <c r="AE189" i="89" s="1"/>
  <c r="AD189" i="89" a="1"/>
  <c r="AD189" i="89" s="1"/>
  <c r="AC189" i="89" a="1"/>
  <c r="AC189" i="89" s="1"/>
  <c r="AB189" i="89" a="1"/>
  <c r="AB189" i="89" s="1"/>
  <c r="AA189" i="89" a="1"/>
  <c r="AA189" i="89" s="1"/>
  <c r="Z189" i="89" a="1"/>
  <c r="Z189" i="89" s="1"/>
  <c r="Y189" i="89" a="1"/>
  <c r="Y189" i="89" s="1"/>
  <c r="X189" i="89" a="1"/>
  <c r="X189" i="89" s="1"/>
  <c r="W189" i="89" a="1"/>
  <c r="W189" i="89" s="1"/>
  <c r="V189" i="89" a="1"/>
  <c r="V189" i="89" s="1"/>
  <c r="U189" i="89" a="1"/>
  <c r="U189" i="89" s="1"/>
  <c r="T189" i="89" a="1"/>
  <c r="T189" i="89" s="1"/>
  <c r="S189" i="89" a="1"/>
  <c r="S189" i="89" s="1"/>
  <c r="R189" i="89" a="1"/>
  <c r="R189" i="89" s="1"/>
  <c r="Q189" i="89" a="1"/>
  <c r="Q189" i="89" s="1"/>
  <c r="P189" i="89" a="1"/>
  <c r="P189" i="89" s="1"/>
  <c r="O189" i="89" a="1"/>
  <c r="O189" i="89" s="1"/>
  <c r="N189" i="89" a="1"/>
  <c r="N189" i="89" s="1"/>
  <c r="M189" i="89" a="1"/>
  <c r="M189" i="89" s="1"/>
  <c r="L189" i="89" a="1"/>
  <c r="L189" i="89" s="1"/>
  <c r="K189" i="89" a="1"/>
  <c r="K189" i="89" s="1"/>
  <c r="J189" i="89" a="1"/>
  <c r="J189" i="89" s="1"/>
  <c r="I189" i="89" a="1"/>
  <c r="I189" i="89" s="1"/>
  <c r="H189" i="89" a="1"/>
  <c r="H189" i="89" s="1"/>
  <c r="G189" i="89" a="1"/>
  <c r="G189" i="89" s="1"/>
  <c r="F189" i="89" a="1"/>
  <c r="F189" i="89" s="1"/>
  <c r="E189" i="89" a="1"/>
  <c r="E189" i="89" s="1"/>
  <c r="D189" i="89" a="1"/>
  <c r="D189" i="89" s="1"/>
  <c r="AH188" i="89" a="1"/>
  <c r="AH188" i="89" s="1"/>
  <c r="AG188" i="89" a="1"/>
  <c r="AG188" i="89" s="1"/>
  <c r="AF188" i="89" a="1"/>
  <c r="AF188" i="89" s="1"/>
  <c r="AE188" i="89" a="1"/>
  <c r="AE188" i="89" s="1"/>
  <c r="AD188" i="89" a="1"/>
  <c r="AD188" i="89" s="1"/>
  <c r="AC188" i="89" a="1"/>
  <c r="AC188" i="89" s="1"/>
  <c r="AB188" i="89" a="1"/>
  <c r="AB188" i="89" s="1"/>
  <c r="AA188" i="89" a="1"/>
  <c r="AA188" i="89" s="1"/>
  <c r="Z188" i="89" a="1"/>
  <c r="Z188" i="89" s="1"/>
  <c r="Y188" i="89" a="1"/>
  <c r="Y188" i="89" s="1"/>
  <c r="X188" i="89" a="1"/>
  <c r="X188" i="89" s="1"/>
  <c r="W188" i="89" a="1"/>
  <c r="W188" i="89" s="1"/>
  <c r="V188" i="89" a="1"/>
  <c r="V188" i="89" s="1"/>
  <c r="U188" i="89" a="1"/>
  <c r="U188" i="89" s="1"/>
  <c r="T188" i="89" a="1"/>
  <c r="T188" i="89" s="1"/>
  <c r="S188" i="89" a="1"/>
  <c r="S188" i="89" s="1"/>
  <c r="R188" i="89" a="1"/>
  <c r="R188" i="89" s="1"/>
  <c r="Q188" i="89" a="1"/>
  <c r="Q188" i="89" s="1"/>
  <c r="P188" i="89" a="1"/>
  <c r="P188" i="89" s="1"/>
  <c r="O188" i="89" a="1"/>
  <c r="O188" i="89" s="1"/>
  <c r="N188" i="89" a="1"/>
  <c r="N188" i="89" s="1"/>
  <c r="M188" i="89" a="1"/>
  <c r="M188" i="89" s="1"/>
  <c r="L188" i="89" a="1"/>
  <c r="L188" i="89" s="1"/>
  <c r="K188" i="89" a="1"/>
  <c r="K188" i="89" s="1"/>
  <c r="J188" i="89" a="1"/>
  <c r="J188" i="89" s="1"/>
  <c r="I188" i="89" a="1"/>
  <c r="I188" i="89" s="1"/>
  <c r="H188" i="89" a="1"/>
  <c r="H188" i="89" s="1"/>
  <c r="G188" i="89" a="1"/>
  <c r="G188" i="89" s="1"/>
  <c r="F188" i="89" a="1"/>
  <c r="F188" i="89" s="1"/>
  <c r="E188" i="89" a="1"/>
  <c r="E188" i="89" s="1"/>
  <c r="D188" i="89" a="1"/>
  <c r="D188" i="89" s="1"/>
  <c r="AH187" i="89" a="1"/>
  <c r="AH187" i="89" s="1"/>
  <c r="AG187" i="89" a="1"/>
  <c r="AG187" i="89" s="1"/>
  <c r="AF187" i="89" a="1"/>
  <c r="AF187" i="89" s="1"/>
  <c r="AE187" i="89" a="1"/>
  <c r="AE187" i="89" s="1"/>
  <c r="AD187" i="89" a="1"/>
  <c r="AD187" i="89" s="1"/>
  <c r="AC187" i="89" a="1"/>
  <c r="AC187" i="89" s="1"/>
  <c r="AB187" i="89" a="1"/>
  <c r="AB187" i="89" s="1"/>
  <c r="AA187" i="89" a="1"/>
  <c r="AA187" i="89" s="1"/>
  <c r="Z187" i="89" a="1"/>
  <c r="Z187" i="89" s="1"/>
  <c r="Y187" i="89" a="1"/>
  <c r="Y187" i="89" s="1"/>
  <c r="X187" i="89" a="1"/>
  <c r="X187" i="89" s="1"/>
  <c r="W187" i="89" a="1"/>
  <c r="W187" i="89" s="1"/>
  <c r="V187" i="89" a="1"/>
  <c r="V187" i="89" s="1"/>
  <c r="U187" i="89" a="1"/>
  <c r="U187" i="89" s="1"/>
  <c r="T187" i="89" a="1"/>
  <c r="T187" i="89" s="1"/>
  <c r="S187" i="89" a="1"/>
  <c r="S187" i="89" s="1"/>
  <c r="R187" i="89" a="1"/>
  <c r="R187" i="89" s="1"/>
  <c r="Q187" i="89" a="1"/>
  <c r="Q187" i="89" s="1"/>
  <c r="P187" i="89" a="1"/>
  <c r="P187" i="89" s="1"/>
  <c r="O187" i="89" a="1"/>
  <c r="O187" i="89" s="1"/>
  <c r="N187" i="89" a="1"/>
  <c r="N187" i="89" s="1"/>
  <c r="M187" i="89" a="1"/>
  <c r="M187" i="89" s="1"/>
  <c r="L187" i="89" a="1"/>
  <c r="L187" i="89" s="1"/>
  <c r="K187" i="89" a="1"/>
  <c r="K187" i="89" s="1"/>
  <c r="J187" i="89" a="1"/>
  <c r="J187" i="89" s="1"/>
  <c r="I187" i="89" a="1"/>
  <c r="I187" i="89" s="1"/>
  <c r="H187" i="89" a="1"/>
  <c r="H187" i="89" s="1"/>
  <c r="G187" i="89" a="1"/>
  <c r="G187" i="89" s="1"/>
  <c r="F187" i="89" a="1"/>
  <c r="F187" i="89" s="1"/>
  <c r="E187" i="89" a="1"/>
  <c r="E187" i="89" s="1"/>
  <c r="D187" i="89" a="1"/>
  <c r="D187" i="89" s="1"/>
  <c r="AH186" i="89" a="1"/>
  <c r="AH186" i="89" s="1"/>
  <c r="AG186" i="89" a="1"/>
  <c r="AG186" i="89" s="1"/>
  <c r="AF186" i="89" a="1"/>
  <c r="AF186" i="89" s="1"/>
  <c r="AE186" i="89" a="1"/>
  <c r="AE186" i="89" s="1"/>
  <c r="AD186" i="89" a="1"/>
  <c r="AD186" i="89" s="1"/>
  <c r="AC186" i="89" a="1"/>
  <c r="AC186" i="89" s="1"/>
  <c r="AB186" i="89" a="1"/>
  <c r="AB186" i="89" s="1"/>
  <c r="AA186" i="89" a="1"/>
  <c r="AA186" i="89" s="1"/>
  <c r="Z186" i="89" a="1"/>
  <c r="Z186" i="89" s="1"/>
  <c r="Y186" i="89" a="1"/>
  <c r="Y186" i="89" s="1"/>
  <c r="X186" i="89" a="1"/>
  <c r="X186" i="89" s="1"/>
  <c r="W186" i="89" a="1"/>
  <c r="W186" i="89" s="1"/>
  <c r="V186" i="89" a="1"/>
  <c r="V186" i="89" s="1"/>
  <c r="U186" i="89" a="1"/>
  <c r="U186" i="89" s="1"/>
  <c r="T186" i="89" a="1"/>
  <c r="T186" i="89" s="1"/>
  <c r="S186" i="89" a="1"/>
  <c r="S186" i="89" s="1"/>
  <c r="R186" i="89" a="1"/>
  <c r="R186" i="89" s="1"/>
  <c r="Q186" i="89" a="1"/>
  <c r="Q186" i="89" s="1"/>
  <c r="P186" i="89" a="1"/>
  <c r="P186" i="89" s="1"/>
  <c r="O186" i="89" a="1"/>
  <c r="O186" i="89" s="1"/>
  <c r="N186" i="89" a="1"/>
  <c r="N186" i="89" s="1"/>
  <c r="M186" i="89" a="1"/>
  <c r="M186" i="89" s="1"/>
  <c r="L186" i="89" a="1"/>
  <c r="L186" i="89" s="1"/>
  <c r="K186" i="89" a="1"/>
  <c r="K186" i="89" s="1"/>
  <c r="J186" i="89" a="1"/>
  <c r="J186" i="89" s="1"/>
  <c r="I186" i="89" a="1"/>
  <c r="I186" i="89" s="1"/>
  <c r="H186" i="89" a="1"/>
  <c r="H186" i="89" s="1"/>
  <c r="G186" i="89" a="1"/>
  <c r="G186" i="89" s="1"/>
  <c r="F186" i="89" a="1"/>
  <c r="F186" i="89" s="1"/>
  <c r="E186" i="89" a="1"/>
  <c r="E186" i="89" s="1"/>
  <c r="D186" i="89" a="1"/>
  <c r="D186" i="89" s="1"/>
  <c r="AH185" i="89" a="1"/>
  <c r="AH185" i="89" s="1"/>
  <c r="AG185" i="89" a="1"/>
  <c r="AG185" i="89" s="1"/>
  <c r="AF185" i="89" a="1"/>
  <c r="AF185" i="89" s="1"/>
  <c r="AE185" i="89" a="1"/>
  <c r="AE185" i="89" s="1"/>
  <c r="AD185" i="89" a="1"/>
  <c r="AD185" i="89" s="1"/>
  <c r="AC185" i="89" a="1"/>
  <c r="AC185" i="89" s="1"/>
  <c r="AB185" i="89" a="1"/>
  <c r="AB185" i="89" s="1"/>
  <c r="AA185" i="89" a="1"/>
  <c r="AA185" i="89" s="1"/>
  <c r="Z185" i="89" a="1"/>
  <c r="Z185" i="89" s="1"/>
  <c r="Y185" i="89" a="1"/>
  <c r="Y185" i="89" s="1"/>
  <c r="X185" i="89" a="1"/>
  <c r="X185" i="89" s="1"/>
  <c r="W185" i="89" a="1"/>
  <c r="W185" i="89" s="1"/>
  <c r="V185" i="89" a="1"/>
  <c r="V185" i="89" s="1"/>
  <c r="U185" i="89" a="1"/>
  <c r="U185" i="89" s="1"/>
  <c r="T185" i="89" a="1"/>
  <c r="T185" i="89" s="1"/>
  <c r="S185" i="89" a="1"/>
  <c r="S185" i="89" s="1"/>
  <c r="R185" i="89" a="1"/>
  <c r="R185" i="89" s="1"/>
  <c r="Q185" i="89" a="1"/>
  <c r="Q185" i="89" s="1"/>
  <c r="P185" i="89" a="1"/>
  <c r="P185" i="89" s="1"/>
  <c r="O185" i="89" a="1"/>
  <c r="O185" i="89" s="1"/>
  <c r="N185" i="89" a="1"/>
  <c r="N185" i="89" s="1"/>
  <c r="M185" i="89" a="1"/>
  <c r="M185" i="89" s="1"/>
  <c r="L185" i="89" a="1"/>
  <c r="L185" i="89" s="1"/>
  <c r="K185" i="89" a="1"/>
  <c r="K185" i="89" s="1"/>
  <c r="J185" i="89" a="1"/>
  <c r="J185" i="89" s="1"/>
  <c r="I185" i="89" a="1"/>
  <c r="I185" i="89" s="1"/>
  <c r="H185" i="89" a="1"/>
  <c r="H185" i="89" s="1"/>
  <c r="G185" i="89" a="1"/>
  <c r="G185" i="89" s="1"/>
  <c r="F185" i="89" a="1"/>
  <c r="F185" i="89" s="1"/>
  <c r="E185" i="89" a="1"/>
  <c r="E185" i="89" s="1"/>
  <c r="D185" i="89" a="1"/>
  <c r="D185" i="89" s="1"/>
  <c r="AH184" i="89" a="1"/>
  <c r="AH184" i="89" s="1"/>
  <c r="AG184" i="89" a="1"/>
  <c r="AG184" i="89" s="1"/>
  <c r="AF184" i="89" a="1"/>
  <c r="AF184" i="89" s="1"/>
  <c r="AE184" i="89" a="1"/>
  <c r="AE184" i="89" s="1"/>
  <c r="AD184" i="89" a="1"/>
  <c r="AD184" i="89" s="1"/>
  <c r="AC184" i="89" a="1"/>
  <c r="AC184" i="89" s="1"/>
  <c r="AB184" i="89" a="1"/>
  <c r="AB184" i="89" s="1"/>
  <c r="AA184" i="89" a="1"/>
  <c r="AA184" i="89" s="1"/>
  <c r="Z184" i="89" a="1"/>
  <c r="Z184" i="89" s="1"/>
  <c r="Y184" i="89" a="1"/>
  <c r="Y184" i="89" s="1"/>
  <c r="X184" i="89" a="1"/>
  <c r="X184" i="89" s="1"/>
  <c r="W184" i="89" a="1"/>
  <c r="W184" i="89" s="1"/>
  <c r="V184" i="89" a="1"/>
  <c r="V184" i="89" s="1"/>
  <c r="U184" i="89" a="1"/>
  <c r="U184" i="89" s="1"/>
  <c r="T184" i="89" a="1"/>
  <c r="T184" i="89" s="1"/>
  <c r="S184" i="89" a="1"/>
  <c r="S184" i="89" s="1"/>
  <c r="R184" i="89" a="1"/>
  <c r="R184" i="89" s="1"/>
  <c r="Q184" i="89" a="1"/>
  <c r="Q184" i="89" s="1"/>
  <c r="P184" i="89" a="1"/>
  <c r="P184" i="89" s="1"/>
  <c r="O184" i="89" a="1"/>
  <c r="O184" i="89" s="1"/>
  <c r="N184" i="89" a="1"/>
  <c r="N184" i="89" s="1"/>
  <c r="M184" i="89" a="1"/>
  <c r="M184" i="89" s="1"/>
  <c r="L184" i="89" a="1"/>
  <c r="L184" i="89" s="1"/>
  <c r="K184" i="89" a="1"/>
  <c r="K184" i="89" s="1"/>
  <c r="J184" i="89" a="1"/>
  <c r="J184" i="89" s="1"/>
  <c r="I184" i="89" a="1"/>
  <c r="I184" i="89" s="1"/>
  <c r="H184" i="89" a="1"/>
  <c r="H184" i="89" s="1"/>
  <c r="G184" i="89" a="1"/>
  <c r="G184" i="89" s="1"/>
  <c r="F184" i="89" a="1"/>
  <c r="F184" i="89" s="1"/>
  <c r="E184" i="89" a="1"/>
  <c r="E184" i="89" s="1"/>
  <c r="D184" i="89" a="1"/>
  <c r="D184" i="89" s="1"/>
  <c r="AH183" i="89" a="1"/>
  <c r="AH183" i="89" s="1"/>
  <c r="AG183" i="89" a="1"/>
  <c r="AG183" i="89" s="1"/>
  <c r="AF183" i="89" a="1"/>
  <c r="AF183" i="89" s="1"/>
  <c r="AE183" i="89" a="1"/>
  <c r="AE183" i="89" s="1"/>
  <c r="AD183" i="89" a="1"/>
  <c r="AD183" i="89" s="1"/>
  <c r="AC183" i="89" a="1"/>
  <c r="AC183" i="89" s="1"/>
  <c r="AB183" i="89" a="1"/>
  <c r="AB183" i="89" s="1"/>
  <c r="AA183" i="89" a="1"/>
  <c r="AA183" i="89" s="1"/>
  <c r="Z183" i="89" a="1"/>
  <c r="Z183" i="89" s="1"/>
  <c r="Y183" i="89" a="1"/>
  <c r="Y183" i="89" s="1"/>
  <c r="X183" i="89" a="1"/>
  <c r="X183" i="89" s="1"/>
  <c r="W183" i="89" a="1"/>
  <c r="W183" i="89" s="1"/>
  <c r="V183" i="89" a="1"/>
  <c r="V183" i="89" s="1"/>
  <c r="U183" i="89" a="1"/>
  <c r="U183" i="89" s="1"/>
  <c r="T183" i="89" a="1"/>
  <c r="T183" i="89" s="1"/>
  <c r="S183" i="89" a="1"/>
  <c r="S183" i="89" s="1"/>
  <c r="R183" i="89" a="1"/>
  <c r="R183" i="89" s="1"/>
  <c r="Q183" i="89" a="1"/>
  <c r="Q183" i="89" s="1"/>
  <c r="P183" i="89" a="1"/>
  <c r="P183" i="89" s="1"/>
  <c r="O183" i="89" a="1"/>
  <c r="O183" i="89" s="1"/>
  <c r="N183" i="89" a="1"/>
  <c r="N183" i="89" s="1"/>
  <c r="M183" i="89" a="1"/>
  <c r="M183" i="89" s="1"/>
  <c r="L183" i="89" a="1"/>
  <c r="L183" i="89" s="1"/>
  <c r="K183" i="89" a="1"/>
  <c r="K183" i="89" s="1"/>
  <c r="J183" i="89" a="1"/>
  <c r="J183" i="89" s="1"/>
  <c r="I183" i="89" a="1"/>
  <c r="I183" i="89" s="1"/>
  <c r="H183" i="89" a="1"/>
  <c r="H183" i="89" s="1"/>
  <c r="G183" i="89" a="1"/>
  <c r="G183" i="89" s="1"/>
  <c r="F183" i="89" a="1"/>
  <c r="F183" i="89" s="1"/>
  <c r="E183" i="89" a="1"/>
  <c r="E183" i="89" s="1"/>
  <c r="D183" i="89" a="1"/>
  <c r="D183" i="89" s="1"/>
  <c r="AH182" i="89" a="1"/>
  <c r="AH182" i="89" s="1"/>
  <c r="AG182" i="89" a="1"/>
  <c r="AG182" i="89" s="1"/>
  <c r="AF182" i="89" a="1"/>
  <c r="AF182" i="89" s="1"/>
  <c r="AE182" i="89" a="1"/>
  <c r="AE182" i="89" s="1"/>
  <c r="AD182" i="89" a="1"/>
  <c r="AD182" i="89" s="1"/>
  <c r="AC182" i="89" a="1"/>
  <c r="AC182" i="89" s="1"/>
  <c r="AB182" i="89" a="1"/>
  <c r="AB182" i="89" s="1"/>
  <c r="AA182" i="89" a="1"/>
  <c r="AA182" i="89" s="1"/>
  <c r="Z182" i="89" a="1"/>
  <c r="Z182" i="89" s="1"/>
  <c r="Y182" i="89" a="1"/>
  <c r="Y182" i="89" s="1"/>
  <c r="X182" i="89" a="1"/>
  <c r="X182" i="89" s="1"/>
  <c r="W182" i="89" a="1"/>
  <c r="W182" i="89" s="1"/>
  <c r="V182" i="89" a="1"/>
  <c r="V182" i="89" s="1"/>
  <c r="U182" i="89" a="1"/>
  <c r="U182" i="89" s="1"/>
  <c r="T182" i="89" a="1"/>
  <c r="T182" i="89" s="1"/>
  <c r="S182" i="89" a="1"/>
  <c r="S182" i="89" s="1"/>
  <c r="R182" i="89" a="1"/>
  <c r="R182" i="89" s="1"/>
  <c r="Q182" i="89" a="1"/>
  <c r="Q182" i="89" s="1"/>
  <c r="P182" i="89" a="1"/>
  <c r="P182" i="89" s="1"/>
  <c r="O182" i="89" a="1"/>
  <c r="O182" i="89" s="1"/>
  <c r="N182" i="89" a="1"/>
  <c r="N182" i="89" s="1"/>
  <c r="M182" i="89" a="1"/>
  <c r="M182" i="89" s="1"/>
  <c r="L182" i="89" a="1"/>
  <c r="L182" i="89" s="1"/>
  <c r="K182" i="89" a="1"/>
  <c r="K182" i="89" s="1"/>
  <c r="J182" i="89" a="1"/>
  <c r="J182" i="89" s="1"/>
  <c r="I182" i="89" a="1"/>
  <c r="I182" i="89" s="1"/>
  <c r="H182" i="89" a="1"/>
  <c r="H182" i="89" s="1"/>
  <c r="G182" i="89" a="1"/>
  <c r="G182" i="89" s="1"/>
  <c r="F182" i="89" a="1"/>
  <c r="F182" i="89" s="1"/>
  <c r="E182" i="89" a="1"/>
  <c r="E182" i="89" s="1"/>
  <c r="D182" i="89" a="1"/>
  <c r="D182" i="89" s="1"/>
  <c r="AH181" i="89" a="1"/>
  <c r="AH181" i="89" s="1"/>
  <c r="AG181" i="89" a="1"/>
  <c r="AG181" i="89" s="1"/>
  <c r="AF181" i="89" a="1"/>
  <c r="AF181" i="89" s="1"/>
  <c r="AE181" i="89" a="1"/>
  <c r="AE181" i="89" s="1"/>
  <c r="AD181" i="89" a="1"/>
  <c r="AD181" i="89" s="1"/>
  <c r="AC181" i="89" a="1"/>
  <c r="AC181" i="89" s="1"/>
  <c r="AB181" i="89" a="1"/>
  <c r="AB181" i="89" s="1"/>
  <c r="AA181" i="89" a="1"/>
  <c r="AA181" i="89" s="1"/>
  <c r="Z181" i="89" a="1"/>
  <c r="Z181" i="89" s="1"/>
  <c r="Y181" i="89" a="1"/>
  <c r="Y181" i="89" s="1"/>
  <c r="X181" i="89" a="1"/>
  <c r="X181" i="89" s="1"/>
  <c r="W181" i="89" a="1"/>
  <c r="W181" i="89" s="1"/>
  <c r="V181" i="89" a="1"/>
  <c r="V181" i="89" s="1"/>
  <c r="U181" i="89" a="1"/>
  <c r="U181" i="89" s="1"/>
  <c r="T181" i="89" a="1"/>
  <c r="T181" i="89" s="1"/>
  <c r="S181" i="89" a="1"/>
  <c r="S181" i="89" s="1"/>
  <c r="R181" i="89" a="1"/>
  <c r="R181" i="89" s="1"/>
  <c r="Q181" i="89" a="1"/>
  <c r="Q181" i="89" s="1"/>
  <c r="P181" i="89" a="1"/>
  <c r="P181" i="89" s="1"/>
  <c r="O181" i="89" a="1"/>
  <c r="O181" i="89" s="1"/>
  <c r="N181" i="89" a="1"/>
  <c r="N181" i="89" s="1"/>
  <c r="M181" i="89" a="1"/>
  <c r="M181" i="89" s="1"/>
  <c r="L181" i="89" a="1"/>
  <c r="L181" i="89" s="1"/>
  <c r="K181" i="89" a="1"/>
  <c r="K181" i="89" s="1"/>
  <c r="J181" i="89" a="1"/>
  <c r="J181" i="89" s="1"/>
  <c r="I181" i="89" a="1"/>
  <c r="I181" i="89" s="1"/>
  <c r="H181" i="89" a="1"/>
  <c r="H181" i="89" s="1"/>
  <c r="G181" i="89" a="1"/>
  <c r="G181" i="89" s="1"/>
  <c r="F181" i="89" a="1"/>
  <c r="F181" i="89" s="1"/>
  <c r="E181" i="89" a="1"/>
  <c r="E181" i="89" s="1"/>
  <c r="D181" i="89" a="1"/>
  <c r="D181" i="89" s="1"/>
  <c r="AH180" i="89" a="1"/>
  <c r="AH180" i="89" s="1"/>
  <c r="AG180" i="89" a="1"/>
  <c r="AG180" i="89" s="1"/>
  <c r="AF180" i="89" a="1"/>
  <c r="AF180" i="89" s="1"/>
  <c r="AE180" i="89" a="1"/>
  <c r="AE180" i="89" s="1"/>
  <c r="AD180" i="89" a="1"/>
  <c r="AD180" i="89" s="1"/>
  <c r="AC180" i="89" a="1"/>
  <c r="AC180" i="89" s="1"/>
  <c r="AB180" i="89" a="1"/>
  <c r="AB180" i="89" s="1"/>
  <c r="AA180" i="89" a="1"/>
  <c r="AA180" i="89" s="1"/>
  <c r="Z180" i="89" a="1"/>
  <c r="Z180" i="89" s="1"/>
  <c r="Y180" i="89" a="1"/>
  <c r="Y180" i="89" s="1"/>
  <c r="X180" i="89" a="1"/>
  <c r="X180" i="89" s="1"/>
  <c r="W180" i="89" a="1"/>
  <c r="W180" i="89" s="1"/>
  <c r="V180" i="89" a="1"/>
  <c r="V180" i="89" s="1"/>
  <c r="U180" i="89" a="1"/>
  <c r="U180" i="89" s="1"/>
  <c r="T180" i="89" a="1"/>
  <c r="T180" i="89" s="1"/>
  <c r="S180" i="89" a="1"/>
  <c r="S180" i="89" s="1"/>
  <c r="R180" i="89" a="1"/>
  <c r="R180" i="89" s="1"/>
  <c r="Q180" i="89" a="1"/>
  <c r="Q180" i="89" s="1"/>
  <c r="P180" i="89" a="1"/>
  <c r="P180" i="89" s="1"/>
  <c r="O180" i="89" a="1"/>
  <c r="O180" i="89" s="1"/>
  <c r="N180" i="89" a="1"/>
  <c r="N180" i="89" s="1"/>
  <c r="M180" i="89" a="1"/>
  <c r="M180" i="89" s="1"/>
  <c r="L180" i="89" a="1"/>
  <c r="L180" i="89" s="1"/>
  <c r="K180" i="89" a="1"/>
  <c r="K180" i="89" s="1"/>
  <c r="J180" i="89" a="1"/>
  <c r="J180" i="89" s="1"/>
  <c r="I180" i="89" a="1"/>
  <c r="I180" i="89" s="1"/>
  <c r="H180" i="89" a="1"/>
  <c r="H180" i="89" s="1"/>
  <c r="G180" i="89" a="1"/>
  <c r="G180" i="89" s="1"/>
  <c r="F180" i="89" a="1"/>
  <c r="F180" i="89" s="1"/>
  <c r="E180" i="89" a="1"/>
  <c r="E180" i="89" s="1"/>
  <c r="D180" i="89" a="1"/>
  <c r="D180" i="89" s="1"/>
  <c r="AH179" i="89" a="1"/>
  <c r="AH179" i="89" s="1"/>
  <c r="AG179" i="89" a="1"/>
  <c r="AG179" i="89" s="1"/>
  <c r="AF179" i="89" a="1"/>
  <c r="AF179" i="89" s="1"/>
  <c r="AE179" i="89" a="1"/>
  <c r="AE179" i="89" s="1"/>
  <c r="AD179" i="89" a="1"/>
  <c r="AD179" i="89" s="1"/>
  <c r="AC179" i="89" a="1"/>
  <c r="AC179" i="89" s="1"/>
  <c r="AB179" i="89" a="1"/>
  <c r="AB179" i="89" s="1"/>
  <c r="AA179" i="89" a="1"/>
  <c r="AA179" i="89" s="1"/>
  <c r="Z179" i="89" a="1"/>
  <c r="Z179" i="89" s="1"/>
  <c r="Y179" i="89" a="1"/>
  <c r="Y179" i="89" s="1"/>
  <c r="X179" i="89" a="1"/>
  <c r="X179" i="89" s="1"/>
  <c r="W179" i="89" a="1"/>
  <c r="W179" i="89" s="1"/>
  <c r="V179" i="89" a="1"/>
  <c r="V179" i="89" s="1"/>
  <c r="U179" i="89" a="1"/>
  <c r="U179" i="89" s="1"/>
  <c r="T179" i="89" a="1"/>
  <c r="T179" i="89" s="1"/>
  <c r="S179" i="89" a="1"/>
  <c r="S179" i="89" s="1"/>
  <c r="R179" i="89" a="1"/>
  <c r="R179" i="89" s="1"/>
  <c r="Q179" i="89" a="1"/>
  <c r="Q179" i="89" s="1"/>
  <c r="P179" i="89" a="1"/>
  <c r="P179" i="89" s="1"/>
  <c r="O179" i="89" a="1"/>
  <c r="O179" i="89" s="1"/>
  <c r="N179" i="89" a="1"/>
  <c r="N179" i="89" s="1"/>
  <c r="M179" i="89" a="1"/>
  <c r="M179" i="89" s="1"/>
  <c r="L179" i="89" a="1"/>
  <c r="L179" i="89" s="1"/>
  <c r="K179" i="89" a="1"/>
  <c r="K179" i="89" s="1"/>
  <c r="J179" i="89" a="1"/>
  <c r="J179" i="89" s="1"/>
  <c r="I179" i="89" a="1"/>
  <c r="I179" i="89" s="1"/>
  <c r="H179" i="89" a="1"/>
  <c r="H179" i="89" s="1"/>
  <c r="G179" i="89" a="1"/>
  <c r="G179" i="89" s="1"/>
  <c r="F179" i="89" a="1"/>
  <c r="F179" i="89" s="1"/>
  <c r="E179" i="89" a="1"/>
  <c r="E179" i="89" s="1"/>
  <c r="D179" i="89" a="1"/>
  <c r="D179" i="89" s="1"/>
  <c r="AH178" i="89" a="1"/>
  <c r="AH178" i="89" s="1"/>
  <c r="AG178" i="89" a="1"/>
  <c r="AG178" i="89" s="1"/>
  <c r="AF178" i="89" a="1"/>
  <c r="AF178" i="89" s="1"/>
  <c r="AE178" i="89" a="1"/>
  <c r="AE178" i="89" s="1"/>
  <c r="AD178" i="89" a="1"/>
  <c r="AD178" i="89" s="1"/>
  <c r="AC178" i="89" a="1"/>
  <c r="AC178" i="89" s="1"/>
  <c r="AB178" i="89" a="1"/>
  <c r="AB178" i="89" s="1"/>
  <c r="AA178" i="89" a="1"/>
  <c r="AA178" i="89" s="1"/>
  <c r="Z178" i="89" a="1"/>
  <c r="Z178" i="89" s="1"/>
  <c r="Y178" i="89" a="1"/>
  <c r="Y178" i="89" s="1"/>
  <c r="X178" i="89" a="1"/>
  <c r="X178" i="89" s="1"/>
  <c r="W178" i="89" a="1"/>
  <c r="W178" i="89" s="1"/>
  <c r="V178" i="89" a="1"/>
  <c r="V178" i="89" s="1"/>
  <c r="U178" i="89" a="1"/>
  <c r="U178" i="89" s="1"/>
  <c r="T178" i="89" a="1"/>
  <c r="T178" i="89" s="1"/>
  <c r="S178" i="89" a="1"/>
  <c r="S178" i="89" s="1"/>
  <c r="R178" i="89" a="1"/>
  <c r="R178" i="89" s="1"/>
  <c r="Q178" i="89" a="1"/>
  <c r="Q178" i="89" s="1"/>
  <c r="P178" i="89" a="1"/>
  <c r="P178" i="89" s="1"/>
  <c r="O178" i="89" a="1"/>
  <c r="O178" i="89" s="1"/>
  <c r="N178" i="89" a="1"/>
  <c r="N178" i="89" s="1"/>
  <c r="M178" i="89" a="1"/>
  <c r="M178" i="89" s="1"/>
  <c r="L178" i="89" a="1"/>
  <c r="L178" i="89" s="1"/>
  <c r="K178" i="89" a="1"/>
  <c r="K178" i="89" s="1"/>
  <c r="J178" i="89" a="1"/>
  <c r="J178" i="89" s="1"/>
  <c r="I178" i="89" a="1"/>
  <c r="I178" i="89" s="1"/>
  <c r="H178" i="89" a="1"/>
  <c r="H178" i="89" s="1"/>
  <c r="G178" i="89" a="1"/>
  <c r="G178" i="89" s="1"/>
  <c r="F178" i="89" a="1"/>
  <c r="F178" i="89" s="1"/>
  <c r="E178" i="89" a="1"/>
  <c r="E178" i="89" s="1"/>
  <c r="D178" i="89" a="1"/>
  <c r="D178" i="89" s="1"/>
  <c r="AH177" i="89" a="1"/>
  <c r="AH177" i="89" s="1"/>
  <c r="AG177" i="89" a="1"/>
  <c r="AG177" i="89" s="1"/>
  <c r="AF177" i="89" a="1"/>
  <c r="AF177" i="89" s="1"/>
  <c r="AE177" i="89" a="1"/>
  <c r="AE177" i="89" s="1"/>
  <c r="AD177" i="89" a="1"/>
  <c r="AD177" i="89" s="1"/>
  <c r="AC177" i="89" a="1"/>
  <c r="AC177" i="89" s="1"/>
  <c r="AB177" i="89" a="1"/>
  <c r="AB177" i="89" s="1"/>
  <c r="AA177" i="89" a="1"/>
  <c r="AA177" i="89" s="1"/>
  <c r="Z177" i="89" a="1"/>
  <c r="Z177" i="89" s="1"/>
  <c r="Y177" i="89" a="1"/>
  <c r="Y177" i="89" s="1"/>
  <c r="X177" i="89" a="1"/>
  <c r="X177" i="89" s="1"/>
  <c r="W177" i="89" a="1"/>
  <c r="W177" i="89" s="1"/>
  <c r="V177" i="89" a="1"/>
  <c r="V177" i="89" s="1"/>
  <c r="U177" i="89" a="1"/>
  <c r="U177" i="89" s="1"/>
  <c r="T177" i="89" a="1"/>
  <c r="T177" i="89" s="1"/>
  <c r="S177" i="89" a="1"/>
  <c r="S177" i="89" s="1"/>
  <c r="R177" i="89" a="1"/>
  <c r="R177" i="89" s="1"/>
  <c r="Q177" i="89" a="1"/>
  <c r="Q177" i="89" s="1"/>
  <c r="P177" i="89" a="1"/>
  <c r="P177" i="89" s="1"/>
  <c r="O177" i="89" a="1"/>
  <c r="O177" i="89" s="1"/>
  <c r="N177" i="89" a="1"/>
  <c r="N177" i="89" s="1"/>
  <c r="M177" i="89" a="1"/>
  <c r="M177" i="89" s="1"/>
  <c r="L177" i="89" a="1"/>
  <c r="L177" i="89" s="1"/>
  <c r="K177" i="89" a="1"/>
  <c r="K177" i="89" s="1"/>
  <c r="J177" i="89" a="1"/>
  <c r="J177" i="89" s="1"/>
  <c r="I177" i="89" a="1"/>
  <c r="I177" i="89" s="1"/>
  <c r="H177" i="89" a="1"/>
  <c r="H177" i="89" s="1"/>
  <c r="G177" i="89" a="1"/>
  <c r="G177" i="89" s="1"/>
  <c r="F177" i="89" a="1"/>
  <c r="F177" i="89" s="1"/>
  <c r="E177" i="89" a="1"/>
  <c r="E177" i="89" s="1"/>
  <c r="D177" i="89" a="1"/>
  <c r="D177" i="89" s="1"/>
  <c r="AH176" i="89" a="1"/>
  <c r="AH176" i="89" s="1"/>
  <c r="AG176" i="89" a="1"/>
  <c r="AG176" i="89" s="1"/>
  <c r="AF176" i="89" a="1"/>
  <c r="AF176" i="89" s="1"/>
  <c r="AE176" i="89" a="1"/>
  <c r="AE176" i="89" s="1"/>
  <c r="AD176" i="89" a="1"/>
  <c r="AD176" i="89" s="1"/>
  <c r="AC176" i="89" a="1"/>
  <c r="AC176" i="89" s="1"/>
  <c r="AB176" i="89" a="1"/>
  <c r="AB176" i="89" s="1"/>
  <c r="AA176" i="89" a="1"/>
  <c r="AA176" i="89" s="1"/>
  <c r="Z176" i="89" a="1"/>
  <c r="Z176" i="89" s="1"/>
  <c r="Y176" i="89" a="1"/>
  <c r="Y176" i="89" s="1"/>
  <c r="X176" i="89" a="1"/>
  <c r="X176" i="89" s="1"/>
  <c r="W176" i="89" a="1"/>
  <c r="W176" i="89" s="1"/>
  <c r="V176" i="89" a="1"/>
  <c r="V176" i="89" s="1"/>
  <c r="U176" i="89" a="1"/>
  <c r="U176" i="89" s="1"/>
  <c r="T176" i="89" a="1"/>
  <c r="T176" i="89" s="1"/>
  <c r="S176" i="89" a="1"/>
  <c r="S176" i="89" s="1"/>
  <c r="R176" i="89" a="1"/>
  <c r="R176" i="89" s="1"/>
  <c r="Q176" i="89" a="1"/>
  <c r="Q176" i="89" s="1"/>
  <c r="P176" i="89" a="1"/>
  <c r="P176" i="89" s="1"/>
  <c r="O176" i="89" a="1"/>
  <c r="O176" i="89" s="1"/>
  <c r="N176" i="89" a="1"/>
  <c r="N176" i="89" s="1"/>
  <c r="M176" i="89" a="1"/>
  <c r="M176" i="89" s="1"/>
  <c r="L176" i="89" a="1"/>
  <c r="L176" i="89" s="1"/>
  <c r="K176" i="89" a="1"/>
  <c r="K176" i="89" s="1"/>
  <c r="J176" i="89" a="1"/>
  <c r="J176" i="89" s="1"/>
  <c r="I176" i="89" a="1"/>
  <c r="I176" i="89" s="1"/>
  <c r="H176" i="89" a="1"/>
  <c r="H176" i="89" s="1"/>
  <c r="G176" i="89" a="1"/>
  <c r="G176" i="89" s="1"/>
  <c r="F176" i="89" a="1"/>
  <c r="F176" i="89" s="1"/>
  <c r="E176" i="89" a="1"/>
  <c r="E176" i="89" s="1"/>
  <c r="D176" i="89" a="1"/>
  <c r="D176" i="89" s="1"/>
  <c r="AH175" i="89" a="1"/>
  <c r="AH175" i="89" s="1"/>
  <c r="AG175" i="89" a="1"/>
  <c r="AG175" i="89" s="1"/>
  <c r="AF175" i="89" a="1"/>
  <c r="AF175" i="89" s="1"/>
  <c r="AE175" i="89" a="1"/>
  <c r="AE175" i="89" s="1"/>
  <c r="AD175" i="89" a="1"/>
  <c r="AD175" i="89" s="1"/>
  <c r="AC175" i="89" a="1"/>
  <c r="AC175" i="89" s="1"/>
  <c r="AB175" i="89" a="1"/>
  <c r="AB175" i="89" s="1"/>
  <c r="AA175" i="89" a="1"/>
  <c r="AA175" i="89" s="1"/>
  <c r="Z175" i="89" a="1"/>
  <c r="Z175" i="89" s="1"/>
  <c r="Y175" i="89" a="1"/>
  <c r="Y175" i="89" s="1"/>
  <c r="X175" i="89" a="1"/>
  <c r="X175" i="89" s="1"/>
  <c r="W175" i="89" a="1"/>
  <c r="W175" i="89" s="1"/>
  <c r="V175" i="89" a="1"/>
  <c r="V175" i="89" s="1"/>
  <c r="U175" i="89" a="1"/>
  <c r="U175" i="89" s="1"/>
  <c r="T175" i="89" a="1"/>
  <c r="T175" i="89" s="1"/>
  <c r="S175" i="89" a="1"/>
  <c r="S175" i="89" s="1"/>
  <c r="R175" i="89" a="1"/>
  <c r="R175" i="89" s="1"/>
  <c r="Q175" i="89" a="1"/>
  <c r="Q175" i="89" s="1"/>
  <c r="P175" i="89" a="1"/>
  <c r="P175" i="89" s="1"/>
  <c r="O175" i="89" a="1"/>
  <c r="O175" i="89" s="1"/>
  <c r="N175" i="89" a="1"/>
  <c r="N175" i="89" s="1"/>
  <c r="M175" i="89" a="1"/>
  <c r="M175" i="89" s="1"/>
  <c r="L175" i="89" a="1"/>
  <c r="L175" i="89" s="1"/>
  <c r="K175" i="89" a="1"/>
  <c r="K175" i="89" s="1"/>
  <c r="J175" i="89" a="1"/>
  <c r="J175" i="89" s="1"/>
  <c r="I175" i="89" a="1"/>
  <c r="I175" i="89" s="1"/>
  <c r="H175" i="89" a="1"/>
  <c r="H175" i="89" s="1"/>
  <c r="G175" i="89" a="1"/>
  <c r="G175" i="89" s="1"/>
  <c r="F175" i="89" a="1"/>
  <c r="F175" i="89" s="1"/>
  <c r="E175" i="89" a="1"/>
  <c r="E175" i="89" s="1"/>
  <c r="D175" i="89" a="1"/>
  <c r="D175" i="89" s="1"/>
  <c r="AH174" i="89" a="1"/>
  <c r="AH174" i="89" s="1"/>
  <c r="AG174" i="89" a="1"/>
  <c r="AG174" i="89" s="1"/>
  <c r="AF174" i="89" a="1"/>
  <c r="AF174" i="89" s="1"/>
  <c r="AE174" i="89" a="1"/>
  <c r="AE174" i="89" s="1"/>
  <c r="AD174" i="89" a="1"/>
  <c r="AD174" i="89" s="1"/>
  <c r="AC174" i="89" a="1"/>
  <c r="AC174" i="89" s="1"/>
  <c r="AB174" i="89" a="1"/>
  <c r="AB174" i="89" s="1"/>
  <c r="AA174" i="89" a="1"/>
  <c r="AA174" i="89" s="1"/>
  <c r="Z174" i="89" a="1"/>
  <c r="Z174" i="89" s="1"/>
  <c r="Y174" i="89" a="1"/>
  <c r="Y174" i="89" s="1"/>
  <c r="X174" i="89" a="1"/>
  <c r="X174" i="89" s="1"/>
  <c r="W174" i="89" a="1"/>
  <c r="W174" i="89" s="1"/>
  <c r="V174" i="89" a="1"/>
  <c r="V174" i="89" s="1"/>
  <c r="U174" i="89" a="1"/>
  <c r="U174" i="89" s="1"/>
  <c r="T174" i="89" a="1"/>
  <c r="T174" i="89" s="1"/>
  <c r="S174" i="89" a="1"/>
  <c r="S174" i="89" s="1"/>
  <c r="R174" i="89" a="1"/>
  <c r="R174" i="89" s="1"/>
  <c r="Q174" i="89" a="1"/>
  <c r="Q174" i="89" s="1"/>
  <c r="P174" i="89" a="1"/>
  <c r="P174" i="89" s="1"/>
  <c r="O174" i="89" a="1"/>
  <c r="O174" i="89" s="1"/>
  <c r="N174" i="89" a="1"/>
  <c r="N174" i="89" s="1"/>
  <c r="M174" i="89" a="1"/>
  <c r="M174" i="89" s="1"/>
  <c r="L174" i="89" a="1"/>
  <c r="L174" i="89" s="1"/>
  <c r="K174" i="89" a="1"/>
  <c r="K174" i="89" s="1"/>
  <c r="J174" i="89" a="1"/>
  <c r="J174" i="89" s="1"/>
  <c r="I174" i="89" a="1"/>
  <c r="I174" i="89" s="1"/>
  <c r="H174" i="89" a="1"/>
  <c r="H174" i="89" s="1"/>
  <c r="G174" i="89" a="1"/>
  <c r="G174" i="89" s="1"/>
  <c r="F174" i="89" a="1"/>
  <c r="F174" i="89" s="1"/>
  <c r="E174" i="89" a="1"/>
  <c r="E174" i="89" s="1"/>
  <c r="D174" i="89" a="1"/>
  <c r="D174" i="89" s="1"/>
  <c r="AH173" i="89" a="1"/>
  <c r="AH173" i="89" s="1"/>
  <c r="AG173" i="89" a="1"/>
  <c r="AG173" i="89" s="1"/>
  <c r="AF173" i="89" a="1"/>
  <c r="AF173" i="89" s="1"/>
  <c r="AE173" i="89" a="1"/>
  <c r="AE173" i="89" s="1"/>
  <c r="AD173" i="89" a="1"/>
  <c r="AD173" i="89" s="1"/>
  <c r="AC173" i="89" a="1"/>
  <c r="AC173" i="89" s="1"/>
  <c r="AB173" i="89" a="1"/>
  <c r="AB173" i="89" s="1"/>
  <c r="AA173" i="89" a="1"/>
  <c r="AA173" i="89" s="1"/>
  <c r="Z173" i="89" a="1"/>
  <c r="Z173" i="89" s="1"/>
  <c r="Y173" i="89" a="1"/>
  <c r="Y173" i="89" s="1"/>
  <c r="X173" i="89" a="1"/>
  <c r="X173" i="89" s="1"/>
  <c r="W173" i="89" a="1"/>
  <c r="W173" i="89" s="1"/>
  <c r="V173" i="89" a="1"/>
  <c r="V173" i="89" s="1"/>
  <c r="U173" i="89" a="1"/>
  <c r="U173" i="89" s="1"/>
  <c r="T173" i="89" a="1"/>
  <c r="T173" i="89" s="1"/>
  <c r="S173" i="89" a="1"/>
  <c r="S173" i="89" s="1"/>
  <c r="R173" i="89" a="1"/>
  <c r="R173" i="89" s="1"/>
  <c r="Q173" i="89" a="1"/>
  <c r="Q173" i="89" s="1"/>
  <c r="P173" i="89" a="1"/>
  <c r="P173" i="89" s="1"/>
  <c r="O173" i="89" a="1"/>
  <c r="O173" i="89" s="1"/>
  <c r="N173" i="89" a="1"/>
  <c r="N173" i="89" s="1"/>
  <c r="M173" i="89" a="1"/>
  <c r="M173" i="89" s="1"/>
  <c r="L173" i="89" a="1"/>
  <c r="L173" i="89" s="1"/>
  <c r="K173" i="89" a="1"/>
  <c r="K173" i="89" s="1"/>
  <c r="J173" i="89" a="1"/>
  <c r="J173" i="89" s="1"/>
  <c r="I173" i="89" a="1"/>
  <c r="I173" i="89" s="1"/>
  <c r="H173" i="89" a="1"/>
  <c r="H173" i="89" s="1"/>
  <c r="G173" i="89" a="1"/>
  <c r="G173" i="89" s="1"/>
  <c r="F173" i="89" a="1"/>
  <c r="F173" i="89" s="1"/>
  <c r="E173" i="89" a="1"/>
  <c r="E173" i="89" s="1"/>
  <c r="D173" i="89" a="1"/>
  <c r="D173" i="89" s="1"/>
  <c r="AH172" i="89" a="1"/>
  <c r="AH172" i="89" s="1"/>
  <c r="AG172" i="89" a="1"/>
  <c r="AG172" i="89" s="1"/>
  <c r="AF172" i="89" a="1"/>
  <c r="AF172" i="89" s="1"/>
  <c r="AE172" i="89" a="1"/>
  <c r="AE172" i="89" s="1"/>
  <c r="AD172" i="89" a="1"/>
  <c r="AD172" i="89" s="1"/>
  <c r="AC172" i="89" a="1"/>
  <c r="AC172" i="89" s="1"/>
  <c r="AB172" i="89" a="1"/>
  <c r="AB172" i="89" s="1"/>
  <c r="AA172" i="89" a="1"/>
  <c r="AA172" i="89" s="1"/>
  <c r="Z172" i="89" a="1"/>
  <c r="Z172" i="89" s="1"/>
  <c r="Y172" i="89" a="1"/>
  <c r="Y172" i="89" s="1"/>
  <c r="X172" i="89" a="1"/>
  <c r="X172" i="89" s="1"/>
  <c r="W172" i="89" a="1"/>
  <c r="W172" i="89" s="1"/>
  <c r="V172" i="89" a="1"/>
  <c r="V172" i="89" s="1"/>
  <c r="U172" i="89" a="1"/>
  <c r="U172" i="89" s="1"/>
  <c r="T172" i="89" a="1"/>
  <c r="T172" i="89" s="1"/>
  <c r="S172" i="89" a="1"/>
  <c r="S172" i="89" s="1"/>
  <c r="R172" i="89" a="1"/>
  <c r="R172" i="89" s="1"/>
  <c r="Q172" i="89" a="1"/>
  <c r="Q172" i="89" s="1"/>
  <c r="P172" i="89" a="1"/>
  <c r="P172" i="89" s="1"/>
  <c r="O172" i="89" a="1"/>
  <c r="O172" i="89" s="1"/>
  <c r="N172" i="89" a="1"/>
  <c r="N172" i="89" s="1"/>
  <c r="M172" i="89" a="1"/>
  <c r="M172" i="89" s="1"/>
  <c r="L172" i="89" a="1"/>
  <c r="L172" i="89" s="1"/>
  <c r="K172" i="89" a="1"/>
  <c r="K172" i="89" s="1"/>
  <c r="J172" i="89" a="1"/>
  <c r="J172" i="89" s="1"/>
  <c r="I172" i="89" a="1"/>
  <c r="I172" i="89" s="1"/>
  <c r="H172" i="89" a="1"/>
  <c r="H172" i="89" s="1"/>
  <c r="G172" i="89" a="1"/>
  <c r="G172" i="89" s="1"/>
  <c r="F172" i="89" a="1"/>
  <c r="F172" i="89" s="1"/>
  <c r="E172" i="89" a="1"/>
  <c r="E172" i="89" s="1"/>
  <c r="D172" i="89" a="1"/>
  <c r="D172" i="89" s="1"/>
  <c r="AH171" i="89" a="1"/>
  <c r="AH171" i="89" s="1"/>
  <c r="AG171" i="89" a="1"/>
  <c r="AG171" i="89" s="1"/>
  <c r="AF171" i="89" a="1"/>
  <c r="AF171" i="89" s="1"/>
  <c r="AE171" i="89" a="1"/>
  <c r="AE171" i="89" s="1"/>
  <c r="AD171" i="89" a="1"/>
  <c r="AD171" i="89" s="1"/>
  <c r="AC171" i="89" a="1"/>
  <c r="AC171" i="89" s="1"/>
  <c r="AB171" i="89" a="1"/>
  <c r="AB171" i="89" s="1"/>
  <c r="AA171" i="89" a="1"/>
  <c r="AA171" i="89" s="1"/>
  <c r="Z171" i="89" a="1"/>
  <c r="Z171" i="89" s="1"/>
  <c r="Y171" i="89" a="1"/>
  <c r="Y171" i="89" s="1"/>
  <c r="X171" i="89" a="1"/>
  <c r="X171" i="89" s="1"/>
  <c r="W171" i="89" a="1"/>
  <c r="W171" i="89" s="1"/>
  <c r="V171" i="89" a="1"/>
  <c r="V171" i="89" s="1"/>
  <c r="U171" i="89" a="1"/>
  <c r="U171" i="89" s="1"/>
  <c r="T171" i="89" a="1"/>
  <c r="T171" i="89" s="1"/>
  <c r="S171" i="89" a="1"/>
  <c r="S171" i="89" s="1"/>
  <c r="R171" i="89" a="1"/>
  <c r="R171" i="89" s="1"/>
  <c r="Q171" i="89" a="1"/>
  <c r="Q171" i="89" s="1"/>
  <c r="P171" i="89" a="1"/>
  <c r="P171" i="89" s="1"/>
  <c r="O171" i="89" a="1"/>
  <c r="O171" i="89" s="1"/>
  <c r="N171" i="89" a="1"/>
  <c r="N171" i="89" s="1"/>
  <c r="M171" i="89" a="1"/>
  <c r="M171" i="89" s="1"/>
  <c r="L171" i="89" a="1"/>
  <c r="L171" i="89" s="1"/>
  <c r="K171" i="89" a="1"/>
  <c r="K171" i="89" s="1"/>
  <c r="J171" i="89" a="1"/>
  <c r="J171" i="89" s="1"/>
  <c r="I171" i="89" a="1"/>
  <c r="I171" i="89" s="1"/>
  <c r="H171" i="89" a="1"/>
  <c r="H171" i="89" s="1"/>
  <c r="G171" i="89" a="1"/>
  <c r="G171" i="89" s="1"/>
  <c r="F171" i="89" a="1"/>
  <c r="F171" i="89" s="1"/>
  <c r="E171" i="89" a="1"/>
  <c r="E171" i="89" s="1"/>
  <c r="D171" i="89" a="1"/>
  <c r="D171" i="89" s="1"/>
  <c r="AH170" i="89" a="1"/>
  <c r="AH170" i="89" s="1"/>
  <c r="AG170" i="89" a="1"/>
  <c r="AG170" i="89" s="1"/>
  <c r="AF170" i="89" a="1"/>
  <c r="AF170" i="89" s="1"/>
  <c r="AE170" i="89" a="1"/>
  <c r="AE170" i="89" s="1"/>
  <c r="AD170" i="89" a="1"/>
  <c r="AD170" i="89" s="1"/>
  <c r="AC170" i="89" a="1"/>
  <c r="AC170" i="89" s="1"/>
  <c r="AB170" i="89" a="1"/>
  <c r="AB170" i="89" s="1"/>
  <c r="AA170" i="89" a="1"/>
  <c r="AA170" i="89" s="1"/>
  <c r="Z170" i="89" a="1"/>
  <c r="Z170" i="89" s="1"/>
  <c r="Y170" i="89" a="1"/>
  <c r="Y170" i="89" s="1"/>
  <c r="X170" i="89" a="1"/>
  <c r="X170" i="89" s="1"/>
  <c r="W170" i="89" a="1"/>
  <c r="W170" i="89" s="1"/>
  <c r="V170" i="89" a="1"/>
  <c r="V170" i="89" s="1"/>
  <c r="U170" i="89" a="1"/>
  <c r="U170" i="89" s="1"/>
  <c r="T170" i="89" a="1"/>
  <c r="T170" i="89" s="1"/>
  <c r="S170" i="89" a="1"/>
  <c r="S170" i="89" s="1"/>
  <c r="R170" i="89" a="1"/>
  <c r="R170" i="89" s="1"/>
  <c r="Q170" i="89" a="1"/>
  <c r="Q170" i="89" s="1"/>
  <c r="P170" i="89" a="1"/>
  <c r="P170" i="89" s="1"/>
  <c r="O170" i="89" a="1"/>
  <c r="O170" i="89" s="1"/>
  <c r="N170" i="89" a="1"/>
  <c r="N170" i="89" s="1"/>
  <c r="M170" i="89" a="1"/>
  <c r="M170" i="89" s="1"/>
  <c r="L170" i="89" a="1"/>
  <c r="L170" i="89" s="1"/>
  <c r="K170" i="89" a="1"/>
  <c r="K170" i="89" s="1"/>
  <c r="J170" i="89" a="1"/>
  <c r="J170" i="89" s="1"/>
  <c r="I170" i="89" a="1"/>
  <c r="I170" i="89" s="1"/>
  <c r="H170" i="89" a="1"/>
  <c r="H170" i="89" s="1"/>
  <c r="G170" i="89" a="1"/>
  <c r="G170" i="89" s="1"/>
  <c r="F170" i="89" a="1"/>
  <c r="F170" i="89" s="1"/>
  <c r="E170" i="89" a="1"/>
  <c r="E170" i="89" s="1"/>
  <c r="D170" i="89" a="1"/>
  <c r="D170" i="89" s="1"/>
  <c r="AH169" i="89" a="1"/>
  <c r="AH169" i="89" s="1"/>
  <c r="AG169" i="89" a="1"/>
  <c r="AG169" i="89" s="1"/>
  <c r="AF169" i="89" a="1"/>
  <c r="AF169" i="89" s="1"/>
  <c r="AE169" i="89" a="1"/>
  <c r="AE169" i="89" s="1"/>
  <c r="AD169" i="89" a="1"/>
  <c r="AD169" i="89" s="1"/>
  <c r="AC169" i="89" a="1"/>
  <c r="AC169" i="89" s="1"/>
  <c r="AB169" i="89" a="1"/>
  <c r="AB169" i="89" s="1"/>
  <c r="AA169" i="89" a="1"/>
  <c r="AA169" i="89" s="1"/>
  <c r="Z169" i="89" a="1"/>
  <c r="Z169" i="89" s="1"/>
  <c r="Y169" i="89" a="1"/>
  <c r="Y169" i="89" s="1"/>
  <c r="X169" i="89" a="1"/>
  <c r="X169" i="89" s="1"/>
  <c r="W169" i="89" a="1"/>
  <c r="W169" i="89" s="1"/>
  <c r="V169" i="89" a="1"/>
  <c r="V169" i="89" s="1"/>
  <c r="U169" i="89" a="1"/>
  <c r="U169" i="89" s="1"/>
  <c r="T169" i="89" a="1"/>
  <c r="T169" i="89" s="1"/>
  <c r="S169" i="89" a="1"/>
  <c r="S169" i="89" s="1"/>
  <c r="R169" i="89" a="1"/>
  <c r="R169" i="89" s="1"/>
  <c r="Q169" i="89" a="1"/>
  <c r="Q169" i="89" s="1"/>
  <c r="P169" i="89" a="1"/>
  <c r="P169" i="89" s="1"/>
  <c r="O169" i="89" a="1"/>
  <c r="O169" i="89" s="1"/>
  <c r="N169" i="89" a="1"/>
  <c r="N169" i="89" s="1"/>
  <c r="M169" i="89" a="1"/>
  <c r="M169" i="89" s="1"/>
  <c r="L169" i="89" a="1"/>
  <c r="L169" i="89" s="1"/>
  <c r="K169" i="89" a="1"/>
  <c r="K169" i="89" s="1"/>
  <c r="J169" i="89" a="1"/>
  <c r="J169" i="89" s="1"/>
  <c r="I169" i="89" a="1"/>
  <c r="I169" i="89" s="1"/>
  <c r="H169" i="89" a="1"/>
  <c r="H169" i="89" s="1"/>
  <c r="G169" i="89" a="1"/>
  <c r="G169" i="89" s="1"/>
  <c r="F169" i="89" a="1"/>
  <c r="F169" i="89" s="1"/>
  <c r="E169" i="89" a="1"/>
  <c r="E169" i="89" s="1"/>
  <c r="D169" i="89" a="1"/>
  <c r="D169" i="89" s="1"/>
  <c r="AH168" i="89" a="1"/>
  <c r="AH168" i="89" s="1"/>
  <c r="AG168" i="89" a="1"/>
  <c r="AG168" i="89" s="1"/>
  <c r="AF168" i="89" a="1"/>
  <c r="AF168" i="89" s="1"/>
  <c r="AE168" i="89" a="1"/>
  <c r="AE168" i="89" s="1"/>
  <c r="AD168" i="89" a="1"/>
  <c r="AD168" i="89" s="1"/>
  <c r="AC168" i="89" a="1"/>
  <c r="AC168" i="89" s="1"/>
  <c r="AB168" i="89" a="1"/>
  <c r="AB168" i="89" s="1"/>
  <c r="AA168" i="89" a="1"/>
  <c r="AA168" i="89" s="1"/>
  <c r="Z168" i="89" a="1"/>
  <c r="Z168" i="89" s="1"/>
  <c r="Y168" i="89" a="1"/>
  <c r="Y168" i="89" s="1"/>
  <c r="X168" i="89" a="1"/>
  <c r="X168" i="89" s="1"/>
  <c r="W168" i="89" a="1"/>
  <c r="W168" i="89" s="1"/>
  <c r="V168" i="89" a="1"/>
  <c r="V168" i="89" s="1"/>
  <c r="U168" i="89" a="1"/>
  <c r="U168" i="89" s="1"/>
  <c r="T168" i="89" a="1"/>
  <c r="T168" i="89" s="1"/>
  <c r="S168" i="89" a="1"/>
  <c r="S168" i="89" s="1"/>
  <c r="R168" i="89" a="1"/>
  <c r="R168" i="89" s="1"/>
  <c r="Q168" i="89" a="1"/>
  <c r="Q168" i="89" s="1"/>
  <c r="P168" i="89" a="1"/>
  <c r="P168" i="89" s="1"/>
  <c r="O168" i="89" a="1"/>
  <c r="O168" i="89" s="1"/>
  <c r="N168" i="89" a="1"/>
  <c r="N168" i="89" s="1"/>
  <c r="M168" i="89" a="1"/>
  <c r="M168" i="89" s="1"/>
  <c r="L168" i="89" a="1"/>
  <c r="L168" i="89" s="1"/>
  <c r="K168" i="89" a="1"/>
  <c r="K168" i="89" s="1"/>
  <c r="J168" i="89" a="1"/>
  <c r="J168" i="89" s="1"/>
  <c r="I168" i="89" a="1"/>
  <c r="I168" i="89" s="1"/>
  <c r="H168" i="89" a="1"/>
  <c r="H168" i="89" s="1"/>
  <c r="G168" i="89" a="1"/>
  <c r="G168" i="89" s="1"/>
  <c r="F168" i="89" a="1"/>
  <c r="F168" i="89" s="1"/>
  <c r="E168" i="89" a="1"/>
  <c r="E168" i="89" s="1"/>
  <c r="D168" i="89" a="1"/>
  <c r="D168" i="89" s="1"/>
  <c r="AH167" i="89" a="1"/>
  <c r="AH167" i="89" s="1"/>
  <c r="AG167" i="89" a="1"/>
  <c r="AG167" i="89" s="1"/>
  <c r="AF167" i="89" a="1"/>
  <c r="AF167" i="89" s="1"/>
  <c r="AE167" i="89" a="1"/>
  <c r="AE167" i="89" s="1"/>
  <c r="AD167" i="89" a="1"/>
  <c r="AD167" i="89" s="1"/>
  <c r="AC167" i="89" a="1"/>
  <c r="AC167" i="89" s="1"/>
  <c r="AB167" i="89" a="1"/>
  <c r="AB167" i="89" s="1"/>
  <c r="AA167" i="89" a="1"/>
  <c r="AA167" i="89" s="1"/>
  <c r="Z167" i="89" a="1"/>
  <c r="Z167" i="89" s="1"/>
  <c r="Y167" i="89" a="1"/>
  <c r="Y167" i="89" s="1"/>
  <c r="X167" i="89" a="1"/>
  <c r="X167" i="89" s="1"/>
  <c r="W167" i="89" a="1"/>
  <c r="W167" i="89" s="1"/>
  <c r="V167" i="89" a="1"/>
  <c r="V167" i="89" s="1"/>
  <c r="U167" i="89" a="1"/>
  <c r="U167" i="89" s="1"/>
  <c r="T167" i="89" a="1"/>
  <c r="T167" i="89" s="1"/>
  <c r="S167" i="89" a="1"/>
  <c r="S167" i="89" s="1"/>
  <c r="R167" i="89" a="1"/>
  <c r="R167" i="89" s="1"/>
  <c r="Q167" i="89" a="1"/>
  <c r="Q167" i="89" s="1"/>
  <c r="P167" i="89" a="1"/>
  <c r="P167" i="89" s="1"/>
  <c r="O167" i="89" a="1"/>
  <c r="O167" i="89" s="1"/>
  <c r="N167" i="89" a="1"/>
  <c r="N167" i="89" s="1"/>
  <c r="M167" i="89" a="1"/>
  <c r="M167" i="89" s="1"/>
  <c r="L167" i="89" a="1"/>
  <c r="L167" i="89" s="1"/>
  <c r="K167" i="89" a="1"/>
  <c r="K167" i="89" s="1"/>
  <c r="J167" i="89" a="1"/>
  <c r="J167" i="89" s="1"/>
  <c r="I167" i="89" a="1"/>
  <c r="I167" i="89" s="1"/>
  <c r="H167" i="89" a="1"/>
  <c r="H167" i="89" s="1"/>
  <c r="G167" i="89" a="1"/>
  <c r="G167" i="89" s="1"/>
  <c r="F167" i="89" a="1"/>
  <c r="F167" i="89" s="1"/>
  <c r="E167" i="89" a="1"/>
  <c r="E167" i="89" s="1"/>
  <c r="D167" i="89" a="1"/>
  <c r="D167" i="89" s="1"/>
  <c r="AH166" i="89" a="1"/>
  <c r="AH166" i="89" s="1"/>
  <c r="AG166" i="89" a="1"/>
  <c r="AG166" i="89" s="1"/>
  <c r="AF166" i="89" a="1"/>
  <c r="AF166" i="89" s="1"/>
  <c r="AE166" i="89" a="1"/>
  <c r="AE166" i="89" s="1"/>
  <c r="AD166" i="89" a="1"/>
  <c r="AD166" i="89" s="1"/>
  <c r="AC166" i="89" a="1"/>
  <c r="AC166" i="89" s="1"/>
  <c r="AB166" i="89" a="1"/>
  <c r="AB166" i="89" s="1"/>
  <c r="AA166" i="89" a="1"/>
  <c r="AA166" i="89" s="1"/>
  <c r="Z166" i="89" a="1"/>
  <c r="Z166" i="89" s="1"/>
  <c r="Y166" i="89" a="1"/>
  <c r="Y166" i="89" s="1"/>
  <c r="X166" i="89" a="1"/>
  <c r="X166" i="89" s="1"/>
  <c r="W166" i="89" a="1"/>
  <c r="W166" i="89" s="1"/>
  <c r="V166" i="89" a="1"/>
  <c r="V166" i="89" s="1"/>
  <c r="U166" i="89" a="1"/>
  <c r="U166" i="89" s="1"/>
  <c r="T166" i="89" a="1"/>
  <c r="T166" i="89" s="1"/>
  <c r="S166" i="89" a="1"/>
  <c r="S166" i="89" s="1"/>
  <c r="R166" i="89" a="1"/>
  <c r="R166" i="89" s="1"/>
  <c r="Q166" i="89" a="1"/>
  <c r="Q166" i="89" s="1"/>
  <c r="P166" i="89" a="1"/>
  <c r="P166" i="89" s="1"/>
  <c r="O166" i="89" a="1"/>
  <c r="O166" i="89" s="1"/>
  <c r="N166" i="89" a="1"/>
  <c r="N166" i="89" s="1"/>
  <c r="M166" i="89" a="1"/>
  <c r="M166" i="89" s="1"/>
  <c r="L166" i="89" a="1"/>
  <c r="L166" i="89" s="1"/>
  <c r="K166" i="89" a="1"/>
  <c r="K166" i="89" s="1"/>
  <c r="J166" i="89" a="1"/>
  <c r="J166" i="89" s="1"/>
  <c r="I166" i="89" a="1"/>
  <c r="I166" i="89" s="1"/>
  <c r="H166" i="89" a="1"/>
  <c r="H166" i="89" s="1"/>
  <c r="G166" i="89" a="1"/>
  <c r="G166" i="89" s="1"/>
  <c r="F166" i="89" a="1"/>
  <c r="F166" i="89" s="1"/>
  <c r="E166" i="89" a="1"/>
  <c r="E166" i="89" s="1"/>
  <c r="D166" i="89" a="1"/>
  <c r="D166" i="89" s="1"/>
  <c r="AH165" i="89" a="1"/>
  <c r="AH165" i="89" s="1"/>
  <c r="AG165" i="89" a="1"/>
  <c r="AG165" i="89" s="1"/>
  <c r="AF165" i="89" a="1"/>
  <c r="AF165" i="89" s="1"/>
  <c r="AE165" i="89" a="1"/>
  <c r="AE165" i="89" s="1"/>
  <c r="AD165" i="89" a="1"/>
  <c r="AD165" i="89" s="1"/>
  <c r="AC165" i="89" a="1"/>
  <c r="AC165" i="89" s="1"/>
  <c r="AB165" i="89" a="1"/>
  <c r="AB165" i="89" s="1"/>
  <c r="AA165" i="89" a="1"/>
  <c r="AA165" i="89" s="1"/>
  <c r="Z165" i="89" a="1"/>
  <c r="Z165" i="89" s="1"/>
  <c r="Y165" i="89" a="1"/>
  <c r="Y165" i="89" s="1"/>
  <c r="X165" i="89" a="1"/>
  <c r="X165" i="89" s="1"/>
  <c r="W165" i="89" a="1"/>
  <c r="W165" i="89" s="1"/>
  <c r="V165" i="89" a="1"/>
  <c r="V165" i="89" s="1"/>
  <c r="U165" i="89" a="1"/>
  <c r="U165" i="89" s="1"/>
  <c r="T165" i="89" a="1"/>
  <c r="T165" i="89" s="1"/>
  <c r="S165" i="89" a="1"/>
  <c r="S165" i="89" s="1"/>
  <c r="R165" i="89" a="1"/>
  <c r="R165" i="89" s="1"/>
  <c r="Q165" i="89" a="1"/>
  <c r="Q165" i="89" s="1"/>
  <c r="P165" i="89" a="1"/>
  <c r="P165" i="89" s="1"/>
  <c r="O165" i="89" a="1"/>
  <c r="O165" i="89" s="1"/>
  <c r="N165" i="89" a="1"/>
  <c r="N165" i="89" s="1"/>
  <c r="M165" i="89" a="1"/>
  <c r="M165" i="89" s="1"/>
  <c r="L165" i="89" a="1"/>
  <c r="L165" i="89" s="1"/>
  <c r="K165" i="89" a="1"/>
  <c r="K165" i="89" s="1"/>
  <c r="J165" i="89" a="1"/>
  <c r="J165" i="89" s="1"/>
  <c r="I165" i="89" a="1"/>
  <c r="I165" i="89" s="1"/>
  <c r="H165" i="89" a="1"/>
  <c r="H165" i="89" s="1"/>
  <c r="G165" i="89" a="1"/>
  <c r="G165" i="89" s="1"/>
  <c r="F165" i="89" a="1"/>
  <c r="F165" i="89" s="1"/>
  <c r="E165" i="89" a="1"/>
  <c r="E165" i="89" s="1"/>
  <c r="D165" i="89" a="1"/>
  <c r="D165" i="89" s="1"/>
  <c r="AH164" i="89" a="1"/>
  <c r="AH164" i="89" s="1"/>
  <c r="AG164" i="89" a="1"/>
  <c r="AG164" i="89" s="1"/>
  <c r="AF164" i="89" a="1"/>
  <c r="AF164" i="89" s="1"/>
  <c r="AE164" i="89" a="1"/>
  <c r="AE164" i="89" s="1"/>
  <c r="AD164" i="89" a="1"/>
  <c r="AD164" i="89" s="1"/>
  <c r="AC164" i="89" a="1"/>
  <c r="AC164" i="89" s="1"/>
  <c r="AB164" i="89" a="1"/>
  <c r="AB164" i="89" s="1"/>
  <c r="AA164" i="89" a="1"/>
  <c r="AA164" i="89" s="1"/>
  <c r="Z164" i="89" a="1"/>
  <c r="Z164" i="89" s="1"/>
  <c r="Y164" i="89" a="1"/>
  <c r="Y164" i="89" s="1"/>
  <c r="X164" i="89" a="1"/>
  <c r="X164" i="89" s="1"/>
  <c r="W164" i="89" a="1"/>
  <c r="W164" i="89" s="1"/>
  <c r="V164" i="89" a="1"/>
  <c r="V164" i="89" s="1"/>
  <c r="U164" i="89" a="1"/>
  <c r="U164" i="89" s="1"/>
  <c r="T164" i="89" a="1"/>
  <c r="T164" i="89" s="1"/>
  <c r="S164" i="89" a="1"/>
  <c r="S164" i="89" s="1"/>
  <c r="R164" i="89" a="1"/>
  <c r="R164" i="89" s="1"/>
  <c r="Q164" i="89" a="1"/>
  <c r="Q164" i="89" s="1"/>
  <c r="P164" i="89" a="1"/>
  <c r="P164" i="89" s="1"/>
  <c r="O164" i="89" a="1"/>
  <c r="O164" i="89" s="1"/>
  <c r="N164" i="89" a="1"/>
  <c r="N164" i="89" s="1"/>
  <c r="M164" i="89" a="1"/>
  <c r="M164" i="89" s="1"/>
  <c r="L164" i="89" a="1"/>
  <c r="L164" i="89" s="1"/>
  <c r="K164" i="89" a="1"/>
  <c r="K164" i="89" s="1"/>
  <c r="J164" i="89" a="1"/>
  <c r="J164" i="89" s="1"/>
  <c r="I164" i="89" a="1"/>
  <c r="I164" i="89" s="1"/>
  <c r="H164" i="89" a="1"/>
  <c r="H164" i="89" s="1"/>
  <c r="G164" i="89" a="1"/>
  <c r="G164" i="89" s="1"/>
  <c r="F164" i="89" a="1"/>
  <c r="F164" i="89" s="1"/>
  <c r="E164" i="89" a="1"/>
  <c r="E164" i="89" s="1"/>
  <c r="D164" i="89" a="1"/>
  <c r="D164" i="89" s="1"/>
  <c r="AH163" i="89" a="1"/>
  <c r="AH163" i="89" s="1"/>
  <c r="AG163" i="89" a="1"/>
  <c r="AG163" i="89" s="1"/>
  <c r="AF163" i="89" a="1"/>
  <c r="AF163" i="89" s="1"/>
  <c r="AE163" i="89" a="1"/>
  <c r="AE163" i="89" s="1"/>
  <c r="AD163" i="89" a="1"/>
  <c r="AD163" i="89" s="1"/>
  <c r="AC163" i="89" a="1"/>
  <c r="AC163" i="89" s="1"/>
  <c r="AB163" i="89" a="1"/>
  <c r="AB163" i="89" s="1"/>
  <c r="AA163" i="89" a="1"/>
  <c r="AA163" i="89" s="1"/>
  <c r="Z163" i="89" a="1"/>
  <c r="Z163" i="89" s="1"/>
  <c r="Y163" i="89" a="1"/>
  <c r="Y163" i="89" s="1"/>
  <c r="X163" i="89" a="1"/>
  <c r="X163" i="89" s="1"/>
  <c r="W163" i="89" a="1"/>
  <c r="W163" i="89" s="1"/>
  <c r="V163" i="89" a="1"/>
  <c r="V163" i="89" s="1"/>
  <c r="U163" i="89" a="1"/>
  <c r="U163" i="89" s="1"/>
  <c r="T163" i="89" a="1"/>
  <c r="T163" i="89" s="1"/>
  <c r="S163" i="89" a="1"/>
  <c r="S163" i="89" s="1"/>
  <c r="R163" i="89" a="1"/>
  <c r="R163" i="89" s="1"/>
  <c r="Q163" i="89" a="1"/>
  <c r="Q163" i="89" s="1"/>
  <c r="P163" i="89" a="1"/>
  <c r="P163" i="89" s="1"/>
  <c r="O163" i="89" a="1"/>
  <c r="O163" i="89" s="1"/>
  <c r="N163" i="89" a="1"/>
  <c r="N163" i="89" s="1"/>
  <c r="M163" i="89" a="1"/>
  <c r="M163" i="89" s="1"/>
  <c r="L163" i="89" a="1"/>
  <c r="L163" i="89" s="1"/>
  <c r="K163" i="89" a="1"/>
  <c r="K163" i="89" s="1"/>
  <c r="J163" i="89" a="1"/>
  <c r="J163" i="89" s="1"/>
  <c r="I163" i="89" a="1"/>
  <c r="I163" i="89" s="1"/>
  <c r="H163" i="89" a="1"/>
  <c r="H163" i="89" s="1"/>
  <c r="G163" i="89" a="1"/>
  <c r="G163" i="89" s="1"/>
  <c r="F163" i="89" a="1"/>
  <c r="F163" i="89" s="1"/>
  <c r="E163" i="89" a="1"/>
  <c r="E163" i="89" s="1"/>
  <c r="D163" i="89" a="1"/>
  <c r="D163" i="89" s="1"/>
  <c r="AH162" i="89" a="1"/>
  <c r="AH162" i="89" s="1"/>
  <c r="AG162" i="89" a="1"/>
  <c r="AG162" i="89" s="1"/>
  <c r="AF162" i="89" a="1"/>
  <c r="AF162" i="89" s="1"/>
  <c r="AE162" i="89" a="1"/>
  <c r="AE162" i="89" s="1"/>
  <c r="AD162" i="89" a="1"/>
  <c r="AD162" i="89" s="1"/>
  <c r="AC162" i="89" a="1"/>
  <c r="AC162" i="89" s="1"/>
  <c r="AB162" i="89" a="1"/>
  <c r="AB162" i="89" s="1"/>
  <c r="AA162" i="89" a="1"/>
  <c r="AA162" i="89" s="1"/>
  <c r="Z162" i="89" a="1"/>
  <c r="Z162" i="89" s="1"/>
  <c r="Y162" i="89" a="1"/>
  <c r="Y162" i="89" s="1"/>
  <c r="X162" i="89" a="1"/>
  <c r="X162" i="89" s="1"/>
  <c r="W162" i="89" a="1"/>
  <c r="W162" i="89" s="1"/>
  <c r="V162" i="89" a="1"/>
  <c r="V162" i="89" s="1"/>
  <c r="U162" i="89" a="1"/>
  <c r="U162" i="89" s="1"/>
  <c r="T162" i="89" a="1"/>
  <c r="T162" i="89" s="1"/>
  <c r="S162" i="89" a="1"/>
  <c r="S162" i="89" s="1"/>
  <c r="R162" i="89" a="1"/>
  <c r="R162" i="89" s="1"/>
  <c r="Q162" i="89" a="1"/>
  <c r="Q162" i="89" s="1"/>
  <c r="P162" i="89" a="1"/>
  <c r="P162" i="89" s="1"/>
  <c r="O162" i="89" a="1"/>
  <c r="O162" i="89" s="1"/>
  <c r="N162" i="89" a="1"/>
  <c r="N162" i="89" s="1"/>
  <c r="M162" i="89" a="1"/>
  <c r="M162" i="89" s="1"/>
  <c r="L162" i="89" a="1"/>
  <c r="L162" i="89" s="1"/>
  <c r="K162" i="89" a="1"/>
  <c r="K162" i="89" s="1"/>
  <c r="J162" i="89" a="1"/>
  <c r="J162" i="89" s="1"/>
  <c r="I162" i="89" a="1"/>
  <c r="I162" i="89" s="1"/>
  <c r="H162" i="89" a="1"/>
  <c r="H162" i="89" s="1"/>
  <c r="G162" i="89" a="1"/>
  <c r="G162" i="89" s="1"/>
  <c r="F162" i="89" a="1"/>
  <c r="F162" i="89" s="1"/>
  <c r="E162" i="89" a="1"/>
  <c r="E162" i="89" s="1"/>
  <c r="D162" i="89" a="1"/>
  <c r="D162" i="89" s="1"/>
  <c r="AH161" i="89" a="1"/>
  <c r="AH161" i="89" s="1"/>
  <c r="AG161" i="89" a="1"/>
  <c r="AG161" i="89" s="1"/>
  <c r="AF161" i="89" a="1"/>
  <c r="AF161" i="89" s="1"/>
  <c r="AE161" i="89" a="1"/>
  <c r="AE161" i="89" s="1"/>
  <c r="AD161" i="89" a="1"/>
  <c r="AD161" i="89" s="1"/>
  <c r="AC161" i="89" a="1"/>
  <c r="AC161" i="89" s="1"/>
  <c r="AB161" i="89" a="1"/>
  <c r="AB161" i="89" s="1"/>
  <c r="AA161" i="89" a="1"/>
  <c r="AA161" i="89" s="1"/>
  <c r="Z161" i="89" a="1"/>
  <c r="Z161" i="89" s="1"/>
  <c r="Y161" i="89" a="1"/>
  <c r="Y161" i="89" s="1"/>
  <c r="X161" i="89" a="1"/>
  <c r="X161" i="89" s="1"/>
  <c r="W161" i="89" a="1"/>
  <c r="W161" i="89" s="1"/>
  <c r="V161" i="89" a="1"/>
  <c r="V161" i="89" s="1"/>
  <c r="U161" i="89" a="1"/>
  <c r="U161" i="89" s="1"/>
  <c r="T161" i="89" a="1"/>
  <c r="T161" i="89" s="1"/>
  <c r="S161" i="89" a="1"/>
  <c r="S161" i="89" s="1"/>
  <c r="R161" i="89" a="1"/>
  <c r="R161" i="89" s="1"/>
  <c r="Q161" i="89" a="1"/>
  <c r="Q161" i="89" s="1"/>
  <c r="P161" i="89" a="1"/>
  <c r="P161" i="89" s="1"/>
  <c r="O161" i="89" a="1"/>
  <c r="O161" i="89" s="1"/>
  <c r="N161" i="89" a="1"/>
  <c r="N161" i="89" s="1"/>
  <c r="M161" i="89" a="1"/>
  <c r="M161" i="89" s="1"/>
  <c r="L161" i="89" a="1"/>
  <c r="L161" i="89" s="1"/>
  <c r="K161" i="89" a="1"/>
  <c r="K161" i="89" s="1"/>
  <c r="J161" i="89" a="1"/>
  <c r="J161" i="89" s="1"/>
  <c r="I161" i="89" a="1"/>
  <c r="I161" i="89" s="1"/>
  <c r="H161" i="89" a="1"/>
  <c r="H161" i="89" s="1"/>
  <c r="G161" i="89" a="1"/>
  <c r="G161" i="89" s="1"/>
  <c r="F161" i="89" a="1"/>
  <c r="F161" i="89" s="1"/>
  <c r="E161" i="89" a="1"/>
  <c r="E161" i="89" s="1"/>
  <c r="D161" i="89" a="1"/>
  <c r="D161" i="89" s="1"/>
  <c r="AH160" i="89" a="1"/>
  <c r="AH160" i="89" s="1"/>
  <c r="AG160" i="89" a="1"/>
  <c r="AG160" i="89" s="1"/>
  <c r="AF160" i="89" a="1"/>
  <c r="AF160" i="89" s="1"/>
  <c r="AE160" i="89" a="1"/>
  <c r="AE160" i="89" s="1"/>
  <c r="AD160" i="89" a="1"/>
  <c r="AD160" i="89" s="1"/>
  <c r="AC160" i="89" a="1"/>
  <c r="AC160" i="89" s="1"/>
  <c r="AB160" i="89" a="1"/>
  <c r="AB160" i="89" s="1"/>
  <c r="AA160" i="89" a="1"/>
  <c r="AA160" i="89" s="1"/>
  <c r="Z160" i="89" a="1"/>
  <c r="Z160" i="89" s="1"/>
  <c r="Y160" i="89" a="1"/>
  <c r="Y160" i="89" s="1"/>
  <c r="X160" i="89" a="1"/>
  <c r="X160" i="89" s="1"/>
  <c r="W160" i="89" a="1"/>
  <c r="W160" i="89" s="1"/>
  <c r="V160" i="89" a="1"/>
  <c r="V160" i="89" s="1"/>
  <c r="U160" i="89" a="1"/>
  <c r="U160" i="89" s="1"/>
  <c r="T160" i="89" a="1"/>
  <c r="T160" i="89" s="1"/>
  <c r="S160" i="89" a="1"/>
  <c r="S160" i="89" s="1"/>
  <c r="R160" i="89" a="1"/>
  <c r="R160" i="89" s="1"/>
  <c r="Q160" i="89" a="1"/>
  <c r="Q160" i="89" s="1"/>
  <c r="P160" i="89" a="1"/>
  <c r="P160" i="89" s="1"/>
  <c r="O160" i="89" a="1"/>
  <c r="O160" i="89" s="1"/>
  <c r="N160" i="89" a="1"/>
  <c r="N160" i="89" s="1"/>
  <c r="M160" i="89" a="1"/>
  <c r="M160" i="89" s="1"/>
  <c r="L160" i="89" a="1"/>
  <c r="L160" i="89" s="1"/>
  <c r="K160" i="89" a="1"/>
  <c r="K160" i="89" s="1"/>
  <c r="J160" i="89" a="1"/>
  <c r="J160" i="89" s="1"/>
  <c r="I160" i="89" a="1"/>
  <c r="I160" i="89" s="1"/>
  <c r="H160" i="89" a="1"/>
  <c r="H160" i="89" s="1"/>
  <c r="G160" i="89" a="1"/>
  <c r="G160" i="89" s="1"/>
  <c r="F160" i="89" a="1"/>
  <c r="F160" i="89" s="1"/>
  <c r="E160" i="89" a="1"/>
  <c r="E160" i="89" s="1"/>
  <c r="D160" i="89" a="1"/>
  <c r="D160" i="89" s="1"/>
  <c r="AH159" i="89" a="1"/>
  <c r="AH159" i="89" s="1"/>
  <c r="AG159" i="89" a="1"/>
  <c r="AG159" i="89" s="1"/>
  <c r="AF159" i="89" a="1"/>
  <c r="AF159" i="89" s="1"/>
  <c r="AE159" i="89" a="1"/>
  <c r="AE159" i="89" s="1"/>
  <c r="AD159" i="89" a="1"/>
  <c r="AD159" i="89" s="1"/>
  <c r="AC159" i="89" a="1"/>
  <c r="AC159" i="89" s="1"/>
  <c r="AB159" i="89" a="1"/>
  <c r="AB159" i="89" s="1"/>
  <c r="AA159" i="89" a="1"/>
  <c r="AA159" i="89" s="1"/>
  <c r="Z159" i="89" a="1"/>
  <c r="Z159" i="89" s="1"/>
  <c r="Y159" i="89" a="1"/>
  <c r="Y159" i="89" s="1"/>
  <c r="X159" i="89" a="1"/>
  <c r="X159" i="89" s="1"/>
  <c r="W159" i="89" a="1"/>
  <c r="W159" i="89" s="1"/>
  <c r="V159" i="89" a="1"/>
  <c r="V159" i="89" s="1"/>
  <c r="U159" i="89" a="1"/>
  <c r="U159" i="89" s="1"/>
  <c r="T159" i="89" a="1"/>
  <c r="T159" i="89" s="1"/>
  <c r="S159" i="89" a="1"/>
  <c r="S159" i="89" s="1"/>
  <c r="R159" i="89" a="1"/>
  <c r="R159" i="89" s="1"/>
  <c r="Q159" i="89" a="1"/>
  <c r="Q159" i="89" s="1"/>
  <c r="P159" i="89" a="1"/>
  <c r="P159" i="89" s="1"/>
  <c r="O159" i="89" a="1"/>
  <c r="O159" i="89" s="1"/>
  <c r="N159" i="89" a="1"/>
  <c r="N159" i="89" s="1"/>
  <c r="M159" i="89" a="1"/>
  <c r="M159" i="89" s="1"/>
  <c r="L159" i="89" a="1"/>
  <c r="L159" i="89" s="1"/>
  <c r="K159" i="89" a="1"/>
  <c r="K159" i="89" s="1"/>
  <c r="J159" i="89" a="1"/>
  <c r="J159" i="89" s="1"/>
  <c r="I159" i="89" a="1"/>
  <c r="I159" i="89" s="1"/>
  <c r="H159" i="89" a="1"/>
  <c r="H159" i="89" s="1"/>
  <c r="G159" i="89" a="1"/>
  <c r="G159" i="89" s="1"/>
  <c r="F159" i="89" a="1"/>
  <c r="F159" i="89" s="1"/>
  <c r="E159" i="89" a="1"/>
  <c r="E159" i="89" s="1"/>
  <c r="D159" i="89" a="1"/>
  <c r="D159" i="89" s="1"/>
  <c r="AH158" i="89" a="1"/>
  <c r="AH158" i="89" s="1"/>
  <c r="AG158" i="89" a="1"/>
  <c r="AG158" i="89" s="1"/>
  <c r="AF158" i="89" a="1"/>
  <c r="AF158" i="89" s="1"/>
  <c r="AE158" i="89" a="1"/>
  <c r="AE158" i="89" s="1"/>
  <c r="AD158" i="89" a="1"/>
  <c r="AD158" i="89" s="1"/>
  <c r="AC158" i="89" a="1"/>
  <c r="AC158" i="89" s="1"/>
  <c r="AB158" i="89" a="1"/>
  <c r="AB158" i="89" s="1"/>
  <c r="AA158" i="89" a="1"/>
  <c r="AA158" i="89" s="1"/>
  <c r="Z158" i="89" a="1"/>
  <c r="Z158" i="89" s="1"/>
  <c r="Y158" i="89" a="1"/>
  <c r="Y158" i="89" s="1"/>
  <c r="X158" i="89" a="1"/>
  <c r="X158" i="89" s="1"/>
  <c r="W158" i="89" a="1"/>
  <c r="W158" i="89" s="1"/>
  <c r="V158" i="89" a="1"/>
  <c r="V158" i="89" s="1"/>
  <c r="U158" i="89" a="1"/>
  <c r="U158" i="89" s="1"/>
  <c r="T158" i="89" a="1"/>
  <c r="T158" i="89" s="1"/>
  <c r="S158" i="89" a="1"/>
  <c r="S158" i="89" s="1"/>
  <c r="R158" i="89" a="1"/>
  <c r="R158" i="89" s="1"/>
  <c r="Q158" i="89" a="1"/>
  <c r="Q158" i="89" s="1"/>
  <c r="P158" i="89" a="1"/>
  <c r="P158" i="89" s="1"/>
  <c r="O158" i="89" a="1"/>
  <c r="O158" i="89" s="1"/>
  <c r="N158" i="89" a="1"/>
  <c r="N158" i="89" s="1"/>
  <c r="M158" i="89" a="1"/>
  <c r="M158" i="89" s="1"/>
  <c r="L158" i="89" a="1"/>
  <c r="L158" i="89" s="1"/>
  <c r="K158" i="89" a="1"/>
  <c r="K158" i="89" s="1"/>
  <c r="J158" i="89" a="1"/>
  <c r="J158" i="89" s="1"/>
  <c r="I158" i="89" a="1"/>
  <c r="I158" i="89" s="1"/>
  <c r="H158" i="89" a="1"/>
  <c r="H158" i="89" s="1"/>
  <c r="G158" i="89" a="1"/>
  <c r="G158" i="89" s="1"/>
  <c r="F158" i="89" a="1"/>
  <c r="F158" i="89" s="1"/>
  <c r="E158" i="89" a="1"/>
  <c r="E158" i="89" s="1"/>
  <c r="D158" i="89" a="1"/>
  <c r="D158" i="89" s="1"/>
  <c r="AH157" i="89" a="1"/>
  <c r="AH157" i="89" s="1"/>
  <c r="AG157" i="89" a="1"/>
  <c r="AG157" i="89" s="1"/>
  <c r="AF157" i="89" a="1"/>
  <c r="AF157" i="89" s="1"/>
  <c r="AE157" i="89" a="1"/>
  <c r="AE157" i="89" s="1"/>
  <c r="AD157" i="89" a="1"/>
  <c r="AD157" i="89" s="1"/>
  <c r="AC157" i="89" a="1"/>
  <c r="AC157" i="89" s="1"/>
  <c r="AB157" i="89" a="1"/>
  <c r="AB157" i="89" s="1"/>
  <c r="AA157" i="89" a="1"/>
  <c r="AA157" i="89" s="1"/>
  <c r="Z157" i="89" a="1"/>
  <c r="Z157" i="89" s="1"/>
  <c r="Y157" i="89" a="1"/>
  <c r="Y157" i="89" s="1"/>
  <c r="X157" i="89" a="1"/>
  <c r="X157" i="89" s="1"/>
  <c r="W157" i="89" a="1"/>
  <c r="W157" i="89" s="1"/>
  <c r="V157" i="89" a="1"/>
  <c r="V157" i="89" s="1"/>
  <c r="U157" i="89" a="1"/>
  <c r="U157" i="89" s="1"/>
  <c r="T157" i="89" a="1"/>
  <c r="T157" i="89" s="1"/>
  <c r="S157" i="89" a="1"/>
  <c r="S157" i="89" s="1"/>
  <c r="R157" i="89" a="1"/>
  <c r="R157" i="89" s="1"/>
  <c r="Q157" i="89" a="1"/>
  <c r="Q157" i="89" s="1"/>
  <c r="P157" i="89" a="1"/>
  <c r="P157" i="89" s="1"/>
  <c r="O157" i="89" a="1"/>
  <c r="O157" i="89" s="1"/>
  <c r="N157" i="89" a="1"/>
  <c r="N157" i="89" s="1"/>
  <c r="M157" i="89" a="1"/>
  <c r="M157" i="89" s="1"/>
  <c r="L157" i="89" a="1"/>
  <c r="L157" i="89" s="1"/>
  <c r="K157" i="89" a="1"/>
  <c r="K157" i="89" s="1"/>
  <c r="J157" i="89" a="1"/>
  <c r="J157" i="89" s="1"/>
  <c r="I157" i="89" a="1"/>
  <c r="I157" i="89" s="1"/>
  <c r="H157" i="89" a="1"/>
  <c r="H157" i="89" s="1"/>
  <c r="G157" i="89" a="1"/>
  <c r="G157" i="89" s="1"/>
  <c r="F157" i="89" a="1"/>
  <c r="F157" i="89" s="1"/>
  <c r="E157" i="89" a="1"/>
  <c r="E157" i="89" s="1"/>
  <c r="D157" i="89" a="1"/>
  <c r="D157" i="89" s="1"/>
  <c r="AH156" i="89" a="1"/>
  <c r="AH156" i="89" s="1"/>
  <c r="AG156" i="89" a="1"/>
  <c r="AG156" i="89" s="1"/>
  <c r="AF156" i="89" a="1"/>
  <c r="AF156" i="89" s="1"/>
  <c r="AE156" i="89" a="1"/>
  <c r="AE156" i="89" s="1"/>
  <c r="AD156" i="89" a="1"/>
  <c r="AD156" i="89" s="1"/>
  <c r="AC156" i="89" a="1"/>
  <c r="AC156" i="89" s="1"/>
  <c r="AB156" i="89" a="1"/>
  <c r="AB156" i="89" s="1"/>
  <c r="AA156" i="89" a="1"/>
  <c r="AA156" i="89" s="1"/>
  <c r="Z156" i="89" a="1"/>
  <c r="Z156" i="89" s="1"/>
  <c r="Y156" i="89" a="1"/>
  <c r="Y156" i="89" s="1"/>
  <c r="X156" i="89" a="1"/>
  <c r="X156" i="89" s="1"/>
  <c r="W156" i="89" a="1"/>
  <c r="W156" i="89" s="1"/>
  <c r="V156" i="89" a="1"/>
  <c r="V156" i="89" s="1"/>
  <c r="U156" i="89" a="1"/>
  <c r="U156" i="89" s="1"/>
  <c r="T156" i="89" a="1"/>
  <c r="T156" i="89" s="1"/>
  <c r="S156" i="89" a="1"/>
  <c r="S156" i="89" s="1"/>
  <c r="R156" i="89" a="1"/>
  <c r="R156" i="89" s="1"/>
  <c r="Q156" i="89" a="1"/>
  <c r="Q156" i="89" s="1"/>
  <c r="P156" i="89" a="1"/>
  <c r="P156" i="89" s="1"/>
  <c r="O156" i="89" a="1"/>
  <c r="O156" i="89" s="1"/>
  <c r="N156" i="89" a="1"/>
  <c r="N156" i="89" s="1"/>
  <c r="M156" i="89" a="1"/>
  <c r="M156" i="89" s="1"/>
  <c r="L156" i="89" a="1"/>
  <c r="L156" i="89" s="1"/>
  <c r="K156" i="89" a="1"/>
  <c r="K156" i="89" s="1"/>
  <c r="J156" i="89" a="1"/>
  <c r="J156" i="89" s="1"/>
  <c r="I156" i="89" a="1"/>
  <c r="I156" i="89" s="1"/>
  <c r="H156" i="89" a="1"/>
  <c r="H156" i="89" s="1"/>
  <c r="G156" i="89" a="1"/>
  <c r="G156" i="89" s="1"/>
  <c r="F156" i="89" a="1"/>
  <c r="F156" i="89" s="1"/>
  <c r="E156" i="89" a="1"/>
  <c r="E156" i="89" s="1"/>
  <c r="D156" i="89" a="1"/>
  <c r="D156" i="89" s="1"/>
  <c r="AH155" i="89" a="1"/>
  <c r="AH155" i="89" s="1"/>
  <c r="AG155" i="89" a="1"/>
  <c r="AG155" i="89" s="1"/>
  <c r="AF155" i="89" a="1"/>
  <c r="AF155" i="89" s="1"/>
  <c r="AE155" i="89" a="1"/>
  <c r="AE155" i="89" s="1"/>
  <c r="AD155" i="89" a="1"/>
  <c r="AD155" i="89" s="1"/>
  <c r="AC155" i="89" a="1"/>
  <c r="AC155" i="89" s="1"/>
  <c r="AB155" i="89" a="1"/>
  <c r="AB155" i="89" s="1"/>
  <c r="AA155" i="89" a="1"/>
  <c r="AA155" i="89" s="1"/>
  <c r="Z155" i="89" a="1"/>
  <c r="Z155" i="89" s="1"/>
  <c r="Y155" i="89" a="1"/>
  <c r="Y155" i="89" s="1"/>
  <c r="X155" i="89" a="1"/>
  <c r="X155" i="89" s="1"/>
  <c r="W155" i="89" a="1"/>
  <c r="W155" i="89" s="1"/>
  <c r="V155" i="89" a="1"/>
  <c r="V155" i="89" s="1"/>
  <c r="U155" i="89" a="1"/>
  <c r="U155" i="89" s="1"/>
  <c r="T155" i="89" a="1"/>
  <c r="T155" i="89" s="1"/>
  <c r="S155" i="89" a="1"/>
  <c r="S155" i="89" s="1"/>
  <c r="R155" i="89" a="1"/>
  <c r="R155" i="89" s="1"/>
  <c r="Q155" i="89" a="1"/>
  <c r="Q155" i="89" s="1"/>
  <c r="P155" i="89" a="1"/>
  <c r="P155" i="89" s="1"/>
  <c r="O155" i="89" a="1"/>
  <c r="O155" i="89" s="1"/>
  <c r="N155" i="89" a="1"/>
  <c r="N155" i="89" s="1"/>
  <c r="M155" i="89" a="1"/>
  <c r="M155" i="89" s="1"/>
  <c r="L155" i="89" a="1"/>
  <c r="L155" i="89" s="1"/>
  <c r="K155" i="89" a="1"/>
  <c r="K155" i="89" s="1"/>
  <c r="J155" i="89" a="1"/>
  <c r="J155" i="89" s="1"/>
  <c r="I155" i="89" a="1"/>
  <c r="I155" i="89" s="1"/>
  <c r="H155" i="89" a="1"/>
  <c r="H155" i="89" s="1"/>
  <c r="G155" i="89" a="1"/>
  <c r="G155" i="89" s="1"/>
  <c r="F155" i="89" a="1"/>
  <c r="F155" i="89" s="1"/>
  <c r="E155" i="89" a="1"/>
  <c r="E155" i="89" s="1"/>
  <c r="D155" i="89" a="1"/>
  <c r="D155" i="89" s="1"/>
  <c r="AH154" i="89" a="1"/>
  <c r="AH154" i="89" s="1"/>
  <c r="AG154" i="89" a="1"/>
  <c r="AG154" i="89" s="1"/>
  <c r="AF154" i="89" a="1"/>
  <c r="AF154" i="89" s="1"/>
  <c r="AE154" i="89" a="1"/>
  <c r="AE154" i="89" s="1"/>
  <c r="AD154" i="89" a="1"/>
  <c r="AD154" i="89" s="1"/>
  <c r="AC154" i="89" a="1"/>
  <c r="AC154" i="89" s="1"/>
  <c r="AB154" i="89" a="1"/>
  <c r="AB154" i="89" s="1"/>
  <c r="AA154" i="89" a="1"/>
  <c r="AA154" i="89" s="1"/>
  <c r="Z154" i="89" a="1"/>
  <c r="Z154" i="89" s="1"/>
  <c r="Y154" i="89" a="1"/>
  <c r="Y154" i="89" s="1"/>
  <c r="X154" i="89" a="1"/>
  <c r="X154" i="89" s="1"/>
  <c r="W154" i="89" a="1"/>
  <c r="W154" i="89" s="1"/>
  <c r="V154" i="89" a="1"/>
  <c r="V154" i="89" s="1"/>
  <c r="U154" i="89" a="1"/>
  <c r="U154" i="89" s="1"/>
  <c r="T154" i="89" a="1"/>
  <c r="T154" i="89" s="1"/>
  <c r="S154" i="89" a="1"/>
  <c r="S154" i="89" s="1"/>
  <c r="R154" i="89" a="1"/>
  <c r="R154" i="89" s="1"/>
  <c r="Q154" i="89" a="1"/>
  <c r="Q154" i="89" s="1"/>
  <c r="P154" i="89" a="1"/>
  <c r="P154" i="89" s="1"/>
  <c r="O154" i="89" a="1"/>
  <c r="O154" i="89" s="1"/>
  <c r="N154" i="89" a="1"/>
  <c r="N154" i="89" s="1"/>
  <c r="M154" i="89" a="1"/>
  <c r="M154" i="89" s="1"/>
  <c r="L154" i="89" a="1"/>
  <c r="L154" i="89" s="1"/>
  <c r="K154" i="89" a="1"/>
  <c r="K154" i="89" s="1"/>
  <c r="J154" i="89" a="1"/>
  <c r="J154" i="89" s="1"/>
  <c r="I154" i="89" a="1"/>
  <c r="I154" i="89" s="1"/>
  <c r="H154" i="89" a="1"/>
  <c r="H154" i="89" s="1"/>
  <c r="G154" i="89" a="1"/>
  <c r="G154" i="89" s="1"/>
  <c r="F154" i="89" a="1"/>
  <c r="F154" i="89" s="1"/>
  <c r="E154" i="89" a="1"/>
  <c r="E154" i="89" s="1"/>
  <c r="D154" i="89" a="1"/>
  <c r="D154" i="89" s="1"/>
  <c r="AH153" i="89" a="1"/>
  <c r="AH153" i="89" s="1"/>
  <c r="AG153" i="89" a="1"/>
  <c r="AG153" i="89" s="1"/>
  <c r="AF153" i="89" a="1"/>
  <c r="AF153" i="89" s="1"/>
  <c r="AE153" i="89" a="1"/>
  <c r="AE153" i="89" s="1"/>
  <c r="AD153" i="89" a="1"/>
  <c r="AD153" i="89" s="1"/>
  <c r="AC153" i="89" a="1"/>
  <c r="AC153" i="89" s="1"/>
  <c r="AB153" i="89" a="1"/>
  <c r="AB153" i="89" s="1"/>
  <c r="AA153" i="89" a="1"/>
  <c r="AA153" i="89" s="1"/>
  <c r="Z153" i="89" a="1"/>
  <c r="Z153" i="89" s="1"/>
  <c r="Y153" i="89" a="1"/>
  <c r="Y153" i="89" s="1"/>
  <c r="X153" i="89" a="1"/>
  <c r="X153" i="89" s="1"/>
  <c r="W153" i="89" a="1"/>
  <c r="W153" i="89" s="1"/>
  <c r="V153" i="89" a="1"/>
  <c r="V153" i="89" s="1"/>
  <c r="U153" i="89" a="1"/>
  <c r="U153" i="89" s="1"/>
  <c r="T153" i="89" a="1"/>
  <c r="T153" i="89" s="1"/>
  <c r="S153" i="89" a="1"/>
  <c r="S153" i="89" s="1"/>
  <c r="R153" i="89" a="1"/>
  <c r="R153" i="89" s="1"/>
  <c r="Q153" i="89" a="1"/>
  <c r="Q153" i="89" s="1"/>
  <c r="P153" i="89" a="1"/>
  <c r="P153" i="89" s="1"/>
  <c r="O153" i="89" a="1"/>
  <c r="O153" i="89" s="1"/>
  <c r="N153" i="89" a="1"/>
  <c r="N153" i="89" s="1"/>
  <c r="M153" i="89" a="1"/>
  <c r="M153" i="89" s="1"/>
  <c r="L153" i="89" a="1"/>
  <c r="L153" i="89" s="1"/>
  <c r="K153" i="89" a="1"/>
  <c r="K153" i="89" s="1"/>
  <c r="J153" i="89" a="1"/>
  <c r="J153" i="89" s="1"/>
  <c r="I153" i="89" a="1"/>
  <c r="I153" i="89" s="1"/>
  <c r="H153" i="89" a="1"/>
  <c r="H153" i="89" s="1"/>
  <c r="G153" i="89" a="1"/>
  <c r="G153" i="89" s="1"/>
  <c r="F153" i="89" a="1"/>
  <c r="F153" i="89" s="1"/>
  <c r="E153" i="89" a="1"/>
  <c r="E153" i="89" s="1"/>
  <c r="D153" i="89" a="1"/>
  <c r="D153" i="89" s="1"/>
  <c r="AH152" i="89" a="1"/>
  <c r="AH152" i="89" s="1"/>
  <c r="AG152" i="89" a="1"/>
  <c r="AG152" i="89" s="1"/>
  <c r="AF152" i="89" a="1"/>
  <c r="AF152" i="89" s="1"/>
  <c r="AE152" i="89" a="1"/>
  <c r="AE152" i="89" s="1"/>
  <c r="AD152" i="89" a="1"/>
  <c r="AD152" i="89" s="1"/>
  <c r="AC152" i="89" a="1"/>
  <c r="AC152" i="89" s="1"/>
  <c r="AB152" i="89" a="1"/>
  <c r="AB152" i="89" s="1"/>
  <c r="AA152" i="89" a="1"/>
  <c r="AA152" i="89" s="1"/>
  <c r="Z152" i="89" a="1"/>
  <c r="Z152" i="89" s="1"/>
  <c r="Y152" i="89" a="1"/>
  <c r="Y152" i="89" s="1"/>
  <c r="X152" i="89" a="1"/>
  <c r="X152" i="89" s="1"/>
  <c r="W152" i="89" a="1"/>
  <c r="W152" i="89" s="1"/>
  <c r="V152" i="89" a="1"/>
  <c r="V152" i="89" s="1"/>
  <c r="U152" i="89" a="1"/>
  <c r="U152" i="89" s="1"/>
  <c r="T152" i="89" a="1"/>
  <c r="T152" i="89" s="1"/>
  <c r="S152" i="89" a="1"/>
  <c r="S152" i="89" s="1"/>
  <c r="R152" i="89" a="1"/>
  <c r="R152" i="89" s="1"/>
  <c r="Q152" i="89" a="1"/>
  <c r="Q152" i="89" s="1"/>
  <c r="P152" i="89" a="1"/>
  <c r="P152" i="89" s="1"/>
  <c r="O152" i="89" a="1"/>
  <c r="O152" i="89" s="1"/>
  <c r="N152" i="89" a="1"/>
  <c r="N152" i="89" s="1"/>
  <c r="M152" i="89" a="1"/>
  <c r="M152" i="89" s="1"/>
  <c r="L152" i="89" a="1"/>
  <c r="L152" i="89" s="1"/>
  <c r="K152" i="89" a="1"/>
  <c r="K152" i="89" s="1"/>
  <c r="J152" i="89" a="1"/>
  <c r="J152" i="89" s="1"/>
  <c r="I152" i="89" a="1"/>
  <c r="I152" i="89" s="1"/>
  <c r="H152" i="89" a="1"/>
  <c r="H152" i="89" s="1"/>
  <c r="G152" i="89" a="1"/>
  <c r="G152" i="89" s="1"/>
  <c r="F152" i="89" a="1"/>
  <c r="F152" i="89" s="1"/>
  <c r="E152" i="89" a="1"/>
  <c r="E152" i="89" s="1"/>
  <c r="D152" i="89" a="1"/>
  <c r="D152" i="89" s="1"/>
  <c r="AH151" i="89" a="1"/>
  <c r="AH151" i="89" s="1"/>
  <c r="AG151" i="89" a="1"/>
  <c r="AG151" i="89" s="1"/>
  <c r="AF151" i="89" a="1"/>
  <c r="AF151" i="89" s="1"/>
  <c r="AE151" i="89" a="1"/>
  <c r="AE151" i="89" s="1"/>
  <c r="AD151" i="89" a="1"/>
  <c r="AD151" i="89" s="1"/>
  <c r="AC151" i="89" a="1"/>
  <c r="AC151" i="89" s="1"/>
  <c r="AB151" i="89" a="1"/>
  <c r="AB151" i="89" s="1"/>
  <c r="AA151" i="89" a="1"/>
  <c r="AA151" i="89" s="1"/>
  <c r="Z151" i="89" a="1"/>
  <c r="Z151" i="89" s="1"/>
  <c r="Y151" i="89" a="1"/>
  <c r="Y151" i="89" s="1"/>
  <c r="X151" i="89" a="1"/>
  <c r="X151" i="89" s="1"/>
  <c r="W151" i="89" a="1"/>
  <c r="W151" i="89" s="1"/>
  <c r="V151" i="89" a="1"/>
  <c r="V151" i="89" s="1"/>
  <c r="U151" i="89" a="1"/>
  <c r="U151" i="89" s="1"/>
  <c r="T151" i="89" a="1"/>
  <c r="T151" i="89" s="1"/>
  <c r="S151" i="89" a="1"/>
  <c r="S151" i="89" s="1"/>
  <c r="R151" i="89" a="1"/>
  <c r="R151" i="89" s="1"/>
  <c r="Q151" i="89" a="1"/>
  <c r="Q151" i="89" s="1"/>
  <c r="P151" i="89" a="1"/>
  <c r="P151" i="89" s="1"/>
  <c r="O151" i="89" a="1"/>
  <c r="O151" i="89" s="1"/>
  <c r="N151" i="89" a="1"/>
  <c r="N151" i="89" s="1"/>
  <c r="M151" i="89" a="1"/>
  <c r="M151" i="89" s="1"/>
  <c r="L151" i="89" a="1"/>
  <c r="L151" i="89" s="1"/>
  <c r="K151" i="89" a="1"/>
  <c r="K151" i="89" s="1"/>
  <c r="J151" i="89" a="1"/>
  <c r="J151" i="89" s="1"/>
  <c r="I151" i="89" a="1"/>
  <c r="I151" i="89" s="1"/>
  <c r="H151" i="89" a="1"/>
  <c r="H151" i="89" s="1"/>
  <c r="G151" i="89" a="1"/>
  <c r="G151" i="89" s="1"/>
  <c r="F151" i="89" a="1"/>
  <c r="F151" i="89" s="1"/>
  <c r="E151" i="89" a="1"/>
  <c r="E151" i="89" s="1"/>
  <c r="D151" i="89" a="1"/>
  <c r="D151" i="89" s="1"/>
  <c r="AH150" i="89" a="1"/>
  <c r="AH150" i="89" s="1"/>
  <c r="AG150" i="89" a="1"/>
  <c r="AG150" i="89" s="1"/>
  <c r="AF150" i="89" a="1"/>
  <c r="AF150" i="89" s="1"/>
  <c r="AE150" i="89" a="1"/>
  <c r="AE150" i="89" s="1"/>
  <c r="AD150" i="89" a="1"/>
  <c r="AD150" i="89" s="1"/>
  <c r="AC150" i="89" a="1"/>
  <c r="AC150" i="89" s="1"/>
  <c r="AB150" i="89" a="1"/>
  <c r="AB150" i="89" s="1"/>
  <c r="AA150" i="89" a="1"/>
  <c r="AA150" i="89" s="1"/>
  <c r="Z150" i="89" a="1"/>
  <c r="Z150" i="89" s="1"/>
  <c r="Y150" i="89" a="1"/>
  <c r="Y150" i="89" s="1"/>
  <c r="X150" i="89" a="1"/>
  <c r="X150" i="89" s="1"/>
  <c r="W150" i="89" a="1"/>
  <c r="W150" i="89" s="1"/>
  <c r="V150" i="89" a="1"/>
  <c r="V150" i="89" s="1"/>
  <c r="U150" i="89" a="1"/>
  <c r="U150" i="89" s="1"/>
  <c r="T150" i="89" a="1"/>
  <c r="T150" i="89" s="1"/>
  <c r="S150" i="89" a="1"/>
  <c r="S150" i="89" s="1"/>
  <c r="R150" i="89" a="1"/>
  <c r="R150" i="89" s="1"/>
  <c r="Q150" i="89" a="1"/>
  <c r="Q150" i="89" s="1"/>
  <c r="P150" i="89" a="1"/>
  <c r="P150" i="89" s="1"/>
  <c r="O150" i="89" a="1"/>
  <c r="O150" i="89" s="1"/>
  <c r="N150" i="89" a="1"/>
  <c r="N150" i="89" s="1"/>
  <c r="M150" i="89" a="1"/>
  <c r="M150" i="89" s="1"/>
  <c r="L150" i="89" a="1"/>
  <c r="L150" i="89" s="1"/>
  <c r="K150" i="89" a="1"/>
  <c r="K150" i="89" s="1"/>
  <c r="J150" i="89" a="1"/>
  <c r="J150" i="89" s="1"/>
  <c r="I150" i="89" a="1"/>
  <c r="I150" i="89" s="1"/>
  <c r="H150" i="89" a="1"/>
  <c r="H150" i="89" s="1"/>
  <c r="G150" i="89" a="1"/>
  <c r="G150" i="89" s="1"/>
  <c r="F150" i="89" a="1"/>
  <c r="F150" i="89" s="1"/>
  <c r="E150" i="89" a="1"/>
  <c r="E150" i="89" s="1"/>
  <c r="D150" i="89" a="1"/>
  <c r="D150" i="89" s="1"/>
  <c r="AH149" i="89" a="1"/>
  <c r="AH149" i="89" s="1"/>
  <c r="AG149" i="89" a="1"/>
  <c r="AG149" i="89" s="1"/>
  <c r="AF149" i="89" a="1"/>
  <c r="AF149" i="89" s="1"/>
  <c r="AE149" i="89" a="1"/>
  <c r="AE149" i="89" s="1"/>
  <c r="AD149" i="89" a="1"/>
  <c r="AD149" i="89" s="1"/>
  <c r="AC149" i="89" a="1"/>
  <c r="AC149" i="89" s="1"/>
  <c r="AB149" i="89" a="1"/>
  <c r="AB149" i="89" s="1"/>
  <c r="AA149" i="89" a="1"/>
  <c r="AA149" i="89" s="1"/>
  <c r="Z149" i="89" a="1"/>
  <c r="Z149" i="89" s="1"/>
  <c r="Y149" i="89" a="1"/>
  <c r="Y149" i="89" s="1"/>
  <c r="X149" i="89" a="1"/>
  <c r="X149" i="89" s="1"/>
  <c r="W149" i="89" a="1"/>
  <c r="W149" i="89" s="1"/>
  <c r="V149" i="89" a="1"/>
  <c r="V149" i="89" s="1"/>
  <c r="U149" i="89" a="1"/>
  <c r="U149" i="89" s="1"/>
  <c r="T149" i="89" a="1"/>
  <c r="T149" i="89" s="1"/>
  <c r="S149" i="89" a="1"/>
  <c r="S149" i="89" s="1"/>
  <c r="R149" i="89" a="1"/>
  <c r="R149" i="89" s="1"/>
  <c r="Q149" i="89" a="1"/>
  <c r="Q149" i="89" s="1"/>
  <c r="P149" i="89" a="1"/>
  <c r="P149" i="89" s="1"/>
  <c r="O149" i="89" a="1"/>
  <c r="O149" i="89" s="1"/>
  <c r="N149" i="89" a="1"/>
  <c r="N149" i="89" s="1"/>
  <c r="M149" i="89" a="1"/>
  <c r="M149" i="89" s="1"/>
  <c r="L149" i="89" a="1"/>
  <c r="L149" i="89" s="1"/>
  <c r="K149" i="89" a="1"/>
  <c r="K149" i="89" s="1"/>
  <c r="J149" i="89" a="1"/>
  <c r="J149" i="89" s="1"/>
  <c r="I149" i="89" a="1"/>
  <c r="I149" i="89" s="1"/>
  <c r="H149" i="89" a="1"/>
  <c r="H149" i="89" s="1"/>
  <c r="G149" i="89" a="1"/>
  <c r="G149" i="89" s="1"/>
  <c r="F149" i="89" a="1"/>
  <c r="F149" i="89" s="1"/>
  <c r="E149" i="89" a="1"/>
  <c r="E149" i="89" s="1"/>
  <c r="D149" i="89" a="1"/>
  <c r="D149" i="89" s="1"/>
  <c r="AH148" i="89" a="1"/>
  <c r="AH148" i="89" s="1"/>
  <c r="AG148" i="89" a="1"/>
  <c r="AG148" i="89" s="1"/>
  <c r="AF148" i="89" a="1"/>
  <c r="AF148" i="89" s="1"/>
  <c r="AE148" i="89" a="1"/>
  <c r="AE148" i="89" s="1"/>
  <c r="AD148" i="89" a="1"/>
  <c r="AD148" i="89" s="1"/>
  <c r="AC148" i="89" a="1"/>
  <c r="AC148" i="89" s="1"/>
  <c r="AB148" i="89" a="1"/>
  <c r="AB148" i="89" s="1"/>
  <c r="AA148" i="89" a="1"/>
  <c r="AA148" i="89" s="1"/>
  <c r="Z148" i="89" a="1"/>
  <c r="Z148" i="89" s="1"/>
  <c r="Y148" i="89" a="1"/>
  <c r="Y148" i="89" s="1"/>
  <c r="X148" i="89" a="1"/>
  <c r="X148" i="89" s="1"/>
  <c r="W148" i="89" a="1"/>
  <c r="W148" i="89" s="1"/>
  <c r="V148" i="89" a="1"/>
  <c r="V148" i="89" s="1"/>
  <c r="U148" i="89" a="1"/>
  <c r="U148" i="89" s="1"/>
  <c r="T148" i="89" a="1"/>
  <c r="T148" i="89" s="1"/>
  <c r="S148" i="89" a="1"/>
  <c r="S148" i="89" s="1"/>
  <c r="R148" i="89" a="1"/>
  <c r="R148" i="89" s="1"/>
  <c r="Q148" i="89" a="1"/>
  <c r="Q148" i="89" s="1"/>
  <c r="P148" i="89" a="1"/>
  <c r="P148" i="89" s="1"/>
  <c r="O148" i="89" a="1"/>
  <c r="O148" i="89" s="1"/>
  <c r="N148" i="89" a="1"/>
  <c r="N148" i="89" s="1"/>
  <c r="M148" i="89" a="1"/>
  <c r="M148" i="89" s="1"/>
  <c r="L148" i="89" a="1"/>
  <c r="L148" i="89" s="1"/>
  <c r="K148" i="89" a="1"/>
  <c r="K148" i="89" s="1"/>
  <c r="J148" i="89" a="1"/>
  <c r="J148" i="89" s="1"/>
  <c r="I148" i="89" a="1"/>
  <c r="I148" i="89" s="1"/>
  <c r="H148" i="89" a="1"/>
  <c r="H148" i="89" s="1"/>
  <c r="G148" i="89" a="1"/>
  <c r="G148" i="89" s="1"/>
  <c r="F148" i="89" a="1"/>
  <c r="F148" i="89" s="1"/>
  <c r="E148" i="89" a="1"/>
  <c r="E148" i="89" s="1"/>
  <c r="D148" i="89" a="1"/>
  <c r="D148" i="89" s="1"/>
  <c r="AH147" i="89" a="1"/>
  <c r="AH147" i="89" s="1"/>
  <c r="AG147" i="89" a="1"/>
  <c r="AG147" i="89" s="1"/>
  <c r="AF147" i="89" a="1"/>
  <c r="AF147" i="89" s="1"/>
  <c r="AE147" i="89" a="1"/>
  <c r="AE147" i="89" s="1"/>
  <c r="AD147" i="89" a="1"/>
  <c r="AD147" i="89" s="1"/>
  <c r="AC147" i="89" a="1"/>
  <c r="AC147" i="89" s="1"/>
  <c r="AB147" i="89" a="1"/>
  <c r="AB147" i="89" s="1"/>
  <c r="AA147" i="89" a="1"/>
  <c r="AA147" i="89" s="1"/>
  <c r="Z147" i="89" a="1"/>
  <c r="Z147" i="89" s="1"/>
  <c r="Y147" i="89" a="1"/>
  <c r="Y147" i="89" s="1"/>
  <c r="X147" i="89" a="1"/>
  <c r="X147" i="89" s="1"/>
  <c r="W147" i="89" a="1"/>
  <c r="W147" i="89" s="1"/>
  <c r="V147" i="89" a="1"/>
  <c r="V147" i="89" s="1"/>
  <c r="U147" i="89" a="1"/>
  <c r="U147" i="89" s="1"/>
  <c r="T147" i="89" a="1"/>
  <c r="T147" i="89" s="1"/>
  <c r="S147" i="89" a="1"/>
  <c r="S147" i="89" s="1"/>
  <c r="R147" i="89" a="1"/>
  <c r="R147" i="89" s="1"/>
  <c r="Q147" i="89" a="1"/>
  <c r="Q147" i="89" s="1"/>
  <c r="P147" i="89" a="1"/>
  <c r="P147" i="89" s="1"/>
  <c r="O147" i="89" a="1"/>
  <c r="O147" i="89" s="1"/>
  <c r="N147" i="89" a="1"/>
  <c r="N147" i="89" s="1"/>
  <c r="M147" i="89" a="1"/>
  <c r="M147" i="89" s="1"/>
  <c r="L147" i="89" a="1"/>
  <c r="L147" i="89" s="1"/>
  <c r="K147" i="89" a="1"/>
  <c r="K147" i="89" s="1"/>
  <c r="J147" i="89" a="1"/>
  <c r="J147" i="89" s="1"/>
  <c r="I147" i="89" a="1"/>
  <c r="I147" i="89" s="1"/>
  <c r="H147" i="89" a="1"/>
  <c r="H147" i="89" s="1"/>
  <c r="G147" i="89" a="1"/>
  <c r="G147" i="89" s="1"/>
  <c r="F147" i="89" a="1"/>
  <c r="F147" i="89" s="1"/>
  <c r="E147" i="89" a="1"/>
  <c r="E147" i="89" s="1"/>
  <c r="D147" i="89" a="1"/>
  <c r="D147" i="89" s="1"/>
  <c r="AH146" i="89" a="1"/>
  <c r="AH146" i="89" s="1"/>
  <c r="AG146" i="89" a="1"/>
  <c r="AG146" i="89" s="1"/>
  <c r="AF146" i="89" a="1"/>
  <c r="AF146" i="89" s="1"/>
  <c r="AE146" i="89" a="1"/>
  <c r="AE146" i="89" s="1"/>
  <c r="AD146" i="89" a="1"/>
  <c r="AD146" i="89" s="1"/>
  <c r="AC146" i="89" a="1"/>
  <c r="AC146" i="89" s="1"/>
  <c r="AB146" i="89" a="1"/>
  <c r="AB146" i="89" s="1"/>
  <c r="AA146" i="89" a="1"/>
  <c r="AA146" i="89" s="1"/>
  <c r="Z146" i="89" a="1"/>
  <c r="Z146" i="89" s="1"/>
  <c r="Y146" i="89" a="1"/>
  <c r="Y146" i="89" s="1"/>
  <c r="X146" i="89" a="1"/>
  <c r="X146" i="89" s="1"/>
  <c r="W146" i="89" a="1"/>
  <c r="W146" i="89" s="1"/>
  <c r="V146" i="89" a="1"/>
  <c r="V146" i="89" s="1"/>
  <c r="U146" i="89" a="1"/>
  <c r="U146" i="89" s="1"/>
  <c r="T146" i="89" a="1"/>
  <c r="T146" i="89" s="1"/>
  <c r="S146" i="89" a="1"/>
  <c r="S146" i="89" s="1"/>
  <c r="R146" i="89" a="1"/>
  <c r="R146" i="89" s="1"/>
  <c r="Q146" i="89" a="1"/>
  <c r="Q146" i="89" s="1"/>
  <c r="P146" i="89" a="1"/>
  <c r="P146" i="89" s="1"/>
  <c r="O146" i="89" a="1"/>
  <c r="O146" i="89" s="1"/>
  <c r="N146" i="89" a="1"/>
  <c r="N146" i="89" s="1"/>
  <c r="M146" i="89" a="1"/>
  <c r="M146" i="89" s="1"/>
  <c r="L146" i="89" a="1"/>
  <c r="L146" i="89" s="1"/>
  <c r="K146" i="89" a="1"/>
  <c r="K146" i="89" s="1"/>
  <c r="J146" i="89" a="1"/>
  <c r="J146" i="89" s="1"/>
  <c r="I146" i="89" a="1"/>
  <c r="I146" i="89" s="1"/>
  <c r="H146" i="89" a="1"/>
  <c r="H146" i="89" s="1"/>
  <c r="G146" i="89" a="1"/>
  <c r="G146" i="89" s="1"/>
  <c r="F146" i="89" a="1"/>
  <c r="F146" i="89" s="1"/>
  <c r="E146" i="89" a="1"/>
  <c r="E146" i="89" s="1"/>
  <c r="D146" i="89" a="1"/>
  <c r="D146" i="89" s="1"/>
  <c r="AH145" i="89" a="1"/>
  <c r="AH145" i="89" s="1"/>
  <c r="AG145" i="89" a="1"/>
  <c r="AG145" i="89" s="1"/>
  <c r="AF145" i="89" a="1"/>
  <c r="AF145" i="89" s="1"/>
  <c r="AE145" i="89" a="1"/>
  <c r="AE145" i="89" s="1"/>
  <c r="AD145" i="89" a="1"/>
  <c r="AD145" i="89" s="1"/>
  <c r="AC145" i="89" a="1"/>
  <c r="AC145" i="89" s="1"/>
  <c r="AB145" i="89" a="1"/>
  <c r="AB145" i="89" s="1"/>
  <c r="AA145" i="89" a="1"/>
  <c r="AA145" i="89" s="1"/>
  <c r="Z145" i="89" a="1"/>
  <c r="Z145" i="89" s="1"/>
  <c r="Y145" i="89" a="1"/>
  <c r="Y145" i="89" s="1"/>
  <c r="X145" i="89" a="1"/>
  <c r="X145" i="89" s="1"/>
  <c r="W145" i="89" a="1"/>
  <c r="W145" i="89" s="1"/>
  <c r="V145" i="89" a="1"/>
  <c r="V145" i="89" s="1"/>
  <c r="U145" i="89" a="1"/>
  <c r="U145" i="89" s="1"/>
  <c r="T145" i="89" a="1"/>
  <c r="T145" i="89" s="1"/>
  <c r="S145" i="89" a="1"/>
  <c r="S145" i="89" s="1"/>
  <c r="R145" i="89" a="1"/>
  <c r="R145" i="89" s="1"/>
  <c r="Q145" i="89" a="1"/>
  <c r="Q145" i="89" s="1"/>
  <c r="P145" i="89" a="1"/>
  <c r="P145" i="89" s="1"/>
  <c r="O145" i="89" a="1"/>
  <c r="O145" i="89" s="1"/>
  <c r="N145" i="89" a="1"/>
  <c r="N145" i="89" s="1"/>
  <c r="M145" i="89" a="1"/>
  <c r="M145" i="89" s="1"/>
  <c r="L145" i="89" a="1"/>
  <c r="L145" i="89" s="1"/>
  <c r="K145" i="89" a="1"/>
  <c r="K145" i="89" s="1"/>
  <c r="J145" i="89" a="1"/>
  <c r="J145" i="89" s="1"/>
  <c r="I145" i="89" a="1"/>
  <c r="I145" i="89" s="1"/>
  <c r="H145" i="89" a="1"/>
  <c r="H145" i="89" s="1"/>
  <c r="G145" i="89" a="1"/>
  <c r="G145" i="89" s="1"/>
  <c r="F145" i="89" a="1"/>
  <c r="F145" i="89" s="1"/>
  <c r="E145" i="89" a="1"/>
  <c r="E145" i="89" s="1"/>
  <c r="D145" i="89" a="1"/>
  <c r="D145" i="89" s="1"/>
  <c r="AH144" i="89" a="1"/>
  <c r="AH144" i="89" s="1"/>
  <c r="AG144" i="89" a="1"/>
  <c r="AG144" i="89" s="1"/>
  <c r="AF144" i="89" a="1"/>
  <c r="AF144" i="89" s="1"/>
  <c r="AE144" i="89" a="1"/>
  <c r="AE144" i="89" s="1"/>
  <c r="AD144" i="89" a="1"/>
  <c r="AD144" i="89" s="1"/>
  <c r="AC144" i="89" a="1"/>
  <c r="AC144" i="89" s="1"/>
  <c r="AB144" i="89" a="1"/>
  <c r="AB144" i="89" s="1"/>
  <c r="AA144" i="89" a="1"/>
  <c r="AA144" i="89" s="1"/>
  <c r="Z144" i="89" a="1"/>
  <c r="Z144" i="89" s="1"/>
  <c r="Y144" i="89" a="1"/>
  <c r="Y144" i="89" s="1"/>
  <c r="X144" i="89" a="1"/>
  <c r="X144" i="89" s="1"/>
  <c r="W144" i="89" a="1"/>
  <c r="W144" i="89" s="1"/>
  <c r="V144" i="89" a="1"/>
  <c r="V144" i="89" s="1"/>
  <c r="U144" i="89" a="1"/>
  <c r="U144" i="89" s="1"/>
  <c r="T144" i="89" a="1"/>
  <c r="T144" i="89" s="1"/>
  <c r="S144" i="89" a="1"/>
  <c r="S144" i="89" s="1"/>
  <c r="R144" i="89" a="1"/>
  <c r="R144" i="89" s="1"/>
  <c r="Q144" i="89" a="1"/>
  <c r="Q144" i="89" s="1"/>
  <c r="P144" i="89" a="1"/>
  <c r="P144" i="89" s="1"/>
  <c r="O144" i="89" a="1"/>
  <c r="O144" i="89" s="1"/>
  <c r="N144" i="89" a="1"/>
  <c r="N144" i="89" s="1"/>
  <c r="M144" i="89" a="1"/>
  <c r="M144" i="89" s="1"/>
  <c r="L144" i="89" a="1"/>
  <c r="L144" i="89" s="1"/>
  <c r="K144" i="89" a="1"/>
  <c r="K144" i="89" s="1"/>
  <c r="J144" i="89" a="1"/>
  <c r="J144" i="89" s="1"/>
  <c r="I144" i="89" a="1"/>
  <c r="I144" i="89" s="1"/>
  <c r="H144" i="89" a="1"/>
  <c r="H144" i="89" s="1"/>
  <c r="G144" i="89" a="1"/>
  <c r="G144" i="89" s="1"/>
  <c r="F144" i="89" a="1"/>
  <c r="F144" i="89" s="1"/>
  <c r="E144" i="89" a="1"/>
  <c r="E144" i="89" s="1"/>
  <c r="D144" i="89" a="1"/>
  <c r="D144" i="89" s="1"/>
  <c r="AH143" i="89" a="1"/>
  <c r="AH143" i="89" s="1"/>
  <c r="AG143" i="89" a="1"/>
  <c r="AG143" i="89" s="1"/>
  <c r="AF143" i="89" a="1"/>
  <c r="AF143" i="89" s="1"/>
  <c r="AE143" i="89" a="1"/>
  <c r="AE143" i="89" s="1"/>
  <c r="AD143" i="89" a="1"/>
  <c r="AD143" i="89" s="1"/>
  <c r="AC143" i="89" a="1"/>
  <c r="AC143" i="89" s="1"/>
  <c r="AB143" i="89" a="1"/>
  <c r="AB143" i="89" s="1"/>
  <c r="AA143" i="89" a="1"/>
  <c r="AA143" i="89" s="1"/>
  <c r="Z143" i="89" a="1"/>
  <c r="Z143" i="89" s="1"/>
  <c r="Y143" i="89" a="1"/>
  <c r="Y143" i="89" s="1"/>
  <c r="X143" i="89" a="1"/>
  <c r="X143" i="89" s="1"/>
  <c r="W143" i="89" a="1"/>
  <c r="W143" i="89" s="1"/>
  <c r="V143" i="89" a="1"/>
  <c r="V143" i="89" s="1"/>
  <c r="U143" i="89" a="1"/>
  <c r="U143" i="89" s="1"/>
  <c r="T143" i="89" a="1"/>
  <c r="T143" i="89" s="1"/>
  <c r="S143" i="89" a="1"/>
  <c r="S143" i="89" s="1"/>
  <c r="R143" i="89" a="1"/>
  <c r="R143" i="89" s="1"/>
  <c r="Q143" i="89" a="1"/>
  <c r="Q143" i="89" s="1"/>
  <c r="P143" i="89" a="1"/>
  <c r="P143" i="89" s="1"/>
  <c r="O143" i="89" a="1"/>
  <c r="O143" i="89" s="1"/>
  <c r="N143" i="89" a="1"/>
  <c r="N143" i="89" s="1"/>
  <c r="M143" i="89" a="1"/>
  <c r="M143" i="89" s="1"/>
  <c r="L143" i="89" a="1"/>
  <c r="L143" i="89" s="1"/>
  <c r="K143" i="89" a="1"/>
  <c r="K143" i="89" s="1"/>
  <c r="J143" i="89" a="1"/>
  <c r="J143" i="89" s="1"/>
  <c r="I143" i="89" a="1"/>
  <c r="I143" i="89" s="1"/>
  <c r="H143" i="89" a="1"/>
  <c r="H143" i="89" s="1"/>
  <c r="G143" i="89" a="1"/>
  <c r="G143" i="89" s="1"/>
  <c r="F143" i="89" a="1"/>
  <c r="F143" i="89" s="1"/>
  <c r="E143" i="89" a="1"/>
  <c r="E143" i="89" s="1"/>
  <c r="D143" i="89" a="1"/>
  <c r="D143" i="89" s="1"/>
  <c r="AH142" i="89" a="1"/>
  <c r="AH142" i="89" s="1"/>
  <c r="AG142" i="89" a="1"/>
  <c r="AG142" i="89" s="1"/>
  <c r="AF142" i="89" a="1"/>
  <c r="AF142" i="89" s="1"/>
  <c r="AE142" i="89" a="1"/>
  <c r="AE142" i="89" s="1"/>
  <c r="AD142" i="89" a="1"/>
  <c r="AD142" i="89" s="1"/>
  <c r="AC142" i="89" a="1"/>
  <c r="AC142" i="89" s="1"/>
  <c r="AB142" i="89" a="1"/>
  <c r="AB142" i="89" s="1"/>
  <c r="AA142" i="89" a="1"/>
  <c r="AA142" i="89" s="1"/>
  <c r="Z142" i="89" a="1"/>
  <c r="Z142" i="89" s="1"/>
  <c r="Y142" i="89" a="1"/>
  <c r="Y142" i="89" s="1"/>
  <c r="X142" i="89" a="1"/>
  <c r="X142" i="89" s="1"/>
  <c r="W142" i="89" a="1"/>
  <c r="W142" i="89" s="1"/>
  <c r="V142" i="89" a="1"/>
  <c r="V142" i="89" s="1"/>
  <c r="U142" i="89" a="1"/>
  <c r="U142" i="89" s="1"/>
  <c r="T142" i="89" a="1"/>
  <c r="T142" i="89" s="1"/>
  <c r="S142" i="89" a="1"/>
  <c r="S142" i="89" s="1"/>
  <c r="R142" i="89" a="1"/>
  <c r="R142" i="89" s="1"/>
  <c r="Q142" i="89" a="1"/>
  <c r="Q142" i="89" s="1"/>
  <c r="P142" i="89" a="1"/>
  <c r="P142" i="89" s="1"/>
  <c r="O142" i="89" a="1"/>
  <c r="O142" i="89" s="1"/>
  <c r="N142" i="89" a="1"/>
  <c r="N142" i="89" s="1"/>
  <c r="M142" i="89" a="1"/>
  <c r="M142" i="89" s="1"/>
  <c r="L142" i="89" a="1"/>
  <c r="L142" i="89" s="1"/>
  <c r="K142" i="89" a="1"/>
  <c r="K142" i="89" s="1"/>
  <c r="J142" i="89" a="1"/>
  <c r="J142" i="89" s="1"/>
  <c r="I142" i="89" a="1"/>
  <c r="I142" i="89" s="1"/>
  <c r="H142" i="89" a="1"/>
  <c r="H142" i="89" s="1"/>
  <c r="G142" i="89" a="1"/>
  <c r="G142" i="89" s="1"/>
  <c r="F142" i="89" a="1"/>
  <c r="F142" i="89" s="1"/>
  <c r="E142" i="89" a="1"/>
  <c r="E142" i="89" s="1"/>
  <c r="D142" i="89" a="1"/>
  <c r="D142" i="89" s="1"/>
  <c r="AH141" i="89" a="1"/>
  <c r="AH141" i="89" s="1"/>
  <c r="AG141" i="89" a="1"/>
  <c r="AG141" i="89" s="1"/>
  <c r="AF141" i="89" a="1"/>
  <c r="AF141" i="89" s="1"/>
  <c r="AE141" i="89" a="1"/>
  <c r="AE141" i="89" s="1"/>
  <c r="AD141" i="89" a="1"/>
  <c r="AD141" i="89" s="1"/>
  <c r="AC141" i="89" a="1"/>
  <c r="AC141" i="89" s="1"/>
  <c r="AB141" i="89" a="1"/>
  <c r="AB141" i="89" s="1"/>
  <c r="AA141" i="89" a="1"/>
  <c r="AA141" i="89" s="1"/>
  <c r="Z141" i="89" a="1"/>
  <c r="Z141" i="89" s="1"/>
  <c r="Y141" i="89" a="1"/>
  <c r="Y141" i="89" s="1"/>
  <c r="X141" i="89" a="1"/>
  <c r="X141" i="89" s="1"/>
  <c r="W141" i="89" a="1"/>
  <c r="W141" i="89" s="1"/>
  <c r="V141" i="89" a="1"/>
  <c r="V141" i="89" s="1"/>
  <c r="U141" i="89" a="1"/>
  <c r="U141" i="89" s="1"/>
  <c r="T141" i="89" a="1"/>
  <c r="T141" i="89" s="1"/>
  <c r="S141" i="89" a="1"/>
  <c r="S141" i="89" s="1"/>
  <c r="R141" i="89" a="1"/>
  <c r="R141" i="89" s="1"/>
  <c r="Q141" i="89" a="1"/>
  <c r="Q141" i="89" s="1"/>
  <c r="P141" i="89" a="1"/>
  <c r="P141" i="89" s="1"/>
  <c r="O141" i="89" a="1"/>
  <c r="O141" i="89" s="1"/>
  <c r="N141" i="89" a="1"/>
  <c r="N141" i="89" s="1"/>
  <c r="M141" i="89" a="1"/>
  <c r="M141" i="89" s="1"/>
  <c r="L141" i="89" a="1"/>
  <c r="L141" i="89" s="1"/>
  <c r="K141" i="89" a="1"/>
  <c r="K141" i="89" s="1"/>
  <c r="J141" i="89" a="1"/>
  <c r="J141" i="89" s="1"/>
  <c r="I141" i="89" a="1"/>
  <c r="I141" i="89" s="1"/>
  <c r="H141" i="89" a="1"/>
  <c r="H141" i="89" s="1"/>
  <c r="G141" i="89" a="1"/>
  <c r="G141" i="89" s="1"/>
  <c r="F141" i="89" a="1"/>
  <c r="F141" i="89" s="1"/>
  <c r="E141" i="89" a="1"/>
  <c r="E141" i="89" s="1"/>
  <c r="D141" i="89" a="1"/>
  <c r="D141" i="89" s="1"/>
  <c r="AH140" i="89" a="1"/>
  <c r="AH140" i="89" s="1"/>
  <c r="AG140" i="89" a="1"/>
  <c r="AG140" i="89" s="1"/>
  <c r="AF140" i="89" a="1"/>
  <c r="AF140" i="89" s="1"/>
  <c r="AE140" i="89" a="1"/>
  <c r="AE140" i="89" s="1"/>
  <c r="AD140" i="89" a="1"/>
  <c r="AD140" i="89" s="1"/>
  <c r="AC140" i="89" a="1"/>
  <c r="AC140" i="89" s="1"/>
  <c r="AB140" i="89" a="1"/>
  <c r="AB140" i="89" s="1"/>
  <c r="AA140" i="89" a="1"/>
  <c r="AA140" i="89" s="1"/>
  <c r="Z140" i="89" a="1"/>
  <c r="Z140" i="89" s="1"/>
  <c r="Y140" i="89" a="1"/>
  <c r="Y140" i="89" s="1"/>
  <c r="X140" i="89" a="1"/>
  <c r="X140" i="89" s="1"/>
  <c r="W140" i="89" a="1"/>
  <c r="W140" i="89" s="1"/>
  <c r="V140" i="89" a="1"/>
  <c r="V140" i="89" s="1"/>
  <c r="U140" i="89" a="1"/>
  <c r="U140" i="89" s="1"/>
  <c r="T140" i="89" a="1"/>
  <c r="T140" i="89" s="1"/>
  <c r="S140" i="89" a="1"/>
  <c r="S140" i="89" s="1"/>
  <c r="R140" i="89" a="1"/>
  <c r="R140" i="89" s="1"/>
  <c r="Q140" i="89" a="1"/>
  <c r="Q140" i="89" s="1"/>
  <c r="P140" i="89" a="1"/>
  <c r="P140" i="89" s="1"/>
  <c r="O140" i="89" a="1"/>
  <c r="O140" i="89" s="1"/>
  <c r="N140" i="89" a="1"/>
  <c r="N140" i="89" s="1"/>
  <c r="M140" i="89" a="1"/>
  <c r="M140" i="89" s="1"/>
  <c r="L140" i="89" a="1"/>
  <c r="L140" i="89" s="1"/>
  <c r="K140" i="89" a="1"/>
  <c r="K140" i="89" s="1"/>
  <c r="J140" i="89" a="1"/>
  <c r="J140" i="89" s="1"/>
  <c r="I140" i="89" a="1"/>
  <c r="I140" i="89" s="1"/>
  <c r="H140" i="89" a="1"/>
  <c r="H140" i="89" s="1"/>
  <c r="G140" i="89" a="1"/>
  <c r="G140" i="89" s="1"/>
  <c r="F140" i="89" a="1"/>
  <c r="F140" i="89" s="1"/>
  <c r="E140" i="89" a="1"/>
  <c r="E140" i="89" s="1"/>
  <c r="D140" i="89" a="1"/>
  <c r="D140" i="89" s="1"/>
  <c r="AH139" i="89" a="1"/>
  <c r="AH139" i="89" s="1"/>
  <c r="AG139" i="89" a="1"/>
  <c r="AG139" i="89" s="1"/>
  <c r="AF139" i="89" a="1"/>
  <c r="AF139" i="89" s="1"/>
  <c r="AE139" i="89" a="1"/>
  <c r="AE139" i="89" s="1"/>
  <c r="AD139" i="89" a="1"/>
  <c r="AD139" i="89" s="1"/>
  <c r="AC139" i="89" a="1"/>
  <c r="AC139" i="89" s="1"/>
  <c r="AB139" i="89" a="1"/>
  <c r="AB139" i="89" s="1"/>
  <c r="AA139" i="89" a="1"/>
  <c r="AA139" i="89" s="1"/>
  <c r="Z139" i="89" a="1"/>
  <c r="Z139" i="89" s="1"/>
  <c r="Y139" i="89" a="1"/>
  <c r="Y139" i="89" s="1"/>
  <c r="X139" i="89" a="1"/>
  <c r="X139" i="89" s="1"/>
  <c r="W139" i="89" a="1"/>
  <c r="W139" i="89" s="1"/>
  <c r="V139" i="89" a="1"/>
  <c r="V139" i="89" s="1"/>
  <c r="U139" i="89" a="1"/>
  <c r="U139" i="89" s="1"/>
  <c r="T139" i="89" a="1"/>
  <c r="T139" i="89" s="1"/>
  <c r="S139" i="89" a="1"/>
  <c r="S139" i="89" s="1"/>
  <c r="R139" i="89" a="1"/>
  <c r="R139" i="89" s="1"/>
  <c r="Q139" i="89" a="1"/>
  <c r="Q139" i="89" s="1"/>
  <c r="P139" i="89" a="1"/>
  <c r="P139" i="89" s="1"/>
  <c r="O139" i="89" a="1"/>
  <c r="O139" i="89" s="1"/>
  <c r="N139" i="89" a="1"/>
  <c r="N139" i="89" s="1"/>
  <c r="M139" i="89" a="1"/>
  <c r="M139" i="89" s="1"/>
  <c r="L139" i="89" a="1"/>
  <c r="L139" i="89" s="1"/>
  <c r="K139" i="89" a="1"/>
  <c r="K139" i="89" s="1"/>
  <c r="J139" i="89" a="1"/>
  <c r="J139" i="89" s="1"/>
  <c r="I139" i="89" a="1"/>
  <c r="I139" i="89" s="1"/>
  <c r="H139" i="89" a="1"/>
  <c r="H139" i="89" s="1"/>
  <c r="G139" i="89" a="1"/>
  <c r="G139" i="89" s="1"/>
  <c r="F139" i="89" a="1"/>
  <c r="F139" i="89" s="1"/>
  <c r="E139" i="89" a="1"/>
  <c r="E139" i="89" s="1"/>
  <c r="D139" i="89" a="1"/>
  <c r="D139" i="89" s="1"/>
  <c r="AH138" i="89" a="1"/>
  <c r="AH138" i="89" s="1"/>
  <c r="AG138" i="89" a="1"/>
  <c r="AG138" i="89" s="1"/>
  <c r="AF138" i="89" a="1"/>
  <c r="AF138" i="89" s="1"/>
  <c r="AE138" i="89" a="1"/>
  <c r="AE138" i="89" s="1"/>
  <c r="AD138" i="89" a="1"/>
  <c r="AD138" i="89" s="1"/>
  <c r="AC138" i="89" a="1"/>
  <c r="AC138" i="89" s="1"/>
  <c r="AB138" i="89" a="1"/>
  <c r="AB138" i="89" s="1"/>
  <c r="AA138" i="89" a="1"/>
  <c r="AA138" i="89" s="1"/>
  <c r="Z138" i="89" a="1"/>
  <c r="Z138" i="89" s="1"/>
  <c r="Y138" i="89" a="1"/>
  <c r="Y138" i="89" s="1"/>
  <c r="X138" i="89" a="1"/>
  <c r="X138" i="89" s="1"/>
  <c r="W138" i="89" a="1"/>
  <c r="W138" i="89" s="1"/>
  <c r="V138" i="89" a="1"/>
  <c r="V138" i="89" s="1"/>
  <c r="U138" i="89" a="1"/>
  <c r="U138" i="89" s="1"/>
  <c r="T138" i="89" a="1"/>
  <c r="T138" i="89" s="1"/>
  <c r="S138" i="89" a="1"/>
  <c r="S138" i="89" s="1"/>
  <c r="R138" i="89" a="1"/>
  <c r="R138" i="89" s="1"/>
  <c r="Q138" i="89" a="1"/>
  <c r="Q138" i="89" s="1"/>
  <c r="P138" i="89" a="1"/>
  <c r="P138" i="89" s="1"/>
  <c r="O138" i="89" a="1"/>
  <c r="O138" i="89" s="1"/>
  <c r="N138" i="89" a="1"/>
  <c r="N138" i="89" s="1"/>
  <c r="M138" i="89" a="1"/>
  <c r="M138" i="89" s="1"/>
  <c r="L138" i="89" a="1"/>
  <c r="L138" i="89" s="1"/>
  <c r="K138" i="89" a="1"/>
  <c r="K138" i="89" s="1"/>
  <c r="J138" i="89" a="1"/>
  <c r="J138" i="89" s="1"/>
  <c r="I138" i="89" a="1"/>
  <c r="I138" i="89" s="1"/>
  <c r="H138" i="89" a="1"/>
  <c r="H138" i="89" s="1"/>
  <c r="G138" i="89" a="1"/>
  <c r="G138" i="89" s="1"/>
  <c r="F138" i="89" a="1"/>
  <c r="F138" i="89" s="1"/>
  <c r="E138" i="89" a="1"/>
  <c r="E138" i="89" s="1"/>
  <c r="D138" i="89" a="1"/>
  <c r="D138" i="89" s="1"/>
  <c r="AH137" i="89" a="1"/>
  <c r="AH137" i="89" s="1"/>
  <c r="AG137" i="89" a="1"/>
  <c r="AG137" i="89" s="1"/>
  <c r="AF137" i="89" a="1"/>
  <c r="AF137" i="89" s="1"/>
  <c r="AE137" i="89" a="1"/>
  <c r="AE137" i="89" s="1"/>
  <c r="AD137" i="89" a="1"/>
  <c r="AD137" i="89" s="1"/>
  <c r="AC137" i="89" a="1"/>
  <c r="AC137" i="89" s="1"/>
  <c r="AB137" i="89" a="1"/>
  <c r="AB137" i="89" s="1"/>
  <c r="AA137" i="89" a="1"/>
  <c r="AA137" i="89" s="1"/>
  <c r="Z137" i="89" a="1"/>
  <c r="Z137" i="89" s="1"/>
  <c r="Y137" i="89" a="1"/>
  <c r="Y137" i="89" s="1"/>
  <c r="X137" i="89" a="1"/>
  <c r="X137" i="89" s="1"/>
  <c r="W137" i="89" a="1"/>
  <c r="W137" i="89" s="1"/>
  <c r="V137" i="89" a="1"/>
  <c r="V137" i="89" s="1"/>
  <c r="U137" i="89" a="1"/>
  <c r="U137" i="89" s="1"/>
  <c r="T137" i="89" a="1"/>
  <c r="T137" i="89" s="1"/>
  <c r="S137" i="89" a="1"/>
  <c r="S137" i="89" s="1"/>
  <c r="R137" i="89" a="1"/>
  <c r="R137" i="89" s="1"/>
  <c r="Q137" i="89" a="1"/>
  <c r="Q137" i="89" s="1"/>
  <c r="P137" i="89" a="1"/>
  <c r="P137" i="89" s="1"/>
  <c r="O137" i="89" a="1"/>
  <c r="O137" i="89" s="1"/>
  <c r="N137" i="89" a="1"/>
  <c r="N137" i="89" s="1"/>
  <c r="M137" i="89" a="1"/>
  <c r="M137" i="89" s="1"/>
  <c r="L137" i="89" a="1"/>
  <c r="L137" i="89" s="1"/>
  <c r="K137" i="89" a="1"/>
  <c r="K137" i="89" s="1"/>
  <c r="J137" i="89" a="1"/>
  <c r="J137" i="89" s="1"/>
  <c r="I137" i="89" a="1"/>
  <c r="I137" i="89" s="1"/>
  <c r="H137" i="89" a="1"/>
  <c r="H137" i="89" s="1"/>
  <c r="G137" i="89" a="1"/>
  <c r="G137" i="89" s="1"/>
  <c r="F137" i="89" a="1"/>
  <c r="F137" i="89" s="1"/>
  <c r="E137" i="89" a="1"/>
  <c r="E137" i="89" s="1"/>
  <c r="D137" i="89" a="1"/>
  <c r="D137" i="89" s="1"/>
  <c r="AH136" i="89" a="1"/>
  <c r="AH136" i="89" s="1"/>
  <c r="AG136" i="89" a="1"/>
  <c r="AG136" i="89" s="1"/>
  <c r="AF136" i="89" a="1"/>
  <c r="AF136" i="89" s="1"/>
  <c r="AE136" i="89" a="1"/>
  <c r="AE136" i="89" s="1"/>
  <c r="AD136" i="89" a="1"/>
  <c r="AD136" i="89" s="1"/>
  <c r="AC136" i="89" a="1"/>
  <c r="AC136" i="89" s="1"/>
  <c r="AB136" i="89" a="1"/>
  <c r="AB136" i="89" s="1"/>
  <c r="AA136" i="89" a="1"/>
  <c r="AA136" i="89" s="1"/>
  <c r="Z136" i="89" a="1"/>
  <c r="Z136" i="89" s="1"/>
  <c r="Y136" i="89" a="1"/>
  <c r="Y136" i="89" s="1"/>
  <c r="X136" i="89" a="1"/>
  <c r="X136" i="89" s="1"/>
  <c r="W136" i="89" a="1"/>
  <c r="W136" i="89" s="1"/>
  <c r="V136" i="89" a="1"/>
  <c r="V136" i="89" s="1"/>
  <c r="U136" i="89" a="1"/>
  <c r="U136" i="89" s="1"/>
  <c r="T136" i="89" a="1"/>
  <c r="T136" i="89" s="1"/>
  <c r="S136" i="89" a="1"/>
  <c r="S136" i="89" s="1"/>
  <c r="R136" i="89" a="1"/>
  <c r="R136" i="89" s="1"/>
  <c r="Q136" i="89" a="1"/>
  <c r="Q136" i="89" s="1"/>
  <c r="P136" i="89" a="1"/>
  <c r="P136" i="89" s="1"/>
  <c r="O136" i="89" a="1"/>
  <c r="O136" i="89" s="1"/>
  <c r="N136" i="89" a="1"/>
  <c r="N136" i="89" s="1"/>
  <c r="M136" i="89" a="1"/>
  <c r="M136" i="89" s="1"/>
  <c r="L136" i="89" a="1"/>
  <c r="L136" i="89" s="1"/>
  <c r="K136" i="89" a="1"/>
  <c r="K136" i="89" s="1"/>
  <c r="J136" i="89" a="1"/>
  <c r="J136" i="89" s="1"/>
  <c r="I136" i="89" a="1"/>
  <c r="I136" i="89" s="1"/>
  <c r="H136" i="89" a="1"/>
  <c r="H136" i="89" s="1"/>
  <c r="G136" i="89" a="1"/>
  <c r="G136" i="89" s="1"/>
  <c r="F136" i="89" a="1"/>
  <c r="F136" i="89" s="1"/>
  <c r="E136" i="89" a="1"/>
  <c r="E136" i="89" s="1"/>
  <c r="D136" i="89" a="1"/>
  <c r="D136" i="89" s="1"/>
  <c r="AH135" i="89" a="1"/>
  <c r="AH135" i="89" s="1"/>
  <c r="AG135" i="89" a="1"/>
  <c r="AG135" i="89" s="1"/>
  <c r="AF135" i="89" a="1"/>
  <c r="AF135" i="89" s="1"/>
  <c r="AE135" i="89" a="1"/>
  <c r="AE135" i="89" s="1"/>
  <c r="AD135" i="89" a="1"/>
  <c r="AD135" i="89" s="1"/>
  <c r="AC135" i="89" a="1"/>
  <c r="AC135" i="89" s="1"/>
  <c r="AB135" i="89" a="1"/>
  <c r="AB135" i="89" s="1"/>
  <c r="AA135" i="89" a="1"/>
  <c r="AA135" i="89" s="1"/>
  <c r="Z135" i="89" a="1"/>
  <c r="Z135" i="89" s="1"/>
  <c r="Y135" i="89" a="1"/>
  <c r="Y135" i="89" s="1"/>
  <c r="X135" i="89" a="1"/>
  <c r="X135" i="89" s="1"/>
  <c r="W135" i="89" a="1"/>
  <c r="W135" i="89" s="1"/>
  <c r="V135" i="89" a="1"/>
  <c r="V135" i="89" s="1"/>
  <c r="U135" i="89" a="1"/>
  <c r="U135" i="89" s="1"/>
  <c r="T135" i="89" a="1"/>
  <c r="T135" i="89" s="1"/>
  <c r="S135" i="89" a="1"/>
  <c r="S135" i="89" s="1"/>
  <c r="R135" i="89" a="1"/>
  <c r="R135" i="89" s="1"/>
  <c r="Q135" i="89" a="1"/>
  <c r="Q135" i="89" s="1"/>
  <c r="P135" i="89" a="1"/>
  <c r="P135" i="89" s="1"/>
  <c r="O135" i="89" a="1"/>
  <c r="O135" i="89" s="1"/>
  <c r="N135" i="89" a="1"/>
  <c r="N135" i="89" s="1"/>
  <c r="M135" i="89" a="1"/>
  <c r="M135" i="89" s="1"/>
  <c r="L135" i="89" a="1"/>
  <c r="L135" i="89" s="1"/>
  <c r="K135" i="89" a="1"/>
  <c r="K135" i="89" s="1"/>
  <c r="J135" i="89" a="1"/>
  <c r="J135" i="89" s="1"/>
  <c r="I135" i="89" a="1"/>
  <c r="I135" i="89" s="1"/>
  <c r="H135" i="89" a="1"/>
  <c r="H135" i="89" s="1"/>
  <c r="G135" i="89" a="1"/>
  <c r="G135" i="89" s="1"/>
  <c r="F135" i="89" a="1"/>
  <c r="F135" i="89" s="1"/>
  <c r="E135" i="89" a="1"/>
  <c r="E135" i="89" s="1"/>
  <c r="D135" i="89" a="1"/>
  <c r="D135" i="89" s="1"/>
  <c r="AH134" i="89" a="1"/>
  <c r="AH134" i="89" s="1"/>
  <c r="AG134" i="89" a="1"/>
  <c r="AG134" i="89" s="1"/>
  <c r="AF134" i="89" a="1"/>
  <c r="AF134" i="89" s="1"/>
  <c r="AE134" i="89" a="1"/>
  <c r="AE134" i="89" s="1"/>
  <c r="AD134" i="89" a="1"/>
  <c r="AD134" i="89" s="1"/>
  <c r="AC134" i="89" a="1"/>
  <c r="AC134" i="89" s="1"/>
  <c r="AB134" i="89" a="1"/>
  <c r="AB134" i="89" s="1"/>
  <c r="AA134" i="89" a="1"/>
  <c r="AA134" i="89" s="1"/>
  <c r="Z134" i="89" a="1"/>
  <c r="Z134" i="89" s="1"/>
  <c r="Y134" i="89" a="1"/>
  <c r="Y134" i="89" s="1"/>
  <c r="X134" i="89" a="1"/>
  <c r="X134" i="89" s="1"/>
  <c r="W134" i="89" a="1"/>
  <c r="W134" i="89" s="1"/>
  <c r="V134" i="89" a="1"/>
  <c r="V134" i="89" s="1"/>
  <c r="U134" i="89" a="1"/>
  <c r="U134" i="89" s="1"/>
  <c r="T134" i="89" a="1"/>
  <c r="T134" i="89" s="1"/>
  <c r="S134" i="89" a="1"/>
  <c r="S134" i="89" s="1"/>
  <c r="R134" i="89" a="1"/>
  <c r="R134" i="89" s="1"/>
  <c r="Q134" i="89" a="1"/>
  <c r="Q134" i="89" s="1"/>
  <c r="P134" i="89" a="1"/>
  <c r="P134" i="89" s="1"/>
  <c r="O134" i="89" a="1"/>
  <c r="O134" i="89" s="1"/>
  <c r="N134" i="89" a="1"/>
  <c r="N134" i="89" s="1"/>
  <c r="M134" i="89" a="1"/>
  <c r="M134" i="89" s="1"/>
  <c r="L134" i="89" a="1"/>
  <c r="L134" i="89" s="1"/>
  <c r="K134" i="89" a="1"/>
  <c r="K134" i="89" s="1"/>
  <c r="J134" i="89" a="1"/>
  <c r="J134" i="89" s="1"/>
  <c r="I134" i="89" a="1"/>
  <c r="I134" i="89" s="1"/>
  <c r="H134" i="89" a="1"/>
  <c r="H134" i="89" s="1"/>
  <c r="G134" i="89" a="1"/>
  <c r="G134" i="89" s="1"/>
  <c r="F134" i="89" a="1"/>
  <c r="F134" i="89" s="1"/>
  <c r="E134" i="89" a="1"/>
  <c r="E134" i="89" s="1"/>
  <c r="D134" i="89" a="1"/>
  <c r="D134" i="89" s="1"/>
  <c r="AH133" i="89" a="1"/>
  <c r="AH133" i="89" s="1"/>
  <c r="AG133" i="89" a="1"/>
  <c r="AG133" i="89" s="1"/>
  <c r="AF133" i="89" a="1"/>
  <c r="AF133" i="89" s="1"/>
  <c r="AE133" i="89" a="1"/>
  <c r="AE133" i="89" s="1"/>
  <c r="AD133" i="89" a="1"/>
  <c r="AD133" i="89" s="1"/>
  <c r="AC133" i="89" a="1"/>
  <c r="AC133" i="89" s="1"/>
  <c r="AB133" i="89" a="1"/>
  <c r="AB133" i="89" s="1"/>
  <c r="AA133" i="89" a="1"/>
  <c r="AA133" i="89" s="1"/>
  <c r="Z133" i="89" a="1"/>
  <c r="Z133" i="89" s="1"/>
  <c r="Y133" i="89" a="1"/>
  <c r="Y133" i="89" s="1"/>
  <c r="X133" i="89" a="1"/>
  <c r="X133" i="89" s="1"/>
  <c r="W133" i="89" a="1"/>
  <c r="W133" i="89" s="1"/>
  <c r="V133" i="89" a="1"/>
  <c r="V133" i="89" s="1"/>
  <c r="U133" i="89" a="1"/>
  <c r="U133" i="89" s="1"/>
  <c r="T133" i="89" a="1"/>
  <c r="T133" i="89" s="1"/>
  <c r="S133" i="89" a="1"/>
  <c r="S133" i="89" s="1"/>
  <c r="R133" i="89" a="1"/>
  <c r="R133" i="89" s="1"/>
  <c r="Q133" i="89" a="1"/>
  <c r="Q133" i="89" s="1"/>
  <c r="P133" i="89" a="1"/>
  <c r="P133" i="89" s="1"/>
  <c r="O133" i="89" a="1"/>
  <c r="O133" i="89" s="1"/>
  <c r="N133" i="89" a="1"/>
  <c r="N133" i="89" s="1"/>
  <c r="M133" i="89" a="1"/>
  <c r="M133" i="89" s="1"/>
  <c r="L133" i="89" a="1"/>
  <c r="L133" i="89" s="1"/>
  <c r="K133" i="89" a="1"/>
  <c r="K133" i="89" s="1"/>
  <c r="J133" i="89" a="1"/>
  <c r="J133" i="89" s="1"/>
  <c r="I133" i="89" a="1"/>
  <c r="I133" i="89" s="1"/>
  <c r="H133" i="89" a="1"/>
  <c r="H133" i="89" s="1"/>
  <c r="G133" i="89" a="1"/>
  <c r="G133" i="89" s="1"/>
  <c r="F133" i="89" a="1"/>
  <c r="F133" i="89" s="1"/>
  <c r="E133" i="89" a="1"/>
  <c r="E133" i="89" s="1"/>
  <c r="D133" i="89" a="1"/>
  <c r="D133" i="89" s="1"/>
  <c r="AH132" i="89" a="1"/>
  <c r="AH132" i="89" s="1"/>
  <c r="AG132" i="89" a="1"/>
  <c r="AG132" i="89" s="1"/>
  <c r="AF132" i="89" a="1"/>
  <c r="AF132" i="89" s="1"/>
  <c r="AE132" i="89" a="1"/>
  <c r="AE132" i="89" s="1"/>
  <c r="AD132" i="89" a="1"/>
  <c r="AD132" i="89" s="1"/>
  <c r="AC132" i="89" a="1"/>
  <c r="AC132" i="89" s="1"/>
  <c r="AB132" i="89" a="1"/>
  <c r="AB132" i="89" s="1"/>
  <c r="AA132" i="89" a="1"/>
  <c r="AA132" i="89" s="1"/>
  <c r="Z132" i="89" a="1"/>
  <c r="Z132" i="89" s="1"/>
  <c r="Y132" i="89" a="1"/>
  <c r="Y132" i="89" s="1"/>
  <c r="X132" i="89" a="1"/>
  <c r="X132" i="89" s="1"/>
  <c r="W132" i="89" a="1"/>
  <c r="W132" i="89" s="1"/>
  <c r="V132" i="89" a="1"/>
  <c r="V132" i="89" s="1"/>
  <c r="U132" i="89" a="1"/>
  <c r="U132" i="89" s="1"/>
  <c r="T132" i="89" a="1"/>
  <c r="T132" i="89" s="1"/>
  <c r="S132" i="89" a="1"/>
  <c r="S132" i="89" s="1"/>
  <c r="R132" i="89" a="1"/>
  <c r="R132" i="89" s="1"/>
  <c r="Q132" i="89" a="1"/>
  <c r="Q132" i="89" s="1"/>
  <c r="P132" i="89" a="1"/>
  <c r="P132" i="89" s="1"/>
  <c r="O132" i="89" a="1"/>
  <c r="O132" i="89" s="1"/>
  <c r="N132" i="89" a="1"/>
  <c r="N132" i="89" s="1"/>
  <c r="M132" i="89" a="1"/>
  <c r="M132" i="89" s="1"/>
  <c r="L132" i="89" a="1"/>
  <c r="L132" i="89" s="1"/>
  <c r="K132" i="89" a="1"/>
  <c r="K132" i="89" s="1"/>
  <c r="J132" i="89" a="1"/>
  <c r="J132" i="89" s="1"/>
  <c r="I132" i="89" a="1"/>
  <c r="I132" i="89" s="1"/>
  <c r="H132" i="89" a="1"/>
  <c r="H132" i="89" s="1"/>
  <c r="G132" i="89" a="1"/>
  <c r="G132" i="89" s="1"/>
  <c r="F132" i="89" a="1"/>
  <c r="F132" i="89" s="1"/>
  <c r="E132" i="89" a="1"/>
  <c r="E132" i="89" s="1"/>
  <c r="D132" i="89" a="1"/>
  <c r="D132" i="89" s="1"/>
  <c r="AH131" i="89" a="1"/>
  <c r="AH131" i="89" s="1"/>
  <c r="AG131" i="89" a="1"/>
  <c r="AG131" i="89" s="1"/>
  <c r="AF131" i="89" a="1"/>
  <c r="AF131" i="89" s="1"/>
  <c r="AE131" i="89" a="1"/>
  <c r="AE131" i="89" s="1"/>
  <c r="AD131" i="89" a="1"/>
  <c r="AD131" i="89" s="1"/>
  <c r="AC131" i="89" a="1"/>
  <c r="AC131" i="89" s="1"/>
  <c r="AB131" i="89" a="1"/>
  <c r="AB131" i="89" s="1"/>
  <c r="AA131" i="89" a="1"/>
  <c r="AA131" i="89" s="1"/>
  <c r="Z131" i="89" a="1"/>
  <c r="Z131" i="89" s="1"/>
  <c r="Y131" i="89" a="1"/>
  <c r="Y131" i="89" s="1"/>
  <c r="X131" i="89" a="1"/>
  <c r="X131" i="89" s="1"/>
  <c r="W131" i="89" a="1"/>
  <c r="W131" i="89" s="1"/>
  <c r="V131" i="89" a="1"/>
  <c r="V131" i="89" s="1"/>
  <c r="U131" i="89" a="1"/>
  <c r="U131" i="89" s="1"/>
  <c r="T131" i="89" a="1"/>
  <c r="T131" i="89" s="1"/>
  <c r="S131" i="89" a="1"/>
  <c r="S131" i="89" s="1"/>
  <c r="R131" i="89" a="1"/>
  <c r="R131" i="89" s="1"/>
  <c r="Q131" i="89" a="1"/>
  <c r="Q131" i="89" s="1"/>
  <c r="P131" i="89" a="1"/>
  <c r="P131" i="89" s="1"/>
  <c r="O131" i="89" a="1"/>
  <c r="O131" i="89" s="1"/>
  <c r="N131" i="89" a="1"/>
  <c r="N131" i="89" s="1"/>
  <c r="M131" i="89" a="1"/>
  <c r="M131" i="89" s="1"/>
  <c r="L131" i="89" a="1"/>
  <c r="L131" i="89" s="1"/>
  <c r="K131" i="89" a="1"/>
  <c r="K131" i="89" s="1"/>
  <c r="J131" i="89" a="1"/>
  <c r="J131" i="89" s="1"/>
  <c r="I131" i="89" a="1"/>
  <c r="I131" i="89" s="1"/>
  <c r="H131" i="89" a="1"/>
  <c r="H131" i="89" s="1"/>
  <c r="G131" i="89" a="1"/>
  <c r="G131" i="89" s="1"/>
  <c r="F131" i="89" a="1"/>
  <c r="F131" i="89" s="1"/>
  <c r="E131" i="89" a="1"/>
  <c r="E131" i="89" s="1"/>
  <c r="D131" i="89" a="1"/>
  <c r="D131" i="89" s="1"/>
  <c r="AH130" i="89" a="1"/>
  <c r="AH130" i="89" s="1"/>
  <c r="AG130" i="89" a="1"/>
  <c r="AG130" i="89" s="1"/>
  <c r="AF130" i="89" a="1"/>
  <c r="AF130" i="89" s="1"/>
  <c r="AE130" i="89" a="1"/>
  <c r="AE130" i="89" s="1"/>
  <c r="AD130" i="89" a="1"/>
  <c r="AD130" i="89" s="1"/>
  <c r="AC130" i="89" a="1"/>
  <c r="AC130" i="89" s="1"/>
  <c r="AB130" i="89" a="1"/>
  <c r="AB130" i="89" s="1"/>
  <c r="AA130" i="89" a="1"/>
  <c r="AA130" i="89" s="1"/>
  <c r="Z130" i="89" a="1"/>
  <c r="Z130" i="89" s="1"/>
  <c r="Y130" i="89" a="1"/>
  <c r="Y130" i="89" s="1"/>
  <c r="X130" i="89" a="1"/>
  <c r="X130" i="89" s="1"/>
  <c r="W130" i="89" a="1"/>
  <c r="W130" i="89" s="1"/>
  <c r="V130" i="89" a="1"/>
  <c r="V130" i="89" s="1"/>
  <c r="U130" i="89" a="1"/>
  <c r="U130" i="89" s="1"/>
  <c r="T130" i="89" a="1"/>
  <c r="T130" i="89" s="1"/>
  <c r="S130" i="89" a="1"/>
  <c r="S130" i="89" s="1"/>
  <c r="R130" i="89" a="1"/>
  <c r="R130" i="89" s="1"/>
  <c r="Q130" i="89" a="1"/>
  <c r="Q130" i="89" s="1"/>
  <c r="P130" i="89" a="1"/>
  <c r="P130" i="89" s="1"/>
  <c r="O130" i="89" a="1"/>
  <c r="O130" i="89" s="1"/>
  <c r="N130" i="89" a="1"/>
  <c r="N130" i="89" s="1"/>
  <c r="M130" i="89" a="1"/>
  <c r="M130" i="89" s="1"/>
  <c r="L130" i="89" a="1"/>
  <c r="L130" i="89" s="1"/>
  <c r="K130" i="89" a="1"/>
  <c r="K130" i="89" s="1"/>
  <c r="J130" i="89" a="1"/>
  <c r="J130" i="89" s="1"/>
  <c r="I130" i="89" a="1"/>
  <c r="I130" i="89" s="1"/>
  <c r="H130" i="89" a="1"/>
  <c r="H130" i="89" s="1"/>
  <c r="G130" i="89" a="1"/>
  <c r="G130" i="89" s="1"/>
  <c r="F130" i="89" a="1"/>
  <c r="F130" i="89" s="1"/>
  <c r="E130" i="89" a="1"/>
  <c r="E130" i="89" s="1"/>
  <c r="D130" i="89" a="1"/>
  <c r="D130" i="89" s="1"/>
  <c r="AH129" i="89" a="1"/>
  <c r="AH129" i="89" s="1"/>
  <c r="AG129" i="89" a="1"/>
  <c r="AG129" i="89" s="1"/>
  <c r="AF129" i="89" a="1"/>
  <c r="AF129" i="89" s="1"/>
  <c r="AE129" i="89" a="1"/>
  <c r="AE129" i="89" s="1"/>
  <c r="AD129" i="89" a="1"/>
  <c r="AD129" i="89" s="1"/>
  <c r="AC129" i="89" a="1"/>
  <c r="AC129" i="89" s="1"/>
  <c r="AB129" i="89" a="1"/>
  <c r="AB129" i="89" s="1"/>
  <c r="AA129" i="89" a="1"/>
  <c r="AA129" i="89" s="1"/>
  <c r="Z129" i="89" a="1"/>
  <c r="Z129" i="89" s="1"/>
  <c r="Y129" i="89" a="1"/>
  <c r="Y129" i="89" s="1"/>
  <c r="X129" i="89" a="1"/>
  <c r="X129" i="89" s="1"/>
  <c r="W129" i="89" a="1"/>
  <c r="W129" i="89" s="1"/>
  <c r="V129" i="89" a="1"/>
  <c r="V129" i="89" s="1"/>
  <c r="U129" i="89" a="1"/>
  <c r="U129" i="89" s="1"/>
  <c r="T129" i="89" a="1"/>
  <c r="T129" i="89" s="1"/>
  <c r="S129" i="89" a="1"/>
  <c r="S129" i="89" s="1"/>
  <c r="R129" i="89" a="1"/>
  <c r="R129" i="89" s="1"/>
  <c r="Q129" i="89" a="1"/>
  <c r="Q129" i="89" s="1"/>
  <c r="P129" i="89" a="1"/>
  <c r="P129" i="89" s="1"/>
  <c r="O129" i="89" a="1"/>
  <c r="O129" i="89" s="1"/>
  <c r="N129" i="89" a="1"/>
  <c r="N129" i="89" s="1"/>
  <c r="M129" i="89" a="1"/>
  <c r="M129" i="89" s="1"/>
  <c r="L129" i="89" a="1"/>
  <c r="L129" i="89" s="1"/>
  <c r="K129" i="89" a="1"/>
  <c r="K129" i="89" s="1"/>
  <c r="J129" i="89" a="1"/>
  <c r="J129" i="89" s="1"/>
  <c r="I129" i="89" a="1"/>
  <c r="I129" i="89" s="1"/>
  <c r="H129" i="89" a="1"/>
  <c r="H129" i="89" s="1"/>
  <c r="G129" i="89" a="1"/>
  <c r="G129" i="89" s="1"/>
  <c r="F129" i="89" a="1"/>
  <c r="F129" i="89" s="1"/>
  <c r="E129" i="89" a="1"/>
  <c r="E129" i="89" s="1"/>
  <c r="D129" i="89" a="1"/>
  <c r="D129" i="89" s="1"/>
  <c r="AH128" i="89" a="1"/>
  <c r="AH128" i="89" s="1"/>
  <c r="AG128" i="89" a="1"/>
  <c r="AG128" i="89" s="1"/>
  <c r="AF128" i="89" a="1"/>
  <c r="AF128" i="89" s="1"/>
  <c r="AE128" i="89" a="1"/>
  <c r="AE128" i="89" s="1"/>
  <c r="AD128" i="89" a="1"/>
  <c r="AD128" i="89" s="1"/>
  <c r="AC128" i="89" a="1"/>
  <c r="AC128" i="89" s="1"/>
  <c r="AB128" i="89" a="1"/>
  <c r="AB128" i="89" s="1"/>
  <c r="AA128" i="89" a="1"/>
  <c r="AA128" i="89" s="1"/>
  <c r="Z128" i="89" a="1"/>
  <c r="Z128" i="89" s="1"/>
  <c r="Y128" i="89" a="1"/>
  <c r="Y128" i="89" s="1"/>
  <c r="X128" i="89" a="1"/>
  <c r="X128" i="89" s="1"/>
  <c r="W128" i="89" a="1"/>
  <c r="W128" i="89" s="1"/>
  <c r="V128" i="89" a="1"/>
  <c r="V128" i="89" s="1"/>
  <c r="U128" i="89" a="1"/>
  <c r="U128" i="89" s="1"/>
  <c r="T128" i="89" a="1"/>
  <c r="T128" i="89" s="1"/>
  <c r="S128" i="89" a="1"/>
  <c r="S128" i="89" s="1"/>
  <c r="R128" i="89" a="1"/>
  <c r="R128" i="89" s="1"/>
  <c r="Q128" i="89" a="1"/>
  <c r="Q128" i="89" s="1"/>
  <c r="P128" i="89" a="1"/>
  <c r="P128" i="89" s="1"/>
  <c r="O128" i="89" a="1"/>
  <c r="O128" i="89" s="1"/>
  <c r="N128" i="89" a="1"/>
  <c r="N128" i="89" s="1"/>
  <c r="M128" i="89" a="1"/>
  <c r="M128" i="89" s="1"/>
  <c r="L128" i="89" a="1"/>
  <c r="L128" i="89" s="1"/>
  <c r="K128" i="89" a="1"/>
  <c r="K128" i="89" s="1"/>
  <c r="J128" i="89" a="1"/>
  <c r="J128" i="89" s="1"/>
  <c r="I128" i="89" a="1"/>
  <c r="I128" i="89" s="1"/>
  <c r="H128" i="89" a="1"/>
  <c r="H128" i="89" s="1"/>
  <c r="G128" i="89" a="1"/>
  <c r="G128" i="89" s="1"/>
  <c r="F128" i="89" a="1"/>
  <c r="F128" i="89" s="1"/>
  <c r="E128" i="89" a="1"/>
  <c r="E128" i="89" s="1"/>
  <c r="D128" i="89" a="1"/>
  <c r="D128" i="89" s="1"/>
  <c r="AH127" i="89" a="1"/>
  <c r="AH127" i="89" s="1"/>
  <c r="AG127" i="89" a="1"/>
  <c r="AG127" i="89" s="1"/>
  <c r="AF127" i="89" a="1"/>
  <c r="AF127" i="89" s="1"/>
  <c r="AE127" i="89" a="1"/>
  <c r="AE127" i="89" s="1"/>
  <c r="AD127" i="89" a="1"/>
  <c r="AD127" i="89" s="1"/>
  <c r="AC127" i="89" a="1"/>
  <c r="AC127" i="89" s="1"/>
  <c r="AB127" i="89" a="1"/>
  <c r="AB127" i="89" s="1"/>
  <c r="AA127" i="89" a="1"/>
  <c r="AA127" i="89" s="1"/>
  <c r="Z127" i="89" a="1"/>
  <c r="Z127" i="89" s="1"/>
  <c r="Y127" i="89" a="1"/>
  <c r="Y127" i="89" s="1"/>
  <c r="X127" i="89" a="1"/>
  <c r="X127" i="89" s="1"/>
  <c r="W127" i="89" a="1"/>
  <c r="W127" i="89" s="1"/>
  <c r="V127" i="89" a="1"/>
  <c r="V127" i="89" s="1"/>
  <c r="U127" i="89" a="1"/>
  <c r="U127" i="89" s="1"/>
  <c r="T127" i="89" a="1"/>
  <c r="T127" i="89" s="1"/>
  <c r="S127" i="89" a="1"/>
  <c r="S127" i="89" s="1"/>
  <c r="R127" i="89" a="1"/>
  <c r="R127" i="89" s="1"/>
  <c r="Q127" i="89" a="1"/>
  <c r="Q127" i="89" s="1"/>
  <c r="P127" i="89" a="1"/>
  <c r="P127" i="89" s="1"/>
  <c r="O127" i="89" a="1"/>
  <c r="O127" i="89" s="1"/>
  <c r="N127" i="89" a="1"/>
  <c r="N127" i="89" s="1"/>
  <c r="M127" i="89" a="1"/>
  <c r="M127" i="89" s="1"/>
  <c r="L127" i="89" a="1"/>
  <c r="L127" i="89" s="1"/>
  <c r="K127" i="89" a="1"/>
  <c r="K127" i="89" s="1"/>
  <c r="J127" i="89" a="1"/>
  <c r="J127" i="89" s="1"/>
  <c r="I127" i="89" a="1"/>
  <c r="I127" i="89" s="1"/>
  <c r="H127" i="89" a="1"/>
  <c r="H127" i="89" s="1"/>
  <c r="G127" i="89" a="1"/>
  <c r="G127" i="89" s="1"/>
  <c r="F127" i="89" a="1"/>
  <c r="F127" i="89" s="1"/>
  <c r="E127" i="89" a="1"/>
  <c r="E127" i="89" s="1"/>
  <c r="D127" i="89" a="1"/>
  <c r="D127" i="89" s="1"/>
  <c r="AH126" i="89" a="1"/>
  <c r="AH126" i="89" s="1"/>
  <c r="AG126" i="89" a="1"/>
  <c r="AG126" i="89" s="1"/>
  <c r="AF126" i="89" a="1"/>
  <c r="AF126" i="89" s="1"/>
  <c r="AE126" i="89" a="1"/>
  <c r="AE126" i="89" s="1"/>
  <c r="AD126" i="89" a="1"/>
  <c r="AD126" i="89" s="1"/>
  <c r="AC126" i="89" a="1"/>
  <c r="AC126" i="89" s="1"/>
  <c r="AB126" i="89" a="1"/>
  <c r="AB126" i="89" s="1"/>
  <c r="AA126" i="89" a="1"/>
  <c r="AA126" i="89" s="1"/>
  <c r="Z126" i="89" a="1"/>
  <c r="Z126" i="89" s="1"/>
  <c r="Y126" i="89" a="1"/>
  <c r="Y126" i="89" s="1"/>
  <c r="X126" i="89" a="1"/>
  <c r="X126" i="89" s="1"/>
  <c r="W126" i="89" a="1"/>
  <c r="W126" i="89" s="1"/>
  <c r="V126" i="89" a="1"/>
  <c r="V126" i="89" s="1"/>
  <c r="U126" i="89" a="1"/>
  <c r="U126" i="89" s="1"/>
  <c r="T126" i="89" a="1"/>
  <c r="T126" i="89" s="1"/>
  <c r="S126" i="89" a="1"/>
  <c r="S126" i="89" s="1"/>
  <c r="R126" i="89" a="1"/>
  <c r="R126" i="89" s="1"/>
  <c r="Q126" i="89" a="1"/>
  <c r="Q126" i="89" s="1"/>
  <c r="P126" i="89" a="1"/>
  <c r="P126" i="89" s="1"/>
  <c r="O126" i="89" a="1"/>
  <c r="O126" i="89" s="1"/>
  <c r="N126" i="89" a="1"/>
  <c r="N126" i="89" s="1"/>
  <c r="M126" i="89" a="1"/>
  <c r="M126" i="89" s="1"/>
  <c r="L126" i="89" a="1"/>
  <c r="L126" i="89" s="1"/>
  <c r="K126" i="89" a="1"/>
  <c r="K126" i="89" s="1"/>
  <c r="J126" i="89" a="1"/>
  <c r="J126" i="89" s="1"/>
  <c r="I126" i="89" a="1"/>
  <c r="I126" i="89" s="1"/>
  <c r="H126" i="89" a="1"/>
  <c r="H126" i="89" s="1"/>
  <c r="G126" i="89" a="1"/>
  <c r="G126" i="89" s="1"/>
  <c r="F126" i="89" a="1"/>
  <c r="F126" i="89" s="1"/>
  <c r="E126" i="89" a="1"/>
  <c r="E126" i="89" s="1"/>
  <c r="D126" i="89" a="1"/>
  <c r="D126" i="89" s="1"/>
  <c r="AH125" i="89" a="1"/>
  <c r="AH125" i="89" s="1"/>
  <c r="AG125" i="89" a="1"/>
  <c r="AG125" i="89" s="1"/>
  <c r="AF125" i="89" a="1"/>
  <c r="AF125" i="89" s="1"/>
  <c r="AE125" i="89" a="1"/>
  <c r="AE125" i="89" s="1"/>
  <c r="AD125" i="89" a="1"/>
  <c r="AD125" i="89" s="1"/>
  <c r="AC125" i="89" a="1"/>
  <c r="AC125" i="89" s="1"/>
  <c r="AB125" i="89" a="1"/>
  <c r="AB125" i="89" s="1"/>
  <c r="AA125" i="89" a="1"/>
  <c r="AA125" i="89" s="1"/>
  <c r="Z125" i="89" a="1"/>
  <c r="Z125" i="89" s="1"/>
  <c r="Y125" i="89" a="1"/>
  <c r="Y125" i="89" s="1"/>
  <c r="X125" i="89" a="1"/>
  <c r="X125" i="89" s="1"/>
  <c r="W125" i="89" a="1"/>
  <c r="W125" i="89" s="1"/>
  <c r="V125" i="89" a="1"/>
  <c r="V125" i="89" s="1"/>
  <c r="U125" i="89" a="1"/>
  <c r="U125" i="89" s="1"/>
  <c r="T125" i="89" a="1"/>
  <c r="T125" i="89" s="1"/>
  <c r="S125" i="89" a="1"/>
  <c r="S125" i="89" s="1"/>
  <c r="R125" i="89" a="1"/>
  <c r="R125" i="89" s="1"/>
  <c r="Q125" i="89" a="1"/>
  <c r="Q125" i="89" s="1"/>
  <c r="P125" i="89" a="1"/>
  <c r="P125" i="89" s="1"/>
  <c r="O125" i="89" a="1"/>
  <c r="O125" i="89" s="1"/>
  <c r="N125" i="89" a="1"/>
  <c r="N125" i="89" s="1"/>
  <c r="M125" i="89" a="1"/>
  <c r="M125" i="89" s="1"/>
  <c r="L125" i="89" a="1"/>
  <c r="L125" i="89" s="1"/>
  <c r="K125" i="89" a="1"/>
  <c r="K125" i="89" s="1"/>
  <c r="J125" i="89" a="1"/>
  <c r="J125" i="89" s="1"/>
  <c r="I125" i="89" a="1"/>
  <c r="I125" i="89" s="1"/>
  <c r="H125" i="89" a="1"/>
  <c r="H125" i="89" s="1"/>
  <c r="G125" i="89" a="1"/>
  <c r="G125" i="89" s="1"/>
  <c r="F125" i="89" a="1"/>
  <c r="F125" i="89" s="1"/>
  <c r="E125" i="89" a="1"/>
  <c r="E125" i="89" s="1"/>
  <c r="D125" i="89" a="1"/>
  <c r="D125" i="89" s="1"/>
  <c r="AH124" i="89" a="1"/>
  <c r="AH124" i="89" s="1"/>
  <c r="AG124" i="89" a="1"/>
  <c r="AG124" i="89" s="1"/>
  <c r="AF124" i="89" a="1"/>
  <c r="AF124" i="89" s="1"/>
  <c r="AE124" i="89" a="1"/>
  <c r="AE124" i="89" s="1"/>
  <c r="AD124" i="89" a="1"/>
  <c r="AD124" i="89" s="1"/>
  <c r="AC124" i="89" a="1"/>
  <c r="AC124" i="89" s="1"/>
  <c r="AB124" i="89" a="1"/>
  <c r="AB124" i="89" s="1"/>
  <c r="AA124" i="89" a="1"/>
  <c r="AA124" i="89" s="1"/>
  <c r="Z124" i="89" a="1"/>
  <c r="Z124" i="89" s="1"/>
  <c r="Y124" i="89" a="1"/>
  <c r="Y124" i="89" s="1"/>
  <c r="X124" i="89" a="1"/>
  <c r="X124" i="89" s="1"/>
  <c r="W124" i="89" a="1"/>
  <c r="W124" i="89" s="1"/>
  <c r="V124" i="89" a="1"/>
  <c r="V124" i="89" s="1"/>
  <c r="U124" i="89" a="1"/>
  <c r="U124" i="89" s="1"/>
  <c r="T124" i="89" a="1"/>
  <c r="T124" i="89" s="1"/>
  <c r="S124" i="89" a="1"/>
  <c r="S124" i="89" s="1"/>
  <c r="R124" i="89" a="1"/>
  <c r="R124" i="89" s="1"/>
  <c r="Q124" i="89" a="1"/>
  <c r="Q124" i="89" s="1"/>
  <c r="P124" i="89" a="1"/>
  <c r="P124" i="89" s="1"/>
  <c r="O124" i="89" a="1"/>
  <c r="O124" i="89" s="1"/>
  <c r="N124" i="89" a="1"/>
  <c r="N124" i="89" s="1"/>
  <c r="M124" i="89" a="1"/>
  <c r="M124" i="89" s="1"/>
  <c r="L124" i="89" a="1"/>
  <c r="L124" i="89" s="1"/>
  <c r="K124" i="89" a="1"/>
  <c r="K124" i="89" s="1"/>
  <c r="J124" i="89" a="1"/>
  <c r="J124" i="89" s="1"/>
  <c r="I124" i="89" a="1"/>
  <c r="I124" i="89" s="1"/>
  <c r="H124" i="89" a="1"/>
  <c r="H124" i="89" s="1"/>
  <c r="G124" i="89" a="1"/>
  <c r="G124" i="89" s="1"/>
  <c r="F124" i="89" a="1"/>
  <c r="F124" i="89" s="1"/>
  <c r="E124" i="89" a="1"/>
  <c r="E124" i="89" s="1"/>
  <c r="D124" i="89" a="1"/>
  <c r="D124" i="89" s="1"/>
  <c r="AH123" i="89" a="1"/>
  <c r="AH123" i="89" s="1"/>
  <c r="AG123" i="89" a="1"/>
  <c r="AG123" i="89" s="1"/>
  <c r="AF123" i="89" a="1"/>
  <c r="AF123" i="89" s="1"/>
  <c r="AE123" i="89" a="1"/>
  <c r="AE123" i="89" s="1"/>
  <c r="AD123" i="89" a="1"/>
  <c r="AD123" i="89" s="1"/>
  <c r="AC123" i="89" a="1"/>
  <c r="AC123" i="89" s="1"/>
  <c r="AB123" i="89" a="1"/>
  <c r="AB123" i="89" s="1"/>
  <c r="AA123" i="89" a="1"/>
  <c r="AA123" i="89" s="1"/>
  <c r="Z123" i="89" a="1"/>
  <c r="Z123" i="89" s="1"/>
  <c r="Y123" i="89" a="1"/>
  <c r="Y123" i="89" s="1"/>
  <c r="X123" i="89" a="1"/>
  <c r="X123" i="89" s="1"/>
  <c r="W123" i="89" a="1"/>
  <c r="W123" i="89" s="1"/>
  <c r="V123" i="89" a="1"/>
  <c r="V123" i="89" s="1"/>
  <c r="U123" i="89" a="1"/>
  <c r="U123" i="89" s="1"/>
  <c r="T123" i="89" a="1"/>
  <c r="T123" i="89" s="1"/>
  <c r="S123" i="89" a="1"/>
  <c r="S123" i="89" s="1"/>
  <c r="R123" i="89" a="1"/>
  <c r="R123" i="89" s="1"/>
  <c r="Q123" i="89" a="1"/>
  <c r="Q123" i="89" s="1"/>
  <c r="P123" i="89" a="1"/>
  <c r="P123" i="89" s="1"/>
  <c r="O123" i="89" a="1"/>
  <c r="O123" i="89" s="1"/>
  <c r="N123" i="89" a="1"/>
  <c r="N123" i="89" s="1"/>
  <c r="M123" i="89" a="1"/>
  <c r="M123" i="89" s="1"/>
  <c r="L123" i="89" a="1"/>
  <c r="L123" i="89" s="1"/>
  <c r="K123" i="89" a="1"/>
  <c r="K123" i="89" s="1"/>
  <c r="J123" i="89" a="1"/>
  <c r="J123" i="89" s="1"/>
  <c r="I123" i="89" a="1"/>
  <c r="I123" i="89" s="1"/>
  <c r="H123" i="89" a="1"/>
  <c r="H123" i="89" s="1"/>
  <c r="G123" i="89" a="1"/>
  <c r="G123" i="89" s="1"/>
  <c r="F123" i="89" a="1"/>
  <c r="F123" i="89" s="1"/>
  <c r="E123" i="89" a="1"/>
  <c r="E123" i="89" s="1"/>
  <c r="D123" i="89" a="1"/>
  <c r="D123" i="89" s="1"/>
  <c r="AH122" i="89" a="1"/>
  <c r="AH122" i="89" s="1"/>
  <c r="AG122" i="89" a="1"/>
  <c r="AG122" i="89" s="1"/>
  <c r="AF122" i="89" a="1"/>
  <c r="AF122" i="89" s="1"/>
  <c r="AE122" i="89" a="1"/>
  <c r="AE122" i="89" s="1"/>
  <c r="AD122" i="89" a="1"/>
  <c r="AD122" i="89" s="1"/>
  <c r="AC122" i="89" a="1"/>
  <c r="AC122" i="89" s="1"/>
  <c r="AB122" i="89" a="1"/>
  <c r="AB122" i="89" s="1"/>
  <c r="AA122" i="89" a="1"/>
  <c r="AA122" i="89" s="1"/>
  <c r="Z122" i="89" a="1"/>
  <c r="Z122" i="89" s="1"/>
  <c r="Y122" i="89" a="1"/>
  <c r="Y122" i="89" s="1"/>
  <c r="X122" i="89" a="1"/>
  <c r="X122" i="89" s="1"/>
  <c r="W122" i="89" a="1"/>
  <c r="W122" i="89" s="1"/>
  <c r="V122" i="89" a="1"/>
  <c r="V122" i="89" s="1"/>
  <c r="U122" i="89" a="1"/>
  <c r="U122" i="89" s="1"/>
  <c r="T122" i="89" a="1"/>
  <c r="T122" i="89" s="1"/>
  <c r="S122" i="89" a="1"/>
  <c r="S122" i="89" s="1"/>
  <c r="R122" i="89" a="1"/>
  <c r="R122" i="89" s="1"/>
  <c r="Q122" i="89" a="1"/>
  <c r="Q122" i="89" s="1"/>
  <c r="P122" i="89" a="1"/>
  <c r="P122" i="89" s="1"/>
  <c r="O122" i="89" a="1"/>
  <c r="O122" i="89" s="1"/>
  <c r="N122" i="89" a="1"/>
  <c r="N122" i="89" s="1"/>
  <c r="M122" i="89" a="1"/>
  <c r="M122" i="89" s="1"/>
  <c r="L122" i="89" a="1"/>
  <c r="L122" i="89" s="1"/>
  <c r="K122" i="89" a="1"/>
  <c r="K122" i="89" s="1"/>
  <c r="J122" i="89" a="1"/>
  <c r="J122" i="89" s="1"/>
  <c r="I122" i="89" a="1"/>
  <c r="I122" i="89" s="1"/>
  <c r="H122" i="89" a="1"/>
  <c r="H122" i="89" s="1"/>
  <c r="G122" i="89" a="1"/>
  <c r="G122" i="89" s="1"/>
  <c r="F122" i="89" a="1"/>
  <c r="F122" i="89" s="1"/>
  <c r="E122" i="89" a="1"/>
  <c r="E122" i="89" s="1"/>
  <c r="D122" i="89" a="1"/>
  <c r="D122" i="89" s="1"/>
  <c r="AH121" i="89" a="1"/>
  <c r="AH121" i="89" s="1"/>
  <c r="AG121" i="89" a="1"/>
  <c r="AG121" i="89" s="1"/>
  <c r="AF121" i="89" a="1"/>
  <c r="AF121" i="89" s="1"/>
  <c r="AE121" i="89" a="1"/>
  <c r="AE121" i="89" s="1"/>
  <c r="AD121" i="89" a="1"/>
  <c r="AD121" i="89" s="1"/>
  <c r="AC121" i="89" a="1"/>
  <c r="AC121" i="89" s="1"/>
  <c r="AB121" i="89" a="1"/>
  <c r="AB121" i="89" s="1"/>
  <c r="AA121" i="89" a="1"/>
  <c r="AA121" i="89" s="1"/>
  <c r="Z121" i="89" a="1"/>
  <c r="Z121" i="89" s="1"/>
  <c r="Y121" i="89" a="1"/>
  <c r="Y121" i="89" s="1"/>
  <c r="X121" i="89" a="1"/>
  <c r="X121" i="89" s="1"/>
  <c r="W121" i="89" a="1"/>
  <c r="W121" i="89" s="1"/>
  <c r="V121" i="89" a="1"/>
  <c r="V121" i="89" s="1"/>
  <c r="U121" i="89" a="1"/>
  <c r="U121" i="89" s="1"/>
  <c r="T121" i="89" a="1"/>
  <c r="T121" i="89" s="1"/>
  <c r="S121" i="89" a="1"/>
  <c r="S121" i="89" s="1"/>
  <c r="R121" i="89" a="1"/>
  <c r="R121" i="89" s="1"/>
  <c r="Q121" i="89" a="1"/>
  <c r="Q121" i="89" s="1"/>
  <c r="P121" i="89" a="1"/>
  <c r="P121" i="89" s="1"/>
  <c r="O121" i="89" a="1"/>
  <c r="O121" i="89" s="1"/>
  <c r="N121" i="89" a="1"/>
  <c r="N121" i="89" s="1"/>
  <c r="M121" i="89" a="1"/>
  <c r="M121" i="89" s="1"/>
  <c r="L121" i="89" a="1"/>
  <c r="L121" i="89" s="1"/>
  <c r="K121" i="89" a="1"/>
  <c r="K121" i="89" s="1"/>
  <c r="J121" i="89" a="1"/>
  <c r="J121" i="89" s="1"/>
  <c r="I121" i="89" a="1"/>
  <c r="I121" i="89" s="1"/>
  <c r="H121" i="89" a="1"/>
  <c r="H121" i="89" s="1"/>
  <c r="G121" i="89" a="1"/>
  <c r="G121" i="89" s="1"/>
  <c r="F121" i="89" a="1"/>
  <c r="F121" i="89" s="1"/>
  <c r="E121" i="89" a="1"/>
  <c r="E121" i="89" s="1"/>
  <c r="D121" i="89" a="1"/>
  <c r="D121" i="89" s="1"/>
  <c r="AH120" i="89" a="1"/>
  <c r="AH120" i="89" s="1"/>
  <c r="AG120" i="89" a="1"/>
  <c r="AG120" i="89" s="1"/>
  <c r="AF120" i="89" a="1"/>
  <c r="AF120" i="89" s="1"/>
  <c r="AE120" i="89" a="1"/>
  <c r="AE120" i="89" s="1"/>
  <c r="AD120" i="89" a="1"/>
  <c r="AD120" i="89" s="1"/>
  <c r="AC120" i="89" a="1"/>
  <c r="AC120" i="89" s="1"/>
  <c r="AB120" i="89" a="1"/>
  <c r="AB120" i="89" s="1"/>
  <c r="AA120" i="89" a="1"/>
  <c r="AA120" i="89" s="1"/>
  <c r="Z120" i="89" a="1"/>
  <c r="Z120" i="89" s="1"/>
  <c r="Y120" i="89" a="1"/>
  <c r="Y120" i="89" s="1"/>
  <c r="X120" i="89" a="1"/>
  <c r="X120" i="89" s="1"/>
  <c r="W120" i="89" a="1"/>
  <c r="W120" i="89" s="1"/>
  <c r="V120" i="89" a="1"/>
  <c r="V120" i="89" s="1"/>
  <c r="U120" i="89" a="1"/>
  <c r="U120" i="89" s="1"/>
  <c r="T120" i="89" a="1"/>
  <c r="T120" i="89" s="1"/>
  <c r="S120" i="89" a="1"/>
  <c r="S120" i="89" s="1"/>
  <c r="R120" i="89" a="1"/>
  <c r="R120" i="89" s="1"/>
  <c r="Q120" i="89" a="1"/>
  <c r="Q120" i="89" s="1"/>
  <c r="P120" i="89" a="1"/>
  <c r="P120" i="89" s="1"/>
  <c r="O120" i="89" a="1"/>
  <c r="O120" i="89" s="1"/>
  <c r="N120" i="89" a="1"/>
  <c r="N120" i="89" s="1"/>
  <c r="M120" i="89" a="1"/>
  <c r="M120" i="89" s="1"/>
  <c r="L120" i="89" a="1"/>
  <c r="L120" i="89" s="1"/>
  <c r="K120" i="89" a="1"/>
  <c r="K120" i="89" s="1"/>
  <c r="J120" i="89" a="1"/>
  <c r="J120" i="89" s="1"/>
  <c r="I120" i="89" a="1"/>
  <c r="I120" i="89" s="1"/>
  <c r="H120" i="89" a="1"/>
  <c r="H120" i="89" s="1"/>
  <c r="G120" i="89" a="1"/>
  <c r="G120" i="89" s="1"/>
  <c r="F120" i="89" a="1"/>
  <c r="F120" i="89" s="1"/>
  <c r="E120" i="89" a="1"/>
  <c r="E120" i="89" s="1"/>
  <c r="D120" i="89" a="1"/>
  <c r="D120" i="89" s="1"/>
  <c r="AH119" i="89" a="1"/>
  <c r="AH119" i="89" s="1"/>
  <c r="AG119" i="89" a="1"/>
  <c r="AG119" i="89" s="1"/>
  <c r="AF119" i="89" a="1"/>
  <c r="AF119" i="89" s="1"/>
  <c r="AE119" i="89" a="1"/>
  <c r="AE119" i="89" s="1"/>
  <c r="AD119" i="89" a="1"/>
  <c r="AD119" i="89" s="1"/>
  <c r="AC119" i="89" a="1"/>
  <c r="AC119" i="89" s="1"/>
  <c r="AB119" i="89" a="1"/>
  <c r="AB119" i="89" s="1"/>
  <c r="AA119" i="89" a="1"/>
  <c r="AA119" i="89" s="1"/>
  <c r="Z119" i="89" a="1"/>
  <c r="Z119" i="89" s="1"/>
  <c r="Y119" i="89" a="1"/>
  <c r="Y119" i="89" s="1"/>
  <c r="X119" i="89" a="1"/>
  <c r="X119" i="89" s="1"/>
  <c r="W119" i="89" a="1"/>
  <c r="W119" i="89" s="1"/>
  <c r="V119" i="89" a="1"/>
  <c r="V119" i="89" s="1"/>
  <c r="U119" i="89" a="1"/>
  <c r="U119" i="89" s="1"/>
  <c r="T119" i="89" a="1"/>
  <c r="T119" i="89" s="1"/>
  <c r="S119" i="89" a="1"/>
  <c r="S119" i="89" s="1"/>
  <c r="R119" i="89" a="1"/>
  <c r="R119" i="89" s="1"/>
  <c r="Q119" i="89" a="1"/>
  <c r="Q119" i="89" s="1"/>
  <c r="P119" i="89" a="1"/>
  <c r="P119" i="89" s="1"/>
  <c r="O119" i="89" a="1"/>
  <c r="O119" i="89" s="1"/>
  <c r="N119" i="89" a="1"/>
  <c r="N119" i="89" s="1"/>
  <c r="M119" i="89" a="1"/>
  <c r="M119" i="89" s="1"/>
  <c r="L119" i="89" a="1"/>
  <c r="L119" i="89" s="1"/>
  <c r="K119" i="89" a="1"/>
  <c r="K119" i="89" s="1"/>
  <c r="J119" i="89" a="1"/>
  <c r="J119" i="89" s="1"/>
  <c r="I119" i="89" a="1"/>
  <c r="I119" i="89" s="1"/>
  <c r="H119" i="89" a="1"/>
  <c r="H119" i="89" s="1"/>
  <c r="G119" i="89" a="1"/>
  <c r="G119" i="89" s="1"/>
  <c r="F119" i="89" a="1"/>
  <c r="F119" i="89" s="1"/>
  <c r="E119" i="89" a="1"/>
  <c r="E119" i="89" s="1"/>
  <c r="D119" i="89" a="1"/>
  <c r="D119" i="89" s="1"/>
  <c r="AH118" i="89" a="1"/>
  <c r="AH118" i="89" s="1"/>
  <c r="AG118" i="89" a="1"/>
  <c r="AG118" i="89" s="1"/>
  <c r="AF118" i="89" a="1"/>
  <c r="AF118" i="89" s="1"/>
  <c r="AE118" i="89" a="1"/>
  <c r="AE118" i="89" s="1"/>
  <c r="AD118" i="89" a="1"/>
  <c r="AD118" i="89" s="1"/>
  <c r="AC118" i="89" a="1"/>
  <c r="AC118" i="89" s="1"/>
  <c r="AB118" i="89" a="1"/>
  <c r="AB118" i="89" s="1"/>
  <c r="AA118" i="89" a="1"/>
  <c r="AA118" i="89" s="1"/>
  <c r="Z118" i="89" a="1"/>
  <c r="Z118" i="89" s="1"/>
  <c r="Y118" i="89" a="1"/>
  <c r="Y118" i="89" s="1"/>
  <c r="X118" i="89" a="1"/>
  <c r="X118" i="89" s="1"/>
  <c r="W118" i="89" a="1"/>
  <c r="W118" i="89" s="1"/>
  <c r="V118" i="89" a="1"/>
  <c r="V118" i="89" s="1"/>
  <c r="U118" i="89" a="1"/>
  <c r="U118" i="89" s="1"/>
  <c r="T118" i="89" a="1"/>
  <c r="T118" i="89" s="1"/>
  <c r="S118" i="89" a="1"/>
  <c r="S118" i="89" s="1"/>
  <c r="R118" i="89" a="1"/>
  <c r="R118" i="89" s="1"/>
  <c r="Q118" i="89" a="1"/>
  <c r="Q118" i="89" s="1"/>
  <c r="P118" i="89" a="1"/>
  <c r="P118" i="89" s="1"/>
  <c r="O118" i="89" a="1"/>
  <c r="O118" i="89" s="1"/>
  <c r="N118" i="89" a="1"/>
  <c r="N118" i="89" s="1"/>
  <c r="M118" i="89" a="1"/>
  <c r="M118" i="89" s="1"/>
  <c r="L118" i="89" a="1"/>
  <c r="L118" i="89" s="1"/>
  <c r="K118" i="89" a="1"/>
  <c r="K118" i="89" s="1"/>
  <c r="J118" i="89" a="1"/>
  <c r="J118" i="89" s="1"/>
  <c r="I118" i="89" a="1"/>
  <c r="I118" i="89" s="1"/>
  <c r="H118" i="89" a="1"/>
  <c r="H118" i="89" s="1"/>
  <c r="G118" i="89" a="1"/>
  <c r="G118" i="89" s="1"/>
  <c r="F118" i="89" a="1"/>
  <c r="F118" i="89" s="1"/>
  <c r="E118" i="89" a="1"/>
  <c r="E118" i="89" s="1"/>
  <c r="D118" i="89" a="1"/>
  <c r="D118" i="89" s="1"/>
  <c r="AH117" i="89" a="1"/>
  <c r="AH117" i="89" s="1"/>
  <c r="AG117" i="89" a="1"/>
  <c r="AG117" i="89" s="1"/>
  <c r="AF117" i="89" a="1"/>
  <c r="AF117" i="89" s="1"/>
  <c r="AE117" i="89" a="1"/>
  <c r="AE117" i="89" s="1"/>
  <c r="AD117" i="89" a="1"/>
  <c r="AD117" i="89" s="1"/>
  <c r="AC117" i="89" a="1"/>
  <c r="AC117" i="89" s="1"/>
  <c r="AB117" i="89" a="1"/>
  <c r="AB117" i="89" s="1"/>
  <c r="AA117" i="89" a="1"/>
  <c r="AA117" i="89" s="1"/>
  <c r="Z117" i="89" a="1"/>
  <c r="Z117" i="89" s="1"/>
  <c r="Y117" i="89" a="1"/>
  <c r="Y117" i="89" s="1"/>
  <c r="X117" i="89" a="1"/>
  <c r="X117" i="89" s="1"/>
  <c r="W117" i="89" a="1"/>
  <c r="W117" i="89" s="1"/>
  <c r="V117" i="89" a="1"/>
  <c r="V117" i="89" s="1"/>
  <c r="U117" i="89" a="1"/>
  <c r="U117" i="89" s="1"/>
  <c r="T117" i="89" a="1"/>
  <c r="T117" i="89" s="1"/>
  <c r="S117" i="89" a="1"/>
  <c r="S117" i="89" s="1"/>
  <c r="R117" i="89" a="1"/>
  <c r="R117" i="89" s="1"/>
  <c r="Q117" i="89" a="1"/>
  <c r="Q117" i="89" s="1"/>
  <c r="P117" i="89" a="1"/>
  <c r="P117" i="89" s="1"/>
  <c r="O117" i="89" a="1"/>
  <c r="O117" i="89" s="1"/>
  <c r="N117" i="89" a="1"/>
  <c r="N117" i="89" s="1"/>
  <c r="M117" i="89" a="1"/>
  <c r="M117" i="89" s="1"/>
  <c r="L117" i="89" a="1"/>
  <c r="L117" i="89" s="1"/>
  <c r="K117" i="89" a="1"/>
  <c r="K117" i="89" s="1"/>
  <c r="J117" i="89" a="1"/>
  <c r="J117" i="89" s="1"/>
  <c r="I117" i="89" a="1"/>
  <c r="I117" i="89" s="1"/>
  <c r="H117" i="89" a="1"/>
  <c r="H117" i="89" s="1"/>
  <c r="G117" i="89" a="1"/>
  <c r="G117" i="89" s="1"/>
  <c r="F117" i="89" a="1"/>
  <c r="F117" i="89" s="1"/>
  <c r="E117" i="89" a="1"/>
  <c r="E117" i="89" s="1"/>
  <c r="D117" i="89" a="1"/>
  <c r="D117" i="89" s="1"/>
  <c r="AH116" i="89" a="1"/>
  <c r="AH116" i="89" s="1"/>
  <c r="AG116" i="89" a="1"/>
  <c r="AG116" i="89" s="1"/>
  <c r="AF116" i="89" a="1"/>
  <c r="AF116" i="89" s="1"/>
  <c r="AE116" i="89" a="1"/>
  <c r="AE116" i="89" s="1"/>
  <c r="AD116" i="89" a="1"/>
  <c r="AD116" i="89" s="1"/>
  <c r="AC116" i="89" a="1"/>
  <c r="AC116" i="89" s="1"/>
  <c r="AB116" i="89" a="1"/>
  <c r="AB116" i="89" s="1"/>
  <c r="AA116" i="89" a="1"/>
  <c r="AA116" i="89" s="1"/>
  <c r="Z116" i="89" a="1"/>
  <c r="Z116" i="89" s="1"/>
  <c r="Y116" i="89" a="1"/>
  <c r="Y116" i="89" s="1"/>
  <c r="X116" i="89" a="1"/>
  <c r="X116" i="89" s="1"/>
  <c r="W116" i="89" a="1"/>
  <c r="W116" i="89" s="1"/>
  <c r="V116" i="89" a="1"/>
  <c r="V116" i="89" s="1"/>
  <c r="U116" i="89" a="1"/>
  <c r="U116" i="89" s="1"/>
  <c r="T116" i="89" a="1"/>
  <c r="T116" i="89" s="1"/>
  <c r="S116" i="89" a="1"/>
  <c r="S116" i="89" s="1"/>
  <c r="R116" i="89" a="1"/>
  <c r="R116" i="89" s="1"/>
  <c r="Q116" i="89" a="1"/>
  <c r="Q116" i="89" s="1"/>
  <c r="P116" i="89" a="1"/>
  <c r="P116" i="89" s="1"/>
  <c r="O116" i="89" a="1"/>
  <c r="O116" i="89" s="1"/>
  <c r="N116" i="89" a="1"/>
  <c r="N116" i="89" s="1"/>
  <c r="M116" i="89" a="1"/>
  <c r="M116" i="89" s="1"/>
  <c r="L116" i="89" a="1"/>
  <c r="L116" i="89" s="1"/>
  <c r="K116" i="89" a="1"/>
  <c r="K116" i="89" s="1"/>
  <c r="J116" i="89" a="1"/>
  <c r="J116" i="89" s="1"/>
  <c r="I116" i="89" a="1"/>
  <c r="I116" i="89" s="1"/>
  <c r="H116" i="89" a="1"/>
  <c r="H116" i="89" s="1"/>
  <c r="G116" i="89" a="1"/>
  <c r="G116" i="89" s="1"/>
  <c r="F116" i="89" a="1"/>
  <c r="F116" i="89" s="1"/>
  <c r="E116" i="89" a="1"/>
  <c r="E116" i="89" s="1"/>
  <c r="D116" i="89" a="1"/>
  <c r="D116" i="89" s="1"/>
  <c r="AH115" i="89" a="1"/>
  <c r="AH115" i="89" s="1"/>
  <c r="AG115" i="89" a="1"/>
  <c r="AG115" i="89" s="1"/>
  <c r="AF115" i="89" a="1"/>
  <c r="AF115" i="89" s="1"/>
  <c r="AE115" i="89" a="1"/>
  <c r="AE115" i="89" s="1"/>
  <c r="AD115" i="89" a="1"/>
  <c r="AD115" i="89" s="1"/>
  <c r="AC115" i="89" a="1"/>
  <c r="AC115" i="89" s="1"/>
  <c r="AB115" i="89" a="1"/>
  <c r="AB115" i="89" s="1"/>
  <c r="AA115" i="89" a="1"/>
  <c r="AA115" i="89" s="1"/>
  <c r="Z115" i="89" a="1"/>
  <c r="Z115" i="89" s="1"/>
  <c r="Y115" i="89" a="1"/>
  <c r="Y115" i="89" s="1"/>
  <c r="X115" i="89" a="1"/>
  <c r="X115" i="89" s="1"/>
  <c r="W115" i="89" a="1"/>
  <c r="W115" i="89" s="1"/>
  <c r="V115" i="89" a="1"/>
  <c r="V115" i="89" s="1"/>
  <c r="U115" i="89" a="1"/>
  <c r="U115" i="89" s="1"/>
  <c r="T115" i="89" a="1"/>
  <c r="T115" i="89" s="1"/>
  <c r="S115" i="89" a="1"/>
  <c r="S115" i="89" s="1"/>
  <c r="R115" i="89" a="1"/>
  <c r="R115" i="89" s="1"/>
  <c r="Q115" i="89" a="1"/>
  <c r="Q115" i="89" s="1"/>
  <c r="P115" i="89" a="1"/>
  <c r="P115" i="89" s="1"/>
  <c r="O115" i="89" a="1"/>
  <c r="O115" i="89" s="1"/>
  <c r="N115" i="89" a="1"/>
  <c r="N115" i="89" s="1"/>
  <c r="M115" i="89" a="1"/>
  <c r="M115" i="89" s="1"/>
  <c r="L115" i="89" a="1"/>
  <c r="L115" i="89" s="1"/>
  <c r="K115" i="89" a="1"/>
  <c r="K115" i="89" s="1"/>
  <c r="J115" i="89" a="1"/>
  <c r="J115" i="89" s="1"/>
  <c r="I115" i="89" a="1"/>
  <c r="I115" i="89" s="1"/>
  <c r="H115" i="89" a="1"/>
  <c r="H115" i="89" s="1"/>
  <c r="G115" i="89" a="1"/>
  <c r="G115" i="89" s="1"/>
  <c r="F115" i="89" a="1"/>
  <c r="F115" i="89" s="1"/>
  <c r="E115" i="89" a="1"/>
  <c r="E115" i="89" s="1"/>
  <c r="D115" i="89" a="1"/>
  <c r="D115" i="89" s="1"/>
  <c r="AH114" i="89" a="1"/>
  <c r="AH114" i="89" s="1"/>
  <c r="AG114" i="89" a="1"/>
  <c r="AG114" i="89" s="1"/>
  <c r="AF114" i="89" a="1"/>
  <c r="AF114" i="89" s="1"/>
  <c r="AE114" i="89" a="1"/>
  <c r="AE114" i="89" s="1"/>
  <c r="AD114" i="89" a="1"/>
  <c r="AD114" i="89" s="1"/>
  <c r="AC114" i="89" a="1"/>
  <c r="AC114" i="89" s="1"/>
  <c r="AB114" i="89" a="1"/>
  <c r="AB114" i="89" s="1"/>
  <c r="AA114" i="89" a="1"/>
  <c r="AA114" i="89" s="1"/>
  <c r="Z114" i="89" a="1"/>
  <c r="Z114" i="89" s="1"/>
  <c r="Y114" i="89" a="1"/>
  <c r="Y114" i="89" s="1"/>
  <c r="X114" i="89" a="1"/>
  <c r="X114" i="89" s="1"/>
  <c r="W114" i="89" a="1"/>
  <c r="W114" i="89" s="1"/>
  <c r="V114" i="89" a="1"/>
  <c r="V114" i="89" s="1"/>
  <c r="U114" i="89" a="1"/>
  <c r="U114" i="89" s="1"/>
  <c r="T114" i="89" a="1"/>
  <c r="T114" i="89" s="1"/>
  <c r="S114" i="89" a="1"/>
  <c r="S114" i="89" s="1"/>
  <c r="R114" i="89" a="1"/>
  <c r="R114" i="89" s="1"/>
  <c r="Q114" i="89" a="1"/>
  <c r="Q114" i="89" s="1"/>
  <c r="P114" i="89" a="1"/>
  <c r="P114" i="89" s="1"/>
  <c r="O114" i="89" a="1"/>
  <c r="O114" i="89" s="1"/>
  <c r="N114" i="89" a="1"/>
  <c r="N114" i="89" s="1"/>
  <c r="M114" i="89" a="1"/>
  <c r="M114" i="89" s="1"/>
  <c r="L114" i="89" a="1"/>
  <c r="L114" i="89" s="1"/>
  <c r="K114" i="89" a="1"/>
  <c r="K114" i="89" s="1"/>
  <c r="J114" i="89" a="1"/>
  <c r="J114" i="89" s="1"/>
  <c r="I114" i="89" a="1"/>
  <c r="I114" i="89" s="1"/>
  <c r="H114" i="89" a="1"/>
  <c r="H114" i="89" s="1"/>
  <c r="G114" i="89" a="1"/>
  <c r="G114" i="89" s="1"/>
  <c r="F114" i="89" a="1"/>
  <c r="F114" i="89" s="1"/>
  <c r="E114" i="89" a="1"/>
  <c r="E114" i="89" s="1"/>
  <c r="D114" i="89" a="1"/>
  <c r="D114" i="89" s="1"/>
  <c r="AH113" i="89" a="1"/>
  <c r="AH113" i="89" s="1"/>
  <c r="AG113" i="89" a="1"/>
  <c r="AG113" i="89" s="1"/>
  <c r="AF113" i="89" a="1"/>
  <c r="AF113" i="89" s="1"/>
  <c r="AE113" i="89" a="1"/>
  <c r="AE113" i="89" s="1"/>
  <c r="AD113" i="89" a="1"/>
  <c r="AD113" i="89" s="1"/>
  <c r="AC113" i="89" a="1"/>
  <c r="AC113" i="89" s="1"/>
  <c r="AB113" i="89" a="1"/>
  <c r="AB113" i="89" s="1"/>
  <c r="AA113" i="89" a="1"/>
  <c r="AA113" i="89" s="1"/>
  <c r="Z113" i="89" a="1"/>
  <c r="Z113" i="89" s="1"/>
  <c r="Y113" i="89" a="1"/>
  <c r="Y113" i="89" s="1"/>
  <c r="X113" i="89" a="1"/>
  <c r="X113" i="89" s="1"/>
  <c r="W113" i="89" a="1"/>
  <c r="W113" i="89" s="1"/>
  <c r="V113" i="89" a="1"/>
  <c r="V113" i="89" s="1"/>
  <c r="U113" i="89" a="1"/>
  <c r="U113" i="89" s="1"/>
  <c r="T113" i="89" a="1"/>
  <c r="T113" i="89" s="1"/>
  <c r="S113" i="89" a="1"/>
  <c r="S113" i="89" s="1"/>
  <c r="R113" i="89" a="1"/>
  <c r="R113" i="89" s="1"/>
  <c r="Q113" i="89" a="1"/>
  <c r="Q113" i="89" s="1"/>
  <c r="P113" i="89" a="1"/>
  <c r="P113" i="89" s="1"/>
  <c r="O113" i="89" a="1"/>
  <c r="O113" i="89" s="1"/>
  <c r="N113" i="89" a="1"/>
  <c r="N113" i="89" s="1"/>
  <c r="M113" i="89" a="1"/>
  <c r="M113" i="89" s="1"/>
  <c r="L113" i="89" a="1"/>
  <c r="L113" i="89" s="1"/>
  <c r="K113" i="89" a="1"/>
  <c r="K113" i="89" s="1"/>
  <c r="J113" i="89" a="1"/>
  <c r="J113" i="89" s="1"/>
  <c r="I113" i="89" a="1"/>
  <c r="I113" i="89" s="1"/>
  <c r="H113" i="89" a="1"/>
  <c r="H113" i="89" s="1"/>
  <c r="G113" i="89" a="1"/>
  <c r="G113" i="89" s="1"/>
  <c r="F113" i="89" a="1"/>
  <c r="F113" i="89" s="1"/>
  <c r="E113" i="89" a="1"/>
  <c r="E113" i="89" s="1"/>
  <c r="D113" i="89" a="1"/>
  <c r="D113" i="89" s="1"/>
  <c r="AH112" i="89" a="1"/>
  <c r="AH112" i="89" s="1"/>
  <c r="AG112" i="89" a="1"/>
  <c r="AG112" i="89" s="1"/>
  <c r="AF112" i="89" a="1"/>
  <c r="AF112" i="89" s="1"/>
  <c r="AE112" i="89" a="1"/>
  <c r="AE112" i="89" s="1"/>
  <c r="AD112" i="89" a="1"/>
  <c r="AD112" i="89" s="1"/>
  <c r="AC112" i="89" a="1"/>
  <c r="AC112" i="89" s="1"/>
  <c r="AB112" i="89" a="1"/>
  <c r="AB112" i="89" s="1"/>
  <c r="AA112" i="89" a="1"/>
  <c r="AA112" i="89" s="1"/>
  <c r="Z112" i="89" a="1"/>
  <c r="Z112" i="89" s="1"/>
  <c r="Y112" i="89" a="1"/>
  <c r="Y112" i="89" s="1"/>
  <c r="X112" i="89" a="1"/>
  <c r="X112" i="89" s="1"/>
  <c r="W112" i="89" a="1"/>
  <c r="W112" i="89" s="1"/>
  <c r="V112" i="89" a="1"/>
  <c r="V112" i="89" s="1"/>
  <c r="U112" i="89" a="1"/>
  <c r="U112" i="89" s="1"/>
  <c r="T112" i="89" a="1"/>
  <c r="T112" i="89" s="1"/>
  <c r="S112" i="89" a="1"/>
  <c r="S112" i="89" s="1"/>
  <c r="R112" i="89" a="1"/>
  <c r="R112" i="89" s="1"/>
  <c r="Q112" i="89" a="1"/>
  <c r="Q112" i="89" s="1"/>
  <c r="P112" i="89" a="1"/>
  <c r="P112" i="89" s="1"/>
  <c r="O112" i="89" a="1"/>
  <c r="O112" i="89" s="1"/>
  <c r="N112" i="89" a="1"/>
  <c r="N112" i="89" s="1"/>
  <c r="M112" i="89" a="1"/>
  <c r="M112" i="89" s="1"/>
  <c r="L112" i="89" a="1"/>
  <c r="L112" i="89" s="1"/>
  <c r="K112" i="89" a="1"/>
  <c r="K112" i="89" s="1"/>
  <c r="J112" i="89" a="1"/>
  <c r="J112" i="89" s="1"/>
  <c r="I112" i="89" a="1"/>
  <c r="I112" i="89" s="1"/>
  <c r="H112" i="89" a="1"/>
  <c r="H112" i="89" s="1"/>
  <c r="G112" i="89" a="1"/>
  <c r="G112" i="89" s="1"/>
  <c r="F112" i="89" a="1"/>
  <c r="F112" i="89" s="1"/>
  <c r="E112" i="89" a="1"/>
  <c r="E112" i="89" s="1"/>
  <c r="D112" i="89" a="1"/>
  <c r="D112" i="89" s="1"/>
  <c r="AH111" i="89" a="1"/>
  <c r="AH111" i="89" s="1"/>
  <c r="AG111" i="89" a="1"/>
  <c r="AG111" i="89" s="1"/>
  <c r="AF111" i="89" a="1"/>
  <c r="AF111" i="89" s="1"/>
  <c r="AE111" i="89" a="1"/>
  <c r="AE111" i="89" s="1"/>
  <c r="AD111" i="89" a="1"/>
  <c r="AD111" i="89" s="1"/>
  <c r="AC111" i="89" a="1"/>
  <c r="AC111" i="89" s="1"/>
  <c r="AB111" i="89" a="1"/>
  <c r="AB111" i="89" s="1"/>
  <c r="AA111" i="89" a="1"/>
  <c r="AA111" i="89" s="1"/>
  <c r="Z111" i="89" a="1"/>
  <c r="Z111" i="89" s="1"/>
  <c r="Y111" i="89" a="1"/>
  <c r="Y111" i="89" s="1"/>
  <c r="X111" i="89" a="1"/>
  <c r="X111" i="89" s="1"/>
  <c r="W111" i="89" a="1"/>
  <c r="W111" i="89" s="1"/>
  <c r="V111" i="89" a="1"/>
  <c r="V111" i="89" s="1"/>
  <c r="U111" i="89" a="1"/>
  <c r="U111" i="89" s="1"/>
  <c r="T111" i="89" a="1"/>
  <c r="T111" i="89" s="1"/>
  <c r="S111" i="89" a="1"/>
  <c r="S111" i="89" s="1"/>
  <c r="R111" i="89" a="1"/>
  <c r="R111" i="89" s="1"/>
  <c r="Q111" i="89" a="1"/>
  <c r="Q111" i="89" s="1"/>
  <c r="P111" i="89" a="1"/>
  <c r="P111" i="89" s="1"/>
  <c r="O111" i="89" a="1"/>
  <c r="O111" i="89" s="1"/>
  <c r="N111" i="89" a="1"/>
  <c r="N111" i="89" s="1"/>
  <c r="M111" i="89" a="1"/>
  <c r="M111" i="89" s="1"/>
  <c r="L111" i="89" a="1"/>
  <c r="L111" i="89" s="1"/>
  <c r="K111" i="89" a="1"/>
  <c r="K111" i="89" s="1"/>
  <c r="J111" i="89" a="1"/>
  <c r="J111" i="89" s="1"/>
  <c r="I111" i="89" a="1"/>
  <c r="I111" i="89" s="1"/>
  <c r="H111" i="89" a="1"/>
  <c r="H111" i="89" s="1"/>
  <c r="G111" i="89" a="1"/>
  <c r="G111" i="89" s="1"/>
  <c r="F111" i="89" a="1"/>
  <c r="F111" i="89" s="1"/>
  <c r="E111" i="89" a="1"/>
  <c r="E111" i="89" s="1"/>
  <c r="D111" i="89" a="1"/>
  <c r="D111" i="89" s="1"/>
  <c r="AH110" i="89" a="1"/>
  <c r="AH110" i="89" s="1"/>
  <c r="AG110" i="89" a="1"/>
  <c r="AG110" i="89" s="1"/>
  <c r="AF110" i="89" a="1"/>
  <c r="AF110" i="89" s="1"/>
  <c r="AE110" i="89" a="1"/>
  <c r="AE110" i="89" s="1"/>
  <c r="AD110" i="89" a="1"/>
  <c r="AD110" i="89" s="1"/>
  <c r="AC110" i="89" a="1"/>
  <c r="AC110" i="89" s="1"/>
  <c r="AB110" i="89" a="1"/>
  <c r="AB110" i="89" s="1"/>
  <c r="AA110" i="89" a="1"/>
  <c r="AA110" i="89" s="1"/>
  <c r="Z110" i="89" a="1"/>
  <c r="Z110" i="89" s="1"/>
  <c r="Y110" i="89" a="1"/>
  <c r="Y110" i="89" s="1"/>
  <c r="X110" i="89" a="1"/>
  <c r="X110" i="89" s="1"/>
  <c r="W110" i="89" a="1"/>
  <c r="W110" i="89" s="1"/>
  <c r="V110" i="89" a="1"/>
  <c r="V110" i="89" s="1"/>
  <c r="U110" i="89" a="1"/>
  <c r="U110" i="89" s="1"/>
  <c r="T110" i="89" a="1"/>
  <c r="T110" i="89" s="1"/>
  <c r="S110" i="89" a="1"/>
  <c r="S110" i="89" s="1"/>
  <c r="R110" i="89" a="1"/>
  <c r="R110" i="89" s="1"/>
  <c r="Q110" i="89" a="1"/>
  <c r="Q110" i="89" s="1"/>
  <c r="P110" i="89" a="1"/>
  <c r="P110" i="89" s="1"/>
  <c r="O110" i="89" a="1"/>
  <c r="O110" i="89" s="1"/>
  <c r="N110" i="89" a="1"/>
  <c r="N110" i="89" s="1"/>
  <c r="M110" i="89" a="1"/>
  <c r="M110" i="89" s="1"/>
  <c r="L110" i="89" a="1"/>
  <c r="L110" i="89" s="1"/>
  <c r="K110" i="89" a="1"/>
  <c r="K110" i="89" s="1"/>
  <c r="J110" i="89" a="1"/>
  <c r="J110" i="89" s="1"/>
  <c r="I110" i="89" a="1"/>
  <c r="I110" i="89" s="1"/>
  <c r="H110" i="89" a="1"/>
  <c r="H110" i="89" s="1"/>
  <c r="G110" i="89" a="1"/>
  <c r="G110" i="89" s="1"/>
  <c r="F110" i="89" a="1"/>
  <c r="F110" i="89" s="1"/>
  <c r="E110" i="89" a="1"/>
  <c r="E110" i="89" s="1"/>
  <c r="D110" i="89" a="1"/>
  <c r="D110" i="89" s="1"/>
  <c r="AH109" i="89" a="1"/>
  <c r="AH109" i="89" s="1"/>
  <c r="AG109" i="89" a="1"/>
  <c r="AG109" i="89" s="1"/>
  <c r="AF109" i="89" a="1"/>
  <c r="AF109" i="89" s="1"/>
  <c r="AE109" i="89" a="1"/>
  <c r="AE109" i="89" s="1"/>
  <c r="AD109" i="89" a="1"/>
  <c r="AD109" i="89" s="1"/>
  <c r="AC109" i="89" a="1"/>
  <c r="AC109" i="89" s="1"/>
  <c r="AB109" i="89" a="1"/>
  <c r="AB109" i="89" s="1"/>
  <c r="AA109" i="89" a="1"/>
  <c r="AA109" i="89" s="1"/>
  <c r="Z109" i="89" a="1"/>
  <c r="Z109" i="89" s="1"/>
  <c r="Y109" i="89" a="1"/>
  <c r="Y109" i="89" s="1"/>
  <c r="X109" i="89" a="1"/>
  <c r="X109" i="89" s="1"/>
  <c r="W109" i="89" a="1"/>
  <c r="W109" i="89" s="1"/>
  <c r="V109" i="89" a="1"/>
  <c r="V109" i="89" s="1"/>
  <c r="U109" i="89" a="1"/>
  <c r="U109" i="89" s="1"/>
  <c r="T109" i="89" a="1"/>
  <c r="T109" i="89" s="1"/>
  <c r="S109" i="89" a="1"/>
  <c r="S109" i="89" s="1"/>
  <c r="R109" i="89" a="1"/>
  <c r="R109" i="89" s="1"/>
  <c r="Q109" i="89" a="1"/>
  <c r="Q109" i="89" s="1"/>
  <c r="P109" i="89" a="1"/>
  <c r="P109" i="89" s="1"/>
  <c r="O109" i="89" a="1"/>
  <c r="O109" i="89" s="1"/>
  <c r="N109" i="89" a="1"/>
  <c r="N109" i="89" s="1"/>
  <c r="M109" i="89" a="1"/>
  <c r="M109" i="89" s="1"/>
  <c r="L109" i="89" a="1"/>
  <c r="L109" i="89" s="1"/>
  <c r="K109" i="89" a="1"/>
  <c r="K109" i="89" s="1"/>
  <c r="J109" i="89" a="1"/>
  <c r="J109" i="89" s="1"/>
  <c r="I109" i="89" a="1"/>
  <c r="I109" i="89" s="1"/>
  <c r="H109" i="89" a="1"/>
  <c r="H109" i="89" s="1"/>
  <c r="G109" i="89" a="1"/>
  <c r="G109" i="89" s="1"/>
  <c r="F109" i="89" a="1"/>
  <c r="F109" i="89" s="1"/>
  <c r="E109" i="89" a="1"/>
  <c r="E109" i="89" s="1"/>
  <c r="D109" i="89" a="1"/>
  <c r="D109" i="89" s="1"/>
  <c r="AH108" i="89" a="1"/>
  <c r="AH108" i="89" s="1"/>
  <c r="AG108" i="89" a="1"/>
  <c r="AG108" i="89" s="1"/>
  <c r="AF108" i="89" a="1"/>
  <c r="AF108" i="89" s="1"/>
  <c r="AE108" i="89" a="1"/>
  <c r="AE108" i="89" s="1"/>
  <c r="AD108" i="89" a="1"/>
  <c r="AD108" i="89" s="1"/>
  <c r="AC108" i="89" a="1"/>
  <c r="AC108" i="89" s="1"/>
  <c r="AB108" i="89" a="1"/>
  <c r="AB108" i="89" s="1"/>
  <c r="AA108" i="89" a="1"/>
  <c r="AA108" i="89" s="1"/>
  <c r="Z108" i="89" a="1"/>
  <c r="Z108" i="89" s="1"/>
  <c r="Y108" i="89" a="1"/>
  <c r="Y108" i="89" s="1"/>
  <c r="X108" i="89" a="1"/>
  <c r="X108" i="89" s="1"/>
  <c r="W108" i="89" a="1"/>
  <c r="W108" i="89" s="1"/>
  <c r="V108" i="89" a="1"/>
  <c r="V108" i="89" s="1"/>
  <c r="U108" i="89" a="1"/>
  <c r="U108" i="89" s="1"/>
  <c r="T108" i="89" a="1"/>
  <c r="T108" i="89" s="1"/>
  <c r="S108" i="89" a="1"/>
  <c r="S108" i="89" s="1"/>
  <c r="R108" i="89" a="1"/>
  <c r="R108" i="89" s="1"/>
  <c r="Q108" i="89" a="1"/>
  <c r="Q108" i="89" s="1"/>
  <c r="P108" i="89" a="1"/>
  <c r="P108" i="89" s="1"/>
  <c r="O108" i="89" a="1"/>
  <c r="O108" i="89" s="1"/>
  <c r="N108" i="89" a="1"/>
  <c r="N108" i="89" s="1"/>
  <c r="M108" i="89" a="1"/>
  <c r="M108" i="89" s="1"/>
  <c r="L108" i="89" a="1"/>
  <c r="L108" i="89" s="1"/>
  <c r="K108" i="89" a="1"/>
  <c r="K108" i="89" s="1"/>
  <c r="J108" i="89" a="1"/>
  <c r="J108" i="89" s="1"/>
  <c r="I108" i="89" a="1"/>
  <c r="I108" i="89" s="1"/>
  <c r="H108" i="89" a="1"/>
  <c r="H108" i="89" s="1"/>
  <c r="G108" i="89" a="1"/>
  <c r="G108" i="89" s="1"/>
  <c r="F108" i="89" a="1"/>
  <c r="F108" i="89" s="1"/>
  <c r="E108" i="89" a="1"/>
  <c r="E108" i="89" s="1"/>
  <c r="D108" i="89" a="1"/>
  <c r="D108" i="89" s="1"/>
  <c r="AH107" i="89" a="1"/>
  <c r="AH107" i="89" s="1"/>
  <c r="AG107" i="89" a="1"/>
  <c r="AG107" i="89" s="1"/>
  <c r="AF107" i="89" a="1"/>
  <c r="AF107" i="89" s="1"/>
  <c r="AE107" i="89" a="1"/>
  <c r="AE107" i="89" s="1"/>
  <c r="AD107" i="89" a="1"/>
  <c r="AD107" i="89" s="1"/>
  <c r="AC107" i="89" a="1"/>
  <c r="AC107" i="89" s="1"/>
  <c r="AB107" i="89" a="1"/>
  <c r="AB107" i="89" s="1"/>
  <c r="AA107" i="89" a="1"/>
  <c r="AA107" i="89" s="1"/>
  <c r="Z107" i="89" a="1"/>
  <c r="Z107" i="89" s="1"/>
  <c r="Y107" i="89" a="1"/>
  <c r="Y107" i="89" s="1"/>
  <c r="X107" i="89" a="1"/>
  <c r="X107" i="89" s="1"/>
  <c r="W107" i="89" a="1"/>
  <c r="W107" i="89" s="1"/>
  <c r="V107" i="89" a="1"/>
  <c r="V107" i="89" s="1"/>
  <c r="U107" i="89" a="1"/>
  <c r="U107" i="89" s="1"/>
  <c r="T107" i="89" a="1"/>
  <c r="T107" i="89" s="1"/>
  <c r="S107" i="89" a="1"/>
  <c r="S107" i="89" s="1"/>
  <c r="R107" i="89" a="1"/>
  <c r="R107" i="89" s="1"/>
  <c r="Q107" i="89" a="1"/>
  <c r="Q107" i="89" s="1"/>
  <c r="P107" i="89" a="1"/>
  <c r="P107" i="89" s="1"/>
  <c r="O107" i="89" a="1"/>
  <c r="O107" i="89" s="1"/>
  <c r="N107" i="89" a="1"/>
  <c r="N107" i="89" s="1"/>
  <c r="M107" i="89" a="1"/>
  <c r="M107" i="89" s="1"/>
  <c r="L107" i="89" a="1"/>
  <c r="L107" i="89" s="1"/>
  <c r="K107" i="89" a="1"/>
  <c r="K107" i="89" s="1"/>
  <c r="J107" i="89" a="1"/>
  <c r="J107" i="89" s="1"/>
  <c r="I107" i="89" a="1"/>
  <c r="I107" i="89" s="1"/>
  <c r="H107" i="89" a="1"/>
  <c r="H107" i="89" s="1"/>
  <c r="G107" i="89" a="1"/>
  <c r="G107" i="89" s="1"/>
  <c r="F107" i="89" a="1"/>
  <c r="F107" i="89" s="1"/>
  <c r="E107" i="89" a="1"/>
  <c r="E107" i="89" s="1"/>
  <c r="D107" i="89" a="1"/>
  <c r="D107" i="89" s="1"/>
  <c r="AH106" i="89" a="1"/>
  <c r="AH106" i="89" s="1"/>
  <c r="AG106" i="89" a="1"/>
  <c r="AG106" i="89" s="1"/>
  <c r="AF106" i="89" a="1"/>
  <c r="AF106" i="89" s="1"/>
  <c r="AE106" i="89" a="1"/>
  <c r="AE106" i="89" s="1"/>
  <c r="AD106" i="89" a="1"/>
  <c r="AD106" i="89" s="1"/>
  <c r="AC106" i="89" a="1"/>
  <c r="AC106" i="89" s="1"/>
  <c r="AB106" i="89" a="1"/>
  <c r="AB106" i="89" s="1"/>
  <c r="AA106" i="89" a="1"/>
  <c r="AA106" i="89" s="1"/>
  <c r="Z106" i="89" a="1"/>
  <c r="Z106" i="89" s="1"/>
  <c r="Y106" i="89" a="1"/>
  <c r="Y106" i="89" s="1"/>
  <c r="X106" i="89" a="1"/>
  <c r="X106" i="89" s="1"/>
  <c r="W106" i="89" a="1"/>
  <c r="W106" i="89" s="1"/>
  <c r="V106" i="89" a="1"/>
  <c r="V106" i="89" s="1"/>
  <c r="U106" i="89" a="1"/>
  <c r="U106" i="89" s="1"/>
  <c r="T106" i="89" a="1"/>
  <c r="T106" i="89" s="1"/>
  <c r="S106" i="89" a="1"/>
  <c r="S106" i="89" s="1"/>
  <c r="R106" i="89" a="1"/>
  <c r="R106" i="89" s="1"/>
  <c r="Q106" i="89" a="1"/>
  <c r="Q106" i="89" s="1"/>
  <c r="P106" i="89" a="1"/>
  <c r="P106" i="89" s="1"/>
  <c r="O106" i="89" a="1"/>
  <c r="O106" i="89" s="1"/>
  <c r="N106" i="89" a="1"/>
  <c r="N106" i="89" s="1"/>
  <c r="M106" i="89" a="1"/>
  <c r="M106" i="89" s="1"/>
  <c r="L106" i="89" a="1"/>
  <c r="L106" i="89" s="1"/>
  <c r="K106" i="89" a="1"/>
  <c r="K106" i="89" s="1"/>
  <c r="J106" i="89" a="1"/>
  <c r="J106" i="89" s="1"/>
  <c r="I106" i="89" a="1"/>
  <c r="I106" i="89" s="1"/>
  <c r="H106" i="89" a="1"/>
  <c r="H106" i="89" s="1"/>
  <c r="G106" i="89" a="1"/>
  <c r="G106" i="89" s="1"/>
  <c r="F106" i="89" a="1"/>
  <c r="F106" i="89" s="1"/>
  <c r="E106" i="89" a="1"/>
  <c r="E106" i="89" s="1"/>
  <c r="D106" i="89" a="1"/>
  <c r="D106" i="89" s="1"/>
  <c r="AH105" i="89" a="1"/>
  <c r="AH105" i="89" s="1"/>
  <c r="AG105" i="89" a="1"/>
  <c r="AG105" i="89" s="1"/>
  <c r="AF105" i="89" a="1"/>
  <c r="AF105" i="89" s="1"/>
  <c r="AE105" i="89" a="1"/>
  <c r="AE105" i="89" s="1"/>
  <c r="AD105" i="89" a="1"/>
  <c r="AD105" i="89" s="1"/>
  <c r="AC105" i="89" a="1"/>
  <c r="AC105" i="89" s="1"/>
  <c r="AB105" i="89" a="1"/>
  <c r="AB105" i="89" s="1"/>
  <c r="AA105" i="89" a="1"/>
  <c r="AA105" i="89" s="1"/>
  <c r="Z105" i="89" a="1"/>
  <c r="Z105" i="89" s="1"/>
  <c r="Y105" i="89" a="1"/>
  <c r="Y105" i="89" s="1"/>
  <c r="X105" i="89" a="1"/>
  <c r="X105" i="89" s="1"/>
  <c r="W105" i="89" a="1"/>
  <c r="W105" i="89" s="1"/>
  <c r="V105" i="89" a="1"/>
  <c r="V105" i="89" s="1"/>
  <c r="U105" i="89" a="1"/>
  <c r="U105" i="89" s="1"/>
  <c r="T105" i="89" a="1"/>
  <c r="T105" i="89" s="1"/>
  <c r="S105" i="89" a="1"/>
  <c r="S105" i="89" s="1"/>
  <c r="R105" i="89" a="1"/>
  <c r="R105" i="89" s="1"/>
  <c r="Q105" i="89" a="1"/>
  <c r="Q105" i="89" s="1"/>
  <c r="P105" i="89" a="1"/>
  <c r="P105" i="89" s="1"/>
  <c r="O105" i="89" a="1"/>
  <c r="O105" i="89" s="1"/>
  <c r="N105" i="89" a="1"/>
  <c r="N105" i="89" s="1"/>
  <c r="M105" i="89" a="1"/>
  <c r="M105" i="89" s="1"/>
  <c r="L105" i="89" a="1"/>
  <c r="L105" i="89" s="1"/>
  <c r="K105" i="89" a="1"/>
  <c r="K105" i="89" s="1"/>
  <c r="J105" i="89" a="1"/>
  <c r="J105" i="89" s="1"/>
  <c r="I105" i="89" a="1"/>
  <c r="I105" i="89" s="1"/>
  <c r="H105" i="89" a="1"/>
  <c r="H105" i="89" s="1"/>
  <c r="G105" i="89" a="1"/>
  <c r="G105" i="89" s="1"/>
  <c r="F105" i="89" a="1"/>
  <c r="F105" i="89" s="1"/>
  <c r="E105" i="89" a="1"/>
  <c r="E105" i="89" s="1"/>
  <c r="D105" i="89" a="1"/>
  <c r="D105" i="89" s="1"/>
  <c r="AH104" i="89" a="1"/>
  <c r="AH104" i="89" s="1"/>
  <c r="AG104" i="89" a="1"/>
  <c r="AG104" i="89" s="1"/>
  <c r="AF104" i="89" a="1"/>
  <c r="AF104" i="89" s="1"/>
  <c r="AE104" i="89" a="1"/>
  <c r="AE104" i="89" s="1"/>
  <c r="AD104" i="89" a="1"/>
  <c r="AD104" i="89" s="1"/>
  <c r="AC104" i="89" a="1"/>
  <c r="AC104" i="89" s="1"/>
  <c r="AB104" i="89" a="1"/>
  <c r="AB104" i="89" s="1"/>
  <c r="AA104" i="89" a="1"/>
  <c r="AA104" i="89" s="1"/>
  <c r="Z104" i="89" a="1"/>
  <c r="Z104" i="89" s="1"/>
  <c r="Y104" i="89" a="1"/>
  <c r="Y104" i="89" s="1"/>
  <c r="X104" i="89" a="1"/>
  <c r="X104" i="89" s="1"/>
  <c r="W104" i="89" a="1"/>
  <c r="W104" i="89" s="1"/>
  <c r="V104" i="89" a="1"/>
  <c r="V104" i="89" s="1"/>
  <c r="U104" i="89" a="1"/>
  <c r="U104" i="89" s="1"/>
  <c r="T104" i="89" a="1"/>
  <c r="T104" i="89" s="1"/>
  <c r="S104" i="89" a="1"/>
  <c r="S104" i="89" s="1"/>
  <c r="R104" i="89" a="1"/>
  <c r="R104" i="89" s="1"/>
  <c r="Q104" i="89" a="1"/>
  <c r="Q104" i="89" s="1"/>
  <c r="P104" i="89" a="1"/>
  <c r="P104" i="89" s="1"/>
  <c r="O104" i="89" a="1"/>
  <c r="O104" i="89" s="1"/>
  <c r="N104" i="89" a="1"/>
  <c r="N104" i="89" s="1"/>
  <c r="M104" i="89" a="1"/>
  <c r="M104" i="89" s="1"/>
  <c r="L104" i="89" a="1"/>
  <c r="L104" i="89" s="1"/>
  <c r="K104" i="89" a="1"/>
  <c r="K104" i="89" s="1"/>
  <c r="J104" i="89" a="1"/>
  <c r="J104" i="89" s="1"/>
  <c r="I104" i="89" a="1"/>
  <c r="I104" i="89" s="1"/>
  <c r="H104" i="89" a="1"/>
  <c r="H104" i="89" s="1"/>
  <c r="G104" i="89" a="1"/>
  <c r="G104" i="89" s="1"/>
  <c r="F104" i="89" a="1"/>
  <c r="F104" i="89" s="1"/>
  <c r="E104" i="89" a="1"/>
  <c r="E104" i="89" s="1"/>
  <c r="D104" i="89" a="1"/>
  <c r="D104" i="89" s="1"/>
  <c r="AH103" i="89" a="1"/>
  <c r="AH103" i="89" s="1"/>
  <c r="AG103" i="89" a="1"/>
  <c r="AG103" i="89" s="1"/>
  <c r="AF103" i="89" a="1"/>
  <c r="AF103" i="89" s="1"/>
  <c r="AE103" i="89" a="1"/>
  <c r="AE103" i="89" s="1"/>
  <c r="AD103" i="89" a="1"/>
  <c r="AD103" i="89" s="1"/>
  <c r="AC103" i="89" a="1"/>
  <c r="AC103" i="89" s="1"/>
  <c r="AB103" i="89" a="1"/>
  <c r="AB103" i="89" s="1"/>
  <c r="AA103" i="89" a="1"/>
  <c r="AA103" i="89" s="1"/>
  <c r="Z103" i="89" a="1"/>
  <c r="Z103" i="89" s="1"/>
  <c r="Y103" i="89" a="1"/>
  <c r="Y103" i="89" s="1"/>
  <c r="X103" i="89" a="1"/>
  <c r="X103" i="89" s="1"/>
  <c r="W103" i="89" a="1"/>
  <c r="W103" i="89" s="1"/>
  <c r="V103" i="89" a="1"/>
  <c r="V103" i="89" s="1"/>
  <c r="U103" i="89" a="1"/>
  <c r="U103" i="89" s="1"/>
  <c r="T103" i="89" a="1"/>
  <c r="T103" i="89" s="1"/>
  <c r="S103" i="89" a="1"/>
  <c r="S103" i="89" s="1"/>
  <c r="R103" i="89" a="1"/>
  <c r="R103" i="89" s="1"/>
  <c r="Q103" i="89" a="1"/>
  <c r="Q103" i="89" s="1"/>
  <c r="P103" i="89" a="1"/>
  <c r="P103" i="89" s="1"/>
  <c r="O103" i="89" a="1"/>
  <c r="O103" i="89" s="1"/>
  <c r="N103" i="89" a="1"/>
  <c r="N103" i="89" s="1"/>
  <c r="M103" i="89" a="1"/>
  <c r="M103" i="89" s="1"/>
  <c r="L103" i="89" a="1"/>
  <c r="L103" i="89" s="1"/>
  <c r="K103" i="89" a="1"/>
  <c r="K103" i="89" s="1"/>
  <c r="J103" i="89" a="1"/>
  <c r="J103" i="89" s="1"/>
  <c r="I103" i="89" a="1"/>
  <c r="I103" i="89" s="1"/>
  <c r="H103" i="89" a="1"/>
  <c r="H103" i="89" s="1"/>
  <c r="G103" i="89" a="1"/>
  <c r="G103" i="89" s="1"/>
  <c r="F103" i="89" a="1"/>
  <c r="F103" i="89" s="1"/>
  <c r="E103" i="89" a="1"/>
  <c r="E103" i="89" s="1"/>
  <c r="D103" i="89" a="1"/>
  <c r="D103" i="89" s="1"/>
  <c r="AH102" i="89" a="1"/>
  <c r="AH102" i="89" s="1"/>
  <c r="AG102" i="89" a="1"/>
  <c r="AG102" i="89" s="1"/>
  <c r="AF102" i="89" a="1"/>
  <c r="AF102" i="89" s="1"/>
  <c r="AE102" i="89" a="1"/>
  <c r="AE102" i="89" s="1"/>
  <c r="AD102" i="89" a="1"/>
  <c r="AD102" i="89" s="1"/>
  <c r="AC102" i="89" a="1"/>
  <c r="AC102" i="89" s="1"/>
  <c r="AB102" i="89" a="1"/>
  <c r="AB102" i="89" s="1"/>
  <c r="AA102" i="89" a="1"/>
  <c r="AA102" i="89" s="1"/>
  <c r="Z102" i="89" a="1"/>
  <c r="Z102" i="89" s="1"/>
  <c r="Y102" i="89" a="1"/>
  <c r="Y102" i="89" s="1"/>
  <c r="X102" i="89" a="1"/>
  <c r="X102" i="89" s="1"/>
  <c r="W102" i="89" a="1"/>
  <c r="W102" i="89" s="1"/>
  <c r="V102" i="89" a="1"/>
  <c r="V102" i="89" s="1"/>
  <c r="U102" i="89" a="1"/>
  <c r="U102" i="89" s="1"/>
  <c r="T102" i="89" a="1"/>
  <c r="T102" i="89" s="1"/>
  <c r="S102" i="89" a="1"/>
  <c r="S102" i="89" s="1"/>
  <c r="R102" i="89" a="1"/>
  <c r="R102" i="89" s="1"/>
  <c r="Q102" i="89" a="1"/>
  <c r="Q102" i="89" s="1"/>
  <c r="P102" i="89" a="1"/>
  <c r="P102" i="89" s="1"/>
  <c r="O102" i="89" a="1"/>
  <c r="O102" i="89" s="1"/>
  <c r="N102" i="89" a="1"/>
  <c r="N102" i="89" s="1"/>
  <c r="M102" i="89" a="1"/>
  <c r="M102" i="89" s="1"/>
  <c r="L102" i="89" a="1"/>
  <c r="L102" i="89" s="1"/>
  <c r="K102" i="89" a="1"/>
  <c r="K102" i="89" s="1"/>
  <c r="J102" i="89" a="1"/>
  <c r="J102" i="89" s="1"/>
  <c r="I102" i="89" a="1"/>
  <c r="I102" i="89" s="1"/>
  <c r="H102" i="89" a="1"/>
  <c r="H102" i="89" s="1"/>
  <c r="G102" i="89" a="1"/>
  <c r="G102" i="89" s="1"/>
  <c r="F102" i="89" a="1"/>
  <c r="F102" i="89" s="1"/>
  <c r="E102" i="89" a="1"/>
  <c r="E102" i="89" s="1"/>
  <c r="D102" i="89" a="1"/>
  <c r="D102" i="89" s="1"/>
  <c r="AH101" i="89" a="1"/>
  <c r="AH101" i="89" s="1"/>
  <c r="AG101" i="89" a="1"/>
  <c r="AG101" i="89" s="1"/>
  <c r="AF101" i="89" a="1"/>
  <c r="AF101" i="89" s="1"/>
  <c r="AE101" i="89" a="1"/>
  <c r="AE101" i="89" s="1"/>
  <c r="AD101" i="89" a="1"/>
  <c r="AD101" i="89" s="1"/>
  <c r="AC101" i="89" a="1"/>
  <c r="AC101" i="89" s="1"/>
  <c r="AB101" i="89" a="1"/>
  <c r="AB101" i="89" s="1"/>
  <c r="AA101" i="89" a="1"/>
  <c r="AA101" i="89" s="1"/>
  <c r="Z101" i="89" a="1"/>
  <c r="Z101" i="89" s="1"/>
  <c r="Y101" i="89" a="1"/>
  <c r="Y101" i="89" s="1"/>
  <c r="X101" i="89" a="1"/>
  <c r="X101" i="89" s="1"/>
  <c r="W101" i="89" a="1"/>
  <c r="W101" i="89" s="1"/>
  <c r="V101" i="89" a="1"/>
  <c r="V101" i="89" s="1"/>
  <c r="U101" i="89" a="1"/>
  <c r="U101" i="89" s="1"/>
  <c r="T101" i="89" a="1"/>
  <c r="T101" i="89" s="1"/>
  <c r="S101" i="89" a="1"/>
  <c r="S101" i="89" s="1"/>
  <c r="R101" i="89" a="1"/>
  <c r="R101" i="89" s="1"/>
  <c r="Q101" i="89" a="1"/>
  <c r="Q101" i="89" s="1"/>
  <c r="P101" i="89" a="1"/>
  <c r="P101" i="89" s="1"/>
  <c r="O101" i="89" a="1"/>
  <c r="O101" i="89" s="1"/>
  <c r="N101" i="89" a="1"/>
  <c r="N101" i="89" s="1"/>
  <c r="M101" i="89" a="1"/>
  <c r="M101" i="89" s="1"/>
  <c r="L101" i="89" a="1"/>
  <c r="L101" i="89" s="1"/>
  <c r="K101" i="89" a="1"/>
  <c r="K101" i="89" s="1"/>
  <c r="J101" i="89" a="1"/>
  <c r="J101" i="89" s="1"/>
  <c r="I101" i="89" a="1"/>
  <c r="I101" i="89" s="1"/>
  <c r="H101" i="89" a="1"/>
  <c r="H101" i="89" s="1"/>
  <c r="G101" i="89" a="1"/>
  <c r="G101" i="89" s="1"/>
  <c r="F101" i="89" a="1"/>
  <c r="F101" i="89" s="1"/>
  <c r="E101" i="89" a="1"/>
  <c r="E101" i="89" s="1"/>
  <c r="D101" i="89" a="1"/>
  <c r="D101" i="89" s="1"/>
  <c r="AH100" i="89" a="1"/>
  <c r="AH100" i="89" s="1"/>
  <c r="AG100" i="89" a="1"/>
  <c r="AG100" i="89" s="1"/>
  <c r="AF100" i="89" a="1"/>
  <c r="AF100" i="89" s="1"/>
  <c r="AE100" i="89" a="1"/>
  <c r="AE100" i="89" s="1"/>
  <c r="AD100" i="89" a="1"/>
  <c r="AD100" i="89" s="1"/>
  <c r="AC100" i="89" a="1"/>
  <c r="AC100" i="89" s="1"/>
  <c r="AB100" i="89" a="1"/>
  <c r="AB100" i="89" s="1"/>
  <c r="AA100" i="89" a="1"/>
  <c r="AA100" i="89" s="1"/>
  <c r="Z100" i="89" a="1"/>
  <c r="Z100" i="89" s="1"/>
  <c r="Y100" i="89" a="1"/>
  <c r="Y100" i="89" s="1"/>
  <c r="X100" i="89" a="1"/>
  <c r="X100" i="89" s="1"/>
  <c r="W100" i="89" a="1"/>
  <c r="W100" i="89" s="1"/>
  <c r="V100" i="89" a="1"/>
  <c r="V100" i="89" s="1"/>
  <c r="U100" i="89" a="1"/>
  <c r="U100" i="89" s="1"/>
  <c r="T100" i="89" a="1"/>
  <c r="T100" i="89" s="1"/>
  <c r="S100" i="89" a="1"/>
  <c r="S100" i="89" s="1"/>
  <c r="R100" i="89" a="1"/>
  <c r="R100" i="89" s="1"/>
  <c r="Q100" i="89" a="1"/>
  <c r="Q100" i="89" s="1"/>
  <c r="P100" i="89" a="1"/>
  <c r="P100" i="89" s="1"/>
  <c r="O100" i="89" a="1"/>
  <c r="O100" i="89" s="1"/>
  <c r="N100" i="89" a="1"/>
  <c r="N100" i="89" s="1"/>
  <c r="M100" i="89" a="1"/>
  <c r="M100" i="89" s="1"/>
  <c r="L100" i="89" a="1"/>
  <c r="L100" i="89" s="1"/>
  <c r="K100" i="89" a="1"/>
  <c r="K100" i="89" s="1"/>
  <c r="J100" i="89" a="1"/>
  <c r="J100" i="89" s="1"/>
  <c r="I100" i="89" a="1"/>
  <c r="I100" i="89" s="1"/>
  <c r="H100" i="89" a="1"/>
  <c r="H100" i="89" s="1"/>
  <c r="G100" i="89" a="1"/>
  <c r="G100" i="89" s="1"/>
  <c r="F100" i="89" a="1"/>
  <c r="F100" i="89" s="1"/>
  <c r="E100" i="89" a="1"/>
  <c r="E100" i="89" s="1"/>
  <c r="D100" i="89" a="1"/>
  <c r="D100" i="89" s="1"/>
  <c r="AH99" i="89" a="1"/>
  <c r="AH99" i="89" s="1"/>
  <c r="AG99" i="89" a="1"/>
  <c r="AG99" i="89" s="1"/>
  <c r="AF99" i="89" a="1"/>
  <c r="AF99" i="89" s="1"/>
  <c r="AE99" i="89" a="1"/>
  <c r="AE99" i="89" s="1"/>
  <c r="AD99" i="89" a="1"/>
  <c r="AD99" i="89" s="1"/>
  <c r="AC99" i="89" a="1"/>
  <c r="AC99" i="89" s="1"/>
  <c r="AB99" i="89" a="1"/>
  <c r="AB99" i="89" s="1"/>
  <c r="AA99" i="89" a="1"/>
  <c r="AA99" i="89" s="1"/>
  <c r="Z99" i="89" a="1"/>
  <c r="Z99" i="89" s="1"/>
  <c r="Y99" i="89" a="1"/>
  <c r="Y99" i="89" s="1"/>
  <c r="X99" i="89" a="1"/>
  <c r="X99" i="89" s="1"/>
  <c r="W99" i="89" a="1"/>
  <c r="W99" i="89" s="1"/>
  <c r="V99" i="89" a="1"/>
  <c r="V99" i="89" s="1"/>
  <c r="U99" i="89" a="1"/>
  <c r="U99" i="89" s="1"/>
  <c r="T99" i="89" a="1"/>
  <c r="T99" i="89" s="1"/>
  <c r="S99" i="89" a="1"/>
  <c r="S99" i="89" s="1"/>
  <c r="R99" i="89" a="1"/>
  <c r="R99" i="89" s="1"/>
  <c r="Q99" i="89" a="1"/>
  <c r="Q99" i="89" s="1"/>
  <c r="P99" i="89" a="1"/>
  <c r="P99" i="89" s="1"/>
  <c r="O99" i="89" a="1"/>
  <c r="O99" i="89" s="1"/>
  <c r="N99" i="89" a="1"/>
  <c r="N99" i="89" s="1"/>
  <c r="M99" i="89" a="1"/>
  <c r="M99" i="89" s="1"/>
  <c r="L99" i="89" a="1"/>
  <c r="L99" i="89" s="1"/>
  <c r="K99" i="89" a="1"/>
  <c r="K99" i="89" s="1"/>
  <c r="J99" i="89" a="1"/>
  <c r="J99" i="89" s="1"/>
  <c r="I99" i="89" a="1"/>
  <c r="I99" i="89" s="1"/>
  <c r="H99" i="89" a="1"/>
  <c r="H99" i="89" s="1"/>
  <c r="G99" i="89" a="1"/>
  <c r="G99" i="89" s="1"/>
  <c r="F99" i="89" a="1"/>
  <c r="F99" i="89" s="1"/>
  <c r="E99" i="89" a="1"/>
  <c r="E99" i="89" s="1"/>
  <c r="D99" i="89" a="1"/>
  <c r="D99" i="89" s="1"/>
  <c r="AH98" i="89" a="1"/>
  <c r="AH98" i="89" s="1"/>
  <c r="AG98" i="89" a="1"/>
  <c r="AG98" i="89" s="1"/>
  <c r="AF98" i="89" a="1"/>
  <c r="AF98" i="89" s="1"/>
  <c r="AE98" i="89" a="1"/>
  <c r="AE98" i="89" s="1"/>
  <c r="AD98" i="89" a="1"/>
  <c r="AD98" i="89" s="1"/>
  <c r="AC98" i="89" a="1"/>
  <c r="AC98" i="89" s="1"/>
  <c r="AB98" i="89" a="1"/>
  <c r="AB98" i="89" s="1"/>
  <c r="AA98" i="89" a="1"/>
  <c r="AA98" i="89" s="1"/>
  <c r="Z98" i="89" a="1"/>
  <c r="Z98" i="89" s="1"/>
  <c r="Y98" i="89" a="1"/>
  <c r="Y98" i="89" s="1"/>
  <c r="X98" i="89" a="1"/>
  <c r="X98" i="89" s="1"/>
  <c r="W98" i="89" a="1"/>
  <c r="W98" i="89" s="1"/>
  <c r="V98" i="89" a="1"/>
  <c r="V98" i="89" s="1"/>
  <c r="U98" i="89" a="1"/>
  <c r="U98" i="89" s="1"/>
  <c r="T98" i="89" a="1"/>
  <c r="T98" i="89" s="1"/>
  <c r="S98" i="89" a="1"/>
  <c r="S98" i="89" s="1"/>
  <c r="R98" i="89" a="1"/>
  <c r="R98" i="89" s="1"/>
  <c r="Q98" i="89" a="1"/>
  <c r="Q98" i="89" s="1"/>
  <c r="P98" i="89" a="1"/>
  <c r="P98" i="89" s="1"/>
  <c r="O98" i="89" a="1"/>
  <c r="O98" i="89" s="1"/>
  <c r="N98" i="89" a="1"/>
  <c r="N98" i="89" s="1"/>
  <c r="M98" i="89" a="1"/>
  <c r="M98" i="89" s="1"/>
  <c r="L98" i="89" a="1"/>
  <c r="L98" i="89" s="1"/>
  <c r="K98" i="89" a="1"/>
  <c r="K98" i="89" s="1"/>
  <c r="J98" i="89" a="1"/>
  <c r="J98" i="89" s="1"/>
  <c r="I98" i="89" a="1"/>
  <c r="I98" i="89" s="1"/>
  <c r="H98" i="89" a="1"/>
  <c r="H98" i="89" s="1"/>
  <c r="G98" i="89" a="1"/>
  <c r="G98" i="89" s="1"/>
  <c r="F98" i="89" a="1"/>
  <c r="F98" i="89" s="1"/>
  <c r="E98" i="89" a="1"/>
  <c r="E98" i="89" s="1"/>
  <c r="D98" i="89" a="1"/>
  <c r="D98" i="89" s="1"/>
  <c r="AH97" i="89" a="1"/>
  <c r="AH97" i="89" s="1"/>
  <c r="AG97" i="89" a="1"/>
  <c r="AG97" i="89" s="1"/>
  <c r="AF97" i="89" a="1"/>
  <c r="AF97" i="89" s="1"/>
  <c r="AE97" i="89" a="1"/>
  <c r="AE97" i="89" s="1"/>
  <c r="AD97" i="89" a="1"/>
  <c r="AD97" i="89" s="1"/>
  <c r="AC97" i="89" a="1"/>
  <c r="AC97" i="89" s="1"/>
  <c r="AB97" i="89" a="1"/>
  <c r="AB97" i="89" s="1"/>
  <c r="AA97" i="89" a="1"/>
  <c r="AA97" i="89" s="1"/>
  <c r="Z97" i="89" a="1"/>
  <c r="Z97" i="89" s="1"/>
  <c r="Y97" i="89" a="1"/>
  <c r="Y97" i="89" s="1"/>
  <c r="X97" i="89" a="1"/>
  <c r="X97" i="89" s="1"/>
  <c r="W97" i="89" a="1"/>
  <c r="W97" i="89" s="1"/>
  <c r="V97" i="89" a="1"/>
  <c r="V97" i="89" s="1"/>
  <c r="U97" i="89" a="1"/>
  <c r="U97" i="89" s="1"/>
  <c r="T97" i="89" a="1"/>
  <c r="T97" i="89" s="1"/>
  <c r="S97" i="89" a="1"/>
  <c r="S97" i="89" s="1"/>
  <c r="R97" i="89" a="1"/>
  <c r="R97" i="89" s="1"/>
  <c r="Q97" i="89" a="1"/>
  <c r="Q97" i="89" s="1"/>
  <c r="P97" i="89" a="1"/>
  <c r="P97" i="89" s="1"/>
  <c r="O97" i="89" a="1"/>
  <c r="O97" i="89" s="1"/>
  <c r="N97" i="89" a="1"/>
  <c r="N97" i="89" s="1"/>
  <c r="M97" i="89" a="1"/>
  <c r="M97" i="89" s="1"/>
  <c r="L97" i="89" a="1"/>
  <c r="L97" i="89" s="1"/>
  <c r="K97" i="89" a="1"/>
  <c r="K97" i="89" s="1"/>
  <c r="J97" i="89" a="1"/>
  <c r="J97" i="89" s="1"/>
  <c r="I97" i="89" a="1"/>
  <c r="I97" i="89" s="1"/>
  <c r="H97" i="89" a="1"/>
  <c r="H97" i="89" s="1"/>
  <c r="G97" i="89" a="1"/>
  <c r="G97" i="89" s="1"/>
  <c r="F97" i="89" a="1"/>
  <c r="F97" i="89" s="1"/>
  <c r="E97" i="89" a="1"/>
  <c r="E97" i="89" s="1"/>
  <c r="D97" i="89" a="1"/>
  <c r="D97" i="89" s="1"/>
  <c r="AH96" i="89" a="1"/>
  <c r="AH96" i="89" s="1"/>
  <c r="AG96" i="89" a="1"/>
  <c r="AG96" i="89" s="1"/>
  <c r="AF96" i="89" a="1"/>
  <c r="AF96" i="89" s="1"/>
  <c r="AE96" i="89" a="1"/>
  <c r="AE96" i="89" s="1"/>
  <c r="AD96" i="89" a="1"/>
  <c r="AD96" i="89" s="1"/>
  <c r="AC96" i="89" a="1"/>
  <c r="AC96" i="89" s="1"/>
  <c r="AB96" i="89" a="1"/>
  <c r="AB96" i="89" s="1"/>
  <c r="AA96" i="89" a="1"/>
  <c r="AA96" i="89" s="1"/>
  <c r="Z96" i="89" a="1"/>
  <c r="Z96" i="89" s="1"/>
  <c r="Y96" i="89" a="1"/>
  <c r="Y96" i="89" s="1"/>
  <c r="X96" i="89" a="1"/>
  <c r="X96" i="89" s="1"/>
  <c r="W96" i="89" a="1"/>
  <c r="W96" i="89" s="1"/>
  <c r="V96" i="89" a="1"/>
  <c r="V96" i="89" s="1"/>
  <c r="U96" i="89" a="1"/>
  <c r="U96" i="89" s="1"/>
  <c r="T96" i="89" a="1"/>
  <c r="T96" i="89" s="1"/>
  <c r="S96" i="89" a="1"/>
  <c r="S96" i="89" s="1"/>
  <c r="R96" i="89" a="1"/>
  <c r="R96" i="89" s="1"/>
  <c r="Q96" i="89" a="1"/>
  <c r="Q96" i="89" s="1"/>
  <c r="P96" i="89" a="1"/>
  <c r="P96" i="89" s="1"/>
  <c r="O96" i="89" a="1"/>
  <c r="O96" i="89" s="1"/>
  <c r="N96" i="89" a="1"/>
  <c r="N96" i="89" s="1"/>
  <c r="M96" i="89" a="1"/>
  <c r="M96" i="89" s="1"/>
  <c r="L96" i="89" a="1"/>
  <c r="L96" i="89" s="1"/>
  <c r="K96" i="89" a="1"/>
  <c r="K96" i="89" s="1"/>
  <c r="J96" i="89" a="1"/>
  <c r="J96" i="89" s="1"/>
  <c r="I96" i="89" a="1"/>
  <c r="I96" i="89" s="1"/>
  <c r="H96" i="89" a="1"/>
  <c r="H96" i="89" s="1"/>
  <c r="G96" i="89" a="1"/>
  <c r="G96" i="89" s="1"/>
  <c r="F96" i="89" a="1"/>
  <c r="F96" i="89" s="1"/>
  <c r="E96" i="89" a="1"/>
  <c r="E96" i="89" s="1"/>
  <c r="D96" i="89" a="1"/>
  <c r="D96" i="89" s="1"/>
  <c r="AH95" i="89" a="1"/>
  <c r="AH95" i="89" s="1"/>
  <c r="AG95" i="89" a="1"/>
  <c r="AG95" i="89" s="1"/>
  <c r="AF95" i="89" a="1"/>
  <c r="AF95" i="89" s="1"/>
  <c r="AE95" i="89" a="1"/>
  <c r="AE95" i="89" s="1"/>
  <c r="AD95" i="89" a="1"/>
  <c r="AD95" i="89" s="1"/>
  <c r="AC95" i="89" a="1"/>
  <c r="AC95" i="89" s="1"/>
  <c r="AB95" i="89" a="1"/>
  <c r="AB95" i="89" s="1"/>
  <c r="AA95" i="89" a="1"/>
  <c r="AA95" i="89" s="1"/>
  <c r="Z95" i="89" a="1"/>
  <c r="Z95" i="89" s="1"/>
  <c r="Y95" i="89" a="1"/>
  <c r="Y95" i="89" s="1"/>
  <c r="X95" i="89" a="1"/>
  <c r="X95" i="89" s="1"/>
  <c r="W95" i="89" a="1"/>
  <c r="W95" i="89" s="1"/>
  <c r="V95" i="89" a="1"/>
  <c r="V95" i="89" s="1"/>
  <c r="U95" i="89" a="1"/>
  <c r="U95" i="89" s="1"/>
  <c r="T95" i="89" a="1"/>
  <c r="T95" i="89" s="1"/>
  <c r="S95" i="89" a="1"/>
  <c r="S95" i="89" s="1"/>
  <c r="R95" i="89" a="1"/>
  <c r="R95" i="89" s="1"/>
  <c r="Q95" i="89" a="1"/>
  <c r="Q95" i="89" s="1"/>
  <c r="P95" i="89" a="1"/>
  <c r="P95" i="89" s="1"/>
  <c r="O95" i="89" a="1"/>
  <c r="O95" i="89" s="1"/>
  <c r="N95" i="89" a="1"/>
  <c r="N95" i="89" s="1"/>
  <c r="M95" i="89" a="1"/>
  <c r="M95" i="89" s="1"/>
  <c r="L95" i="89" a="1"/>
  <c r="L95" i="89" s="1"/>
  <c r="K95" i="89" a="1"/>
  <c r="K95" i="89" s="1"/>
  <c r="J95" i="89" a="1"/>
  <c r="J95" i="89" s="1"/>
  <c r="I95" i="89" a="1"/>
  <c r="I95" i="89" s="1"/>
  <c r="H95" i="89" a="1"/>
  <c r="H95" i="89" s="1"/>
  <c r="G95" i="89" a="1"/>
  <c r="G95" i="89" s="1"/>
  <c r="F95" i="89" a="1"/>
  <c r="F95" i="89" s="1"/>
  <c r="E95" i="89" a="1"/>
  <c r="E95" i="89" s="1"/>
  <c r="D95" i="89" a="1"/>
  <c r="D95" i="89" s="1"/>
  <c r="AH94" i="89" a="1"/>
  <c r="AH94" i="89" s="1"/>
  <c r="AG94" i="89" a="1"/>
  <c r="AG94" i="89" s="1"/>
  <c r="AF94" i="89" a="1"/>
  <c r="AF94" i="89" s="1"/>
  <c r="AE94" i="89" a="1"/>
  <c r="AE94" i="89" s="1"/>
  <c r="AD94" i="89" a="1"/>
  <c r="AD94" i="89" s="1"/>
  <c r="AC94" i="89" a="1"/>
  <c r="AC94" i="89" s="1"/>
  <c r="AB94" i="89" a="1"/>
  <c r="AB94" i="89" s="1"/>
  <c r="AA94" i="89" a="1"/>
  <c r="AA94" i="89" s="1"/>
  <c r="Z94" i="89" a="1"/>
  <c r="Z94" i="89" s="1"/>
  <c r="Y94" i="89" a="1"/>
  <c r="Y94" i="89" s="1"/>
  <c r="X94" i="89" a="1"/>
  <c r="X94" i="89" s="1"/>
  <c r="W94" i="89" a="1"/>
  <c r="W94" i="89" s="1"/>
  <c r="V94" i="89" a="1"/>
  <c r="V94" i="89" s="1"/>
  <c r="U94" i="89" a="1"/>
  <c r="U94" i="89" s="1"/>
  <c r="T94" i="89" a="1"/>
  <c r="T94" i="89" s="1"/>
  <c r="S94" i="89" a="1"/>
  <c r="S94" i="89" s="1"/>
  <c r="R94" i="89" a="1"/>
  <c r="R94" i="89" s="1"/>
  <c r="Q94" i="89" a="1"/>
  <c r="Q94" i="89" s="1"/>
  <c r="P94" i="89" a="1"/>
  <c r="P94" i="89" s="1"/>
  <c r="O94" i="89" a="1"/>
  <c r="O94" i="89" s="1"/>
  <c r="N94" i="89" a="1"/>
  <c r="N94" i="89" s="1"/>
  <c r="M94" i="89" a="1"/>
  <c r="M94" i="89" s="1"/>
  <c r="L94" i="89" a="1"/>
  <c r="L94" i="89" s="1"/>
  <c r="K94" i="89" a="1"/>
  <c r="K94" i="89" s="1"/>
  <c r="J94" i="89" a="1"/>
  <c r="J94" i="89" s="1"/>
  <c r="I94" i="89" a="1"/>
  <c r="I94" i="89" s="1"/>
  <c r="H94" i="89" a="1"/>
  <c r="H94" i="89" s="1"/>
  <c r="G94" i="89" a="1"/>
  <c r="G94" i="89" s="1"/>
  <c r="F94" i="89" a="1"/>
  <c r="F94" i="89" s="1"/>
  <c r="E94" i="89" a="1"/>
  <c r="E94" i="89" s="1"/>
  <c r="D94" i="89" a="1"/>
  <c r="D94" i="89" s="1"/>
  <c r="AH93" i="89" a="1"/>
  <c r="AH93" i="89" s="1"/>
  <c r="AG93" i="89" a="1"/>
  <c r="AG93" i="89" s="1"/>
  <c r="AF93" i="89" a="1"/>
  <c r="AF93" i="89" s="1"/>
  <c r="AE93" i="89" a="1"/>
  <c r="AE93" i="89" s="1"/>
  <c r="AD93" i="89" a="1"/>
  <c r="AD93" i="89" s="1"/>
  <c r="AC93" i="89" a="1"/>
  <c r="AC93" i="89" s="1"/>
  <c r="AB93" i="89" a="1"/>
  <c r="AB93" i="89" s="1"/>
  <c r="AA93" i="89" a="1"/>
  <c r="AA93" i="89" s="1"/>
  <c r="Z93" i="89" a="1"/>
  <c r="Z93" i="89" s="1"/>
  <c r="Y93" i="89" a="1"/>
  <c r="Y93" i="89" s="1"/>
  <c r="X93" i="89" a="1"/>
  <c r="X93" i="89" s="1"/>
  <c r="W93" i="89" a="1"/>
  <c r="W93" i="89" s="1"/>
  <c r="V93" i="89" a="1"/>
  <c r="V93" i="89" s="1"/>
  <c r="U93" i="89" a="1"/>
  <c r="U93" i="89" s="1"/>
  <c r="T93" i="89" a="1"/>
  <c r="T93" i="89" s="1"/>
  <c r="S93" i="89" a="1"/>
  <c r="S93" i="89" s="1"/>
  <c r="R93" i="89" a="1"/>
  <c r="R93" i="89" s="1"/>
  <c r="Q93" i="89" a="1"/>
  <c r="Q93" i="89" s="1"/>
  <c r="P93" i="89" a="1"/>
  <c r="P93" i="89" s="1"/>
  <c r="O93" i="89" a="1"/>
  <c r="O93" i="89" s="1"/>
  <c r="N93" i="89" a="1"/>
  <c r="N93" i="89" s="1"/>
  <c r="M93" i="89" a="1"/>
  <c r="M93" i="89" s="1"/>
  <c r="L93" i="89" a="1"/>
  <c r="L93" i="89" s="1"/>
  <c r="K93" i="89" a="1"/>
  <c r="K93" i="89" s="1"/>
  <c r="J93" i="89" a="1"/>
  <c r="J93" i="89" s="1"/>
  <c r="I93" i="89" a="1"/>
  <c r="I93" i="89" s="1"/>
  <c r="H93" i="89" a="1"/>
  <c r="H93" i="89" s="1"/>
  <c r="G93" i="89" a="1"/>
  <c r="G93" i="89" s="1"/>
  <c r="F93" i="89" a="1"/>
  <c r="F93" i="89" s="1"/>
  <c r="E93" i="89" a="1"/>
  <c r="E93" i="89" s="1"/>
  <c r="D93" i="89" a="1"/>
  <c r="D93" i="89" s="1"/>
  <c r="AH92" i="89" a="1"/>
  <c r="AH92" i="89" s="1"/>
  <c r="AG92" i="89" a="1"/>
  <c r="AG92" i="89" s="1"/>
  <c r="AF92" i="89" a="1"/>
  <c r="AF92" i="89" s="1"/>
  <c r="AE92" i="89" a="1"/>
  <c r="AE92" i="89" s="1"/>
  <c r="AD92" i="89" a="1"/>
  <c r="AD92" i="89" s="1"/>
  <c r="AC92" i="89" a="1"/>
  <c r="AC92" i="89" s="1"/>
  <c r="AB92" i="89" a="1"/>
  <c r="AB92" i="89" s="1"/>
  <c r="AA92" i="89" a="1"/>
  <c r="AA92" i="89" s="1"/>
  <c r="Z92" i="89" a="1"/>
  <c r="Z92" i="89" s="1"/>
  <c r="Y92" i="89" a="1"/>
  <c r="Y92" i="89" s="1"/>
  <c r="X92" i="89" a="1"/>
  <c r="X92" i="89" s="1"/>
  <c r="W92" i="89" a="1"/>
  <c r="W92" i="89" s="1"/>
  <c r="V92" i="89" a="1"/>
  <c r="V92" i="89" s="1"/>
  <c r="U92" i="89" a="1"/>
  <c r="U92" i="89" s="1"/>
  <c r="T92" i="89" a="1"/>
  <c r="T92" i="89" s="1"/>
  <c r="S92" i="89" a="1"/>
  <c r="S92" i="89" s="1"/>
  <c r="R92" i="89" a="1"/>
  <c r="R92" i="89" s="1"/>
  <c r="Q92" i="89" a="1"/>
  <c r="Q92" i="89" s="1"/>
  <c r="P92" i="89" a="1"/>
  <c r="P92" i="89" s="1"/>
  <c r="O92" i="89" a="1"/>
  <c r="O92" i="89" s="1"/>
  <c r="N92" i="89" a="1"/>
  <c r="N92" i="89" s="1"/>
  <c r="M92" i="89" a="1"/>
  <c r="M92" i="89" s="1"/>
  <c r="L92" i="89" a="1"/>
  <c r="L92" i="89" s="1"/>
  <c r="K92" i="89" a="1"/>
  <c r="K92" i="89" s="1"/>
  <c r="J92" i="89" a="1"/>
  <c r="J92" i="89" s="1"/>
  <c r="I92" i="89" a="1"/>
  <c r="I92" i="89" s="1"/>
  <c r="H92" i="89" a="1"/>
  <c r="H92" i="89" s="1"/>
  <c r="G92" i="89" a="1"/>
  <c r="G92" i="89" s="1"/>
  <c r="F92" i="89" a="1"/>
  <c r="F92" i="89" s="1"/>
  <c r="E92" i="89" a="1"/>
  <c r="E92" i="89" s="1"/>
  <c r="D92" i="89" a="1"/>
  <c r="D92" i="89" s="1"/>
  <c r="AH91" i="89" a="1"/>
  <c r="AH91" i="89" s="1"/>
  <c r="AG91" i="89" a="1"/>
  <c r="AG91" i="89" s="1"/>
  <c r="AF91" i="89" a="1"/>
  <c r="AF91" i="89" s="1"/>
  <c r="AE91" i="89" a="1"/>
  <c r="AE91" i="89" s="1"/>
  <c r="AD91" i="89" a="1"/>
  <c r="AD91" i="89" s="1"/>
  <c r="AC91" i="89" a="1"/>
  <c r="AC91" i="89" s="1"/>
  <c r="AB91" i="89" a="1"/>
  <c r="AB91" i="89" s="1"/>
  <c r="AA91" i="89" a="1"/>
  <c r="AA91" i="89" s="1"/>
  <c r="Z91" i="89" a="1"/>
  <c r="Z91" i="89" s="1"/>
  <c r="Y91" i="89" a="1"/>
  <c r="Y91" i="89" s="1"/>
  <c r="X91" i="89" a="1"/>
  <c r="X91" i="89" s="1"/>
  <c r="W91" i="89" a="1"/>
  <c r="W91" i="89" s="1"/>
  <c r="V91" i="89" a="1"/>
  <c r="V91" i="89" s="1"/>
  <c r="U91" i="89" a="1"/>
  <c r="U91" i="89" s="1"/>
  <c r="T91" i="89" a="1"/>
  <c r="T91" i="89" s="1"/>
  <c r="S91" i="89" a="1"/>
  <c r="S91" i="89" s="1"/>
  <c r="R91" i="89" a="1"/>
  <c r="R91" i="89" s="1"/>
  <c r="Q91" i="89" a="1"/>
  <c r="Q91" i="89" s="1"/>
  <c r="P91" i="89" a="1"/>
  <c r="P91" i="89" s="1"/>
  <c r="O91" i="89" a="1"/>
  <c r="O91" i="89" s="1"/>
  <c r="N91" i="89" a="1"/>
  <c r="N91" i="89" s="1"/>
  <c r="M91" i="89" a="1"/>
  <c r="M91" i="89" s="1"/>
  <c r="L91" i="89" a="1"/>
  <c r="L91" i="89" s="1"/>
  <c r="K91" i="89" a="1"/>
  <c r="K91" i="89" s="1"/>
  <c r="J91" i="89" a="1"/>
  <c r="J91" i="89" s="1"/>
  <c r="I91" i="89" a="1"/>
  <c r="I91" i="89" s="1"/>
  <c r="H91" i="89" a="1"/>
  <c r="H91" i="89" s="1"/>
  <c r="G91" i="89" a="1"/>
  <c r="G91" i="89" s="1"/>
  <c r="F91" i="89" a="1"/>
  <c r="F91" i="89" s="1"/>
  <c r="E91" i="89" a="1"/>
  <c r="E91" i="89" s="1"/>
  <c r="D91" i="89" a="1"/>
  <c r="D91" i="89" s="1"/>
  <c r="AH90" i="89" a="1"/>
  <c r="AH90" i="89" s="1"/>
  <c r="AG90" i="89" a="1"/>
  <c r="AG90" i="89" s="1"/>
  <c r="AF90" i="89" a="1"/>
  <c r="AF90" i="89" s="1"/>
  <c r="AE90" i="89" a="1"/>
  <c r="AE90" i="89" s="1"/>
  <c r="AD90" i="89" a="1"/>
  <c r="AD90" i="89" s="1"/>
  <c r="AC90" i="89" a="1"/>
  <c r="AC90" i="89" s="1"/>
  <c r="AB90" i="89" a="1"/>
  <c r="AB90" i="89" s="1"/>
  <c r="AA90" i="89" a="1"/>
  <c r="AA90" i="89" s="1"/>
  <c r="Z90" i="89" a="1"/>
  <c r="Z90" i="89" s="1"/>
  <c r="Y90" i="89" a="1"/>
  <c r="Y90" i="89" s="1"/>
  <c r="X90" i="89" a="1"/>
  <c r="X90" i="89" s="1"/>
  <c r="W90" i="89" a="1"/>
  <c r="W90" i="89" s="1"/>
  <c r="V90" i="89" a="1"/>
  <c r="V90" i="89" s="1"/>
  <c r="U90" i="89" a="1"/>
  <c r="U90" i="89" s="1"/>
  <c r="T90" i="89" a="1"/>
  <c r="T90" i="89" s="1"/>
  <c r="S90" i="89" a="1"/>
  <c r="S90" i="89" s="1"/>
  <c r="R90" i="89" a="1"/>
  <c r="R90" i="89" s="1"/>
  <c r="Q90" i="89" a="1"/>
  <c r="Q90" i="89" s="1"/>
  <c r="P90" i="89" a="1"/>
  <c r="P90" i="89" s="1"/>
  <c r="O90" i="89" a="1"/>
  <c r="O90" i="89" s="1"/>
  <c r="N90" i="89" a="1"/>
  <c r="N90" i="89" s="1"/>
  <c r="M90" i="89" a="1"/>
  <c r="M90" i="89" s="1"/>
  <c r="L90" i="89" a="1"/>
  <c r="L90" i="89" s="1"/>
  <c r="K90" i="89" a="1"/>
  <c r="K90" i="89" s="1"/>
  <c r="J90" i="89" a="1"/>
  <c r="J90" i="89" s="1"/>
  <c r="I90" i="89" a="1"/>
  <c r="I90" i="89" s="1"/>
  <c r="H90" i="89" a="1"/>
  <c r="H90" i="89" s="1"/>
  <c r="G90" i="89" a="1"/>
  <c r="G90" i="89" s="1"/>
  <c r="F90" i="89" a="1"/>
  <c r="F90" i="89" s="1"/>
  <c r="E90" i="89" a="1"/>
  <c r="E90" i="89" s="1"/>
  <c r="P21" i="82" s="1" a="1"/>
  <c r="P21" i="82" s="1"/>
  <c r="D90" i="89" a="1"/>
  <c r="D90" i="89" s="1"/>
  <c r="F83" i="89" a="1"/>
  <c r="F83" i="89" s="1"/>
  <c r="E83" i="89" a="1"/>
  <c r="E83" i="89" s="1"/>
  <c r="J91" i="88" s="1"/>
  <c r="D83" i="89" a="1"/>
  <c r="D83" i="89" s="1"/>
  <c r="D82" i="89" a="1"/>
  <c r="D82" i="89" s="1"/>
  <c r="D81" i="89" a="1"/>
  <c r="D81" i="89" s="1"/>
  <c r="F78" i="89" a="1"/>
  <c r="F78" i="89" s="1"/>
  <c r="E78" i="89" a="1"/>
  <c r="E78" i="89" s="1"/>
  <c r="I15" i="88" s="1"/>
  <c r="D78" i="89" a="1"/>
  <c r="D78" i="89" s="1"/>
  <c r="D77" i="89" a="1"/>
  <c r="D77" i="89" s="1"/>
  <c r="D76" i="89" a="1"/>
  <c r="D76" i="89" s="1"/>
  <c r="F73" i="89" a="1"/>
  <c r="F73" i="89" s="1"/>
  <c r="E73" i="89" a="1"/>
  <c r="E73" i="89" s="1"/>
  <c r="I97" i="87" s="1"/>
  <c r="D73" i="89" a="1"/>
  <c r="D73" i="89" s="1"/>
  <c r="D72" i="89" a="1"/>
  <c r="D72" i="89" s="1"/>
  <c r="D71" i="89" a="1"/>
  <c r="D71" i="89" s="1"/>
  <c r="F68" i="89" a="1"/>
  <c r="F68" i="89" s="1"/>
  <c r="E68" i="89" a="1"/>
  <c r="E68" i="89" s="1"/>
  <c r="D68" i="89" a="1"/>
  <c r="D68" i="89" s="1"/>
  <c r="F67" i="89" a="1"/>
  <c r="F67" i="89" s="1"/>
  <c r="I19" i="86" s="1"/>
  <c r="E67" i="89" a="1"/>
  <c r="E67" i="89" s="1"/>
  <c r="I18" i="86" s="1"/>
  <c r="D67" i="89" a="1"/>
  <c r="D67" i="89" s="1"/>
  <c r="F66" i="89" a="1"/>
  <c r="F66" i="89" s="1"/>
  <c r="I16" i="86" s="1"/>
  <c r="E66" i="89" a="1"/>
  <c r="E66" i="89" s="1"/>
  <c r="I15" i="86" s="1"/>
  <c r="D66" i="89" a="1"/>
  <c r="D66" i="89" s="1"/>
  <c r="D64" i="89" a="1"/>
  <c r="D64" i="89" s="1"/>
  <c r="D63" i="89" a="1"/>
  <c r="D63" i="89" s="1"/>
  <c r="F60" i="89" a="1"/>
  <c r="F60" i="89" s="1"/>
  <c r="E60" i="89" a="1"/>
  <c r="E60" i="89" s="1"/>
  <c r="I50" i="84" s="1"/>
  <c r="D60" i="89" a="1"/>
  <c r="D60" i="89" s="1"/>
  <c r="D59" i="89" a="1"/>
  <c r="D59" i="89" s="1"/>
  <c r="D58" i="89" a="1"/>
  <c r="D58" i="89" s="1"/>
  <c r="E55" i="89" a="1"/>
  <c r="E55" i="89" s="1"/>
  <c r="D55" i="89" a="1"/>
  <c r="D55" i="89" s="1"/>
  <c r="E54" i="89" a="1"/>
  <c r="E54" i="89" s="1"/>
  <c r="D54" i="89" a="1"/>
  <c r="D54" i="89" s="1"/>
  <c r="E53" i="89" a="1"/>
  <c r="E53" i="89" s="1"/>
  <c r="D53" i="89" a="1"/>
  <c r="D53" i="89" s="1"/>
  <c r="E52" i="89" a="1"/>
  <c r="E52" i="89" s="1"/>
  <c r="D52" i="89" a="1"/>
  <c r="D52" i="89" s="1"/>
  <c r="E51" i="89" a="1"/>
  <c r="E51" i="89" s="1"/>
  <c r="D51" i="89" a="1"/>
  <c r="D51" i="89" s="1"/>
  <c r="D49" i="89" a="1"/>
  <c r="D49" i="89" s="1"/>
  <c r="D48" i="89" a="1"/>
  <c r="D48" i="89" s="1"/>
  <c r="I38" i="89" a="1"/>
  <c r="I38" i="89" s="1"/>
  <c r="H38" i="89" a="1"/>
  <c r="H38" i="89" s="1"/>
  <c r="G38" i="89" a="1"/>
  <c r="G38" i="89" s="1"/>
  <c r="F38" i="89" a="1"/>
  <c r="F38" i="89" s="1"/>
  <c r="E38" i="89" a="1"/>
  <c r="E38" i="89" s="1"/>
  <c r="D38" i="89" a="1"/>
  <c r="D38" i="89" s="1"/>
  <c r="G180" i="107" s="1"/>
  <c r="I37" i="89" a="1"/>
  <c r="I37" i="89" s="1"/>
  <c r="H37" i="89" a="1"/>
  <c r="H37" i="89" s="1"/>
  <c r="G37" i="89" a="1"/>
  <c r="G37" i="89" s="1"/>
  <c r="F37" i="89" a="1"/>
  <c r="F37" i="89" s="1"/>
  <c r="E37" i="89" a="1"/>
  <c r="E37" i="89" s="1"/>
  <c r="D37" i="89" a="1"/>
  <c r="D37" i="89" s="1"/>
  <c r="G174" i="107" s="1"/>
  <c r="I36" i="89" a="1"/>
  <c r="I36" i="89" s="1"/>
  <c r="H36" i="89" a="1"/>
  <c r="H36" i="89" s="1"/>
  <c r="G36" i="89" a="1"/>
  <c r="G36" i="89" s="1"/>
  <c r="F36" i="89" a="1"/>
  <c r="F36" i="89" s="1"/>
  <c r="E36" i="89" a="1"/>
  <c r="E36" i="89" s="1"/>
  <c r="D36" i="89" a="1"/>
  <c r="D36" i="89" s="1"/>
  <c r="G190" i="107" s="1"/>
  <c r="I35" i="89" a="1"/>
  <c r="I35" i="89" s="1"/>
  <c r="H35" i="89" a="1"/>
  <c r="H35" i="89" s="1"/>
  <c r="G35" i="89" a="1"/>
  <c r="G35" i="89" s="1"/>
  <c r="F35" i="89" a="1"/>
  <c r="F35" i="89" s="1"/>
  <c r="E35" i="89" a="1"/>
  <c r="E35" i="89" s="1"/>
  <c r="D35" i="89" a="1"/>
  <c r="D35" i="89" s="1"/>
  <c r="G182" i="107" s="1"/>
  <c r="I34" i="89" a="1"/>
  <c r="I34" i="89" s="1"/>
  <c r="H34" i="89" a="1"/>
  <c r="H34" i="89" s="1"/>
  <c r="G34" i="89" a="1"/>
  <c r="G34" i="89" s="1"/>
  <c r="F34" i="89" a="1"/>
  <c r="F34" i="89" s="1"/>
  <c r="E34" i="89" a="1"/>
  <c r="E34" i="89" s="1"/>
  <c r="D34" i="89" a="1"/>
  <c r="D34" i="89" s="1"/>
  <c r="G184" i="107" s="1"/>
  <c r="I33" i="89" a="1"/>
  <c r="I33" i="89" s="1"/>
  <c r="H33" i="89" a="1"/>
  <c r="H33" i="89" s="1"/>
  <c r="G33" i="89" a="1"/>
  <c r="G33" i="89" s="1"/>
  <c r="F33" i="89" a="1"/>
  <c r="F33" i="89" s="1"/>
  <c r="E33" i="89" a="1"/>
  <c r="E33" i="89" s="1"/>
  <c r="D33" i="89" a="1"/>
  <c r="D33" i="89" s="1"/>
  <c r="G198" i="107" s="1"/>
  <c r="I32" i="89" a="1"/>
  <c r="I32" i="89" s="1"/>
  <c r="H32" i="89" a="1"/>
  <c r="H32" i="89" s="1"/>
  <c r="G32" i="89" a="1"/>
  <c r="G32" i="89" s="1"/>
  <c r="F32" i="89" a="1"/>
  <c r="F32" i="89" s="1"/>
  <c r="E32" i="89" a="1"/>
  <c r="E32" i="89" s="1"/>
  <c r="D32" i="89" a="1"/>
  <c r="D32" i="89" s="1"/>
  <c r="G191" i="107" s="1"/>
  <c r="I31" i="89" a="1"/>
  <c r="I31" i="89" s="1"/>
  <c r="H31" i="89" a="1"/>
  <c r="H31" i="89" s="1"/>
  <c r="G31" i="89" a="1"/>
  <c r="G31" i="89" s="1"/>
  <c r="F31" i="89" a="1"/>
  <c r="F31" i="89" s="1"/>
  <c r="E31" i="89" a="1"/>
  <c r="E31" i="89" s="1"/>
  <c r="D31" i="89" a="1"/>
  <c r="D31" i="89" s="1"/>
  <c r="G189" i="107" s="1"/>
  <c r="I30" i="89" a="1"/>
  <c r="I30" i="89" s="1"/>
  <c r="H30" i="89" a="1"/>
  <c r="H30" i="89" s="1"/>
  <c r="G30" i="89" a="1"/>
  <c r="G30" i="89" s="1"/>
  <c r="F30" i="89" a="1"/>
  <c r="F30" i="89" s="1"/>
  <c r="E30" i="89" a="1"/>
  <c r="E30" i="89" s="1"/>
  <c r="D30" i="89" a="1"/>
  <c r="D30" i="89" s="1"/>
  <c r="G188" i="107" s="1"/>
  <c r="I29" i="89" a="1"/>
  <c r="I29" i="89" s="1"/>
  <c r="H29" i="89" a="1"/>
  <c r="H29" i="89" s="1"/>
  <c r="G29" i="89" a="1"/>
  <c r="G29" i="89" s="1"/>
  <c r="F29" i="89" a="1"/>
  <c r="F29" i="89" s="1"/>
  <c r="E29" i="89" a="1"/>
  <c r="E29" i="89" s="1"/>
  <c r="D29" i="89" a="1"/>
  <c r="D29" i="89" s="1"/>
  <c r="G186" i="107" s="1"/>
  <c r="R28" i="89" a="1"/>
  <c r="R28" i="89" s="1"/>
  <c r="Q28" i="89" a="1"/>
  <c r="Q28" i="89" s="1"/>
  <c r="L28" i="89" a="1"/>
  <c r="L28" i="89" s="1"/>
  <c r="K28" i="89" a="1"/>
  <c r="K28" i="89" s="1"/>
  <c r="I28" i="89" a="1"/>
  <c r="I28" i="89" s="1"/>
  <c r="H28" i="89" a="1"/>
  <c r="H28" i="89" s="1"/>
  <c r="G28" i="89" a="1"/>
  <c r="G28" i="89" s="1"/>
  <c r="F28" i="89" a="1"/>
  <c r="F28" i="89" s="1"/>
  <c r="E28" i="89" a="1"/>
  <c r="E28" i="89" s="1"/>
  <c r="D28" i="89" a="1"/>
  <c r="D28" i="89" s="1"/>
  <c r="G187" i="107" s="1"/>
  <c r="R27" i="89" a="1"/>
  <c r="R27" i="89" s="1"/>
  <c r="Q27" i="89" a="1"/>
  <c r="Q27" i="89" s="1"/>
  <c r="L27" i="89" a="1"/>
  <c r="L27" i="89" s="1"/>
  <c r="K27" i="89" a="1"/>
  <c r="K27" i="89" s="1"/>
  <c r="I27" i="89" a="1"/>
  <c r="I27" i="89" s="1"/>
  <c r="H27" i="89" a="1"/>
  <c r="H27" i="89" s="1"/>
  <c r="G27" i="89" a="1"/>
  <c r="G27" i="89" s="1"/>
  <c r="F27" i="89" a="1"/>
  <c r="F27" i="89" s="1"/>
  <c r="E27" i="89" a="1"/>
  <c r="E27" i="89" s="1"/>
  <c r="D27" i="89" a="1"/>
  <c r="D27" i="89" s="1"/>
  <c r="G185" i="107" s="1"/>
  <c r="R26" i="89" a="1"/>
  <c r="R26" i="89" s="1"/>
  <c r="Q26" i="89" a="1"/>
  <c r="Q26" i="89" s="1"/>
  <c r="L26" i="89" a="1"/>
  <c r="L26" i="89" s="1"/>
  <c r="K26" i="89" a="1"/>
  <c r="K26" i="89" s="1"/>
  <c r="I26" i="89" a="1"/>
  <c r="I26" i="89" s="1"/>
  <c r="H26" i="89" a="1"/>
  <c r="H26" i="89" s="1"/>
  <c r="G26" i="89" a="1"/>
  <c r="G26" i="89" s="1"/>
  <c r="F26" i="89" a="1"/>
  <c r="F26" i="89" s="1"/>
  <c r="E26" i="89" a="1"/>
  <c r="E26" i="89" s="1"/>
  <c r="D26" i="89" a="1"/>
  <c r="D26" i="89" s="1"/>
  <c r="G179" i="107" s="1"/>
  <c r="R25" i="89" a="1"/>
  <c r="R25" i="89" s="1"/>
  <c r="Q25" i="89" a="1"/>
  <c r="Q25" i="89" s="1"/>
  <c r="L25" i="89" a="1"/>
  <c r="L25" i="89" s="1"/>
  <c r="K25" i="89" a="1"/>
  <c r="K25" i="89" s="1"/>
  <c r="I25" i="89" a="1"/>
  <c r="I25" i="89" s="1"/>
  <c r="H25" i="89" a="1"/>
  <c r="H25" i="89" s="1"/>
  <c r="G25" i="89" a="1"/>
  <c r="G25" i="89" s="1"/>
  <c r="F25" i="89" a="1"/>
  <c r="F25" i="89" s="1"/>
  <c r="E25" i="89" a="1"/>
  <c r="E25" i="89" s="1"/>
  <c r="D25" i="89" a="1"/>
  <c r="D25" i="89" s="1"/>
  <c r="G178" i="107" s="1"/>
  <c r="R24" i="89" a="1"/>
  <c r="R24" i="89" s="1"/>
  <c r="Q24" i="89" a="1"/>
  <c r="Q24" i="89" s="1"/>
  <c r="L24" i="89" a="1"/>
  <c r="L24" i="89" s="1"/>
  <c r="K24" i="89" a="1"/>
  <c r="K24" i="89" s="1"/>
  <c r="I24" i="89" a="1"/>
  <c r="I24" i="89" s="1"/>
  <c r="H24" i="89" a="1"/>
  <c r="H24" i="89" s="1"/>
  <c r="G24" i="89" a="1"/>
  <c r="G24" i="89" s="1"/>
  <c r="F24" i="89" a="1"/>
  <c r="F24" i="89" s="1"/>
  <c r="E24" i="89" a="1"/>
  <c r="E24" i="89" s="1"/>
  <c r="D24" i="89" a="1"/>
  <c r="D24" i="89" s="1"/>
  <c r="G193" i="107" s="1"/>
  <c r="V23" i="89" a="1"/>
  <c r="V23" i="89" s="1"/>
  <c r="H197" i="107" s="1"/>
  <c r="R23" i="89" a="1"/>
  <c r="R23" i="89" s="1"/>
  <c r="Q23" i="89" a="1"/>
  <c r="Q23" i="89" s="1"/>
  <c r="L23" i="89" a="1"/>
  <c r="L23" i="89" s="1"/>
  <c r="K23" i="89" a="1"/>
  <c r="K23" i="89" s="1"/>
  <c r="I23" i="89" a="1"/>
  <c r="I23" i="89" s="1"/>
  <c r="H23" i="89" a="1"/>
  <c r="H23" i="89" s="1"/>
  <c r="G23" i="89" a="1"/>
  <c r="G23" i="89" s="1"/>
  <c r="F23" i="89" a="1"/>
  <c r="F23" i="89" s="1"/>
  <c r="E23" i="89" a="1"/>
  <c r="E23" i="89" s="1"/>
  <c r="D23" i="89" a="1"/>
  <c r="D23" i="89" s="1"/>
  <c r="G192" i="107" s="1"/>
  <c r="V22" i="89" a="1"/>
  <c r="V22" i="89" s="1"/>
  <c r="H196" i="107" s="1"/>
  <c r="R22" i="89" a="1"/>
  <c r="R22" i="89" s="1"/>
  <c r="Q22" i="89" a="1"/>
  <c r="Q22" i="89" s="1"/>
  <c r="L22" i="89" a="1"/>
  <c r="L22" i="89" s="1"/>
  <c r="K22" i="89" a="1"/>
  <c r="K22" i="89" s="1"/>
  <c r="I22" i="89" a="1"/>
  <c r="I22" i="89" s="1"/>
  <c r="H22" i="89" a="1"/>
  <c r="H22" i="89" s="1"/>
  <c r="G22" i="89" a="1"/>
  <c r="G22" i="89" s="1"/>
  <c r="F22" i="89" a="1"/>
  <c r="F22" i="89" s="1"/>
  <c r="E22" i="89" a="1"/>
  <c r="E22" i="89" s="1"/>
  <c r="D22" i="89" a="1"/>
  <c r="D22" i="89" s="1"/>
  <c r="G197" i="107" s="1"/>
  <c r="V21" i="89" a="1"/>
  <c r="V21" i="89" s="1"/>
  <c r="H195" i="107" s="1"/>
  <c r="R21" i="89" a="1"/>
  <c r="R21" i="89" s="1"/>
  <c r="Q21" i="89" a="1"/>
  <c r="Q21" i="89" s="1"/>
  <c r="L21" i="89" a="1"/>
  <c r="L21" i="89" s="1"/>
  <c r="K21" i="89" a="1"/>
  <c r="K21" i="89" s="1"/>
  <c r="I21" i="89" a="1"/>
  <c r="I21" i="89" s="1"/>
  <c r="H21" i="89" a="1"/>
  <c r="H21" i="89" s="1"/>
  <c r="G21" i="89" a="1"/>
  <c r="G21" i="89" s="1"/>
  <c r="F21" i="89" a="1"/>
  <c r="F21" i="89" s="1"/>
  <c r="E21" i="89" a="1"/>
  <c r="E21" i="89" s="1"/>
  <c r="D21" i="89" a="1"/>
  <c r="D21" i="89" s="1"/>
  <c r="G181" i="107" s="1"/>
  <c r="V20" i="89" a="1"/>
  <c r="V20" i="89" s="1"/>
  <c r="R20" i="89" a="1"/>
  <c r="R20" i="89" s="1"/>
  <c r="Q20" i="89" a="1"/>
  <c r="Q20" i="89" s="1"/>
  <c r="L20" i="89" a="1"/>
  <c r="L20" i="89" s="1"/>
  <c r="K20" i="89" a="1"/>
  <c r="K20" i="89" s="1"/>
  <c r="I20" i="89" a="1"/>
  <c r="I20" i="89" s="1"/>
  <c r="H20" i="89" a="1"/>
  <c r="H20" i="89" s="1"/>
  <c r="G20" i="89" a="1"/>
  <c r="G20" i="89" s="1"/>
  <c r="F20" i="89" a="1"/>
  <c r="F20" i="89" s="1"/>
  <c r="E20" i="89" a="1"/>
  <c r="E20" i="89" s="1"/>
  <c r="D20" i="89" a="1"/>
  <c r="D20" i="89" s="1"/>
  <c r="D19" i="83" s="1" a="1"/>
  <c r="V18" i="89" a="1"/>
  <c r="V18" i="89" s="1"/>
  <c r="Q18" i="89" a="1"/>
  <c r="Q18" i="89" s="1"/>
  <c r="K18" i="89" a="1"/>
  <c r="K18" i="89" s="1"/>
  <c r="V17" i="89" a="1"/>
  <c r="V17" i="89" s="1"/>
  <c r="Q17" i="89" a="1"/>
  <c r="Q17" i="89" s="1"/>
  <c r="K17" i="89" a="1"/>
  <c r="K17" i="89" s="1"/>
  <c r="D7" i="89" a="1"/>
  <c r="D7" i="89" s="1"/>
  <c r="D6" i="89" a="1"/>
  <c r="D6" i="89" s="1"/>
  <c r="D5" i="89" a="1"/>
  <c r="D5" i="89" s="1"/>
  <c r="F99" i="88" a="1"/>
  <c r="F99" i="88" s="1"/>
  <c r="D96" i="88" a="1"/>
  <c r="D96" i="88" s="1"/>
  <c r="H89" i="88" a="1"/>
  <c r="H89" i="88" s="1"/>
  <c r="D89" i="88" a="1"/>
  <c r="D89" i="88" s="1"/>
  <c r="E87" i="88" a="1"/>
  <c r="E87" i="88" s="1"/>
  <c r="F94" i="88" s="1"/>
  <c r="E86" i="88" a="1"/>
  <c r="E86" i="88" s="1"/>
  <c r="D82" i="88" a="1"/>
  <c r="D82" i="88" s="1"/>
  <c r="D81" i="88" a="1"/>
  <c r="D81" i="88" s="1"/>
  <c r="D67" i="88"/>
  <c r="D66" i="88"/>
  <c r="D65" i="88"/>
  <c r="I59" i="88"/>
  <c r="I58" i="88"/>
  <c r="I55" i="88" a="1"/>
  <c r="I55" i="88" s="1"/>
  <c r="G55" i="88" a="1"/>
  <c r="G55" i="88" s="1"/>
  <c r="D55" i="88" a="1"/>
  <c r="D55" i="88" s="1"/>
  <c r="E53" i="88" a="1"/>
  <c r="E53" i="88" s="1"/>
  <c r="F77" i="88" s="1"/>
  <c r="E52" i="88" a="1"/>
  <c r="E52" i="88" s="1"/>
  <c r="D48" i="88" a="1"/>
  <c r="D48" i="88" s="1"/>
  <c r="D47" i="88" a="1"/>
  <c r="D47" i="88" s="1"/>
  <c r="I18" i="88"/>
  <c r="I17" i="88"/>
  <c r="I16" i="88"/>
  <c r="I13" i="88" a="1"/>
  <c r="I13" i="88" s="1"/>
  <c r="G13" i="88" a="1"/>
  <c r="G13" i="88" s="1"/>
  <c r="D13" i="88" a="1"/>
  <c r="D13" i="88" s="1"/>
  <c r="E11" i="88" a="1"/>
  <c r="E11" i="88" s="1"/>
  <c r="F43" i="88" s="1"/>
  <c r="E10" i="88" a="1"/>
  <c r="E10" i="88" s="1"/>
  <c r="D6" i="88" a="1"/>
  <c r="D6" i="88" s="1"/>
  <c r="D5" i="88" a="1"/>
  <c r="D5" i="88" s="1"/>
  <c r="F151" i="87" a="1"/>
  <c r="F151" i="87" s="1"/>
  <c r="D148" i="87" a="1"/>
  <c r="D148" i="87" s="1"/>
  <c r="I128" i="87"/>
  <c r="I127" i="87"/>
  <c r="I124" i="87" a="1"/>
  <c r="I124" i="87" s="1"/>
  <c r="G124" i="87" a="1"/>
  <c r="G124" i="87" s="1"/>
  <c r="D124" i="87" a="1"/>
  <c r="D124" i="87" s="1"/>
  <c r="E122" i="87" a="1"/>
  <c r="E122" i="87" s="1"/>
  <c r="F146" i="87" s="1"/>
  <c r="E121" i="87" a="1"/>
  <c r="E121" i="87" s="1"/>
  <c r="D117" i="87" a="1"/>
  <c r="D117" i="87" s="1"/>
  <c r="D116" i="87" a="1"/>
  <c r="D116" i="87" s="1"/>
  <c r="I96" i="87" a="1"/>
  <c r="I96" i="87" s="1"/>
  <c r="G96" i="87" a="1"/>
  <c r="G96" i="87" s="1"/>
  <c r="D96" i="87" a="1"/>
  <c r="D96" i="87" s="1"/>
  <c r="E94" i="87" a="1"/>
  <c r="E94" i="87" s="1"/>
  <c r="G102" i="87" s="1"/>
  <c r="E93" i="87" a="1"/>
  <c r="E93" i="87" s="1"/>
  <c r="D89" i="87" a="1"/>
  <c r="D89" i="87" s="1"/>
  <c r="D88" i="87" a="1"/>
  <c r="D88" i="87" s="1"/>
  <c r="F84" i="87" a="1"/>
  <c r="F84" i="87" s="1"/>
  <c r="D81" i="87" a="1"/>
  <c r="D81" i="87" s="1"/>
  <c r="J52" i="87"/>
  <c r="J49" i="87" a="1"/>
  <c r="J49" i="87" s="1"/>
  <c r="H49" i="87" a="1"/>
  <c r="H49" i="87" s="1"/>
  <c r="D49" i="87" a="1"/>
  <c r="D49" i="87" s="1"/>
  <c r="E47" i="87" a="1"/>
  <c r="E47" i="87" s="1"/>
  <c r="E46" i="87" a="1"/>
  <c r="E46" i="87" s="1"/>
  <c r="D42" i="87" a="1"/>
  <c r="D42" i="87" s="1"/>
  <c r="D41" i="87" a="1"/>
  <c r="D41" i="87" s="1"/>
  <c r="I14" i="87" a="1"/>
  <c r="I14" i="87" s="1"/>
  <c r="I13" i="87" a="1"/>
  <c r="I13" i="87" s="1"/>
  <c r="G13" i="87" a="1"/>
  <c r="G13" i="87" s="1"/>
  <c r="D13" i="87" a="1"/>
  <c r="D13" i="87" s="1"/>
  <c r="E11" i="87" a="1"/>
  <c r="E11" i="87" s="1"/>
  <c r="E10" i="87" a="1"/>
  <c r="E10" i="87" s="1"/>
  <c r="D6" i="87" a="1"/>
  <c r="D6" i="87" s="1"/>
  <c r="D5" i="87" a="1"/>
  <c r="D5" i="87" s="1"/>
  <c r="I17" i="86" a="1"/>
  <c r="I17" i="86" s="1"/>
  <c r="I14" i="86" a="1"/>
  <c r="I14" i="86" s="1"/>
  <c r="I13" i="86" a="1"/>
  <c r="I13" i="86" s="1"/>
  <c r="G13" i="86" a="1"/>
  <c r="G13" i="86" s="1"/>
  <c r="D13" i="86" a="1"/>
  <c r="D13" i="86" s="1"/>
  <c r="E11" i="86" a="1"/>
  <c r="E11" i="86" s="1"/>
  <c r="E10" i="86" a="1"/>
  <c r="E10" i="86" s="1"/>
  <c r="D6" i="86" a="1"/>
  <c r="D6" i="86" s="1"/>
  <c r="D5" i="86" a="1"/>
  <c r="D5" i="86" s="1"/>
  <c r="F55" i="85" a="1"/>
  <c r="F55" i="85" s="1"/>
  <c r="D52" i="85" a="1"/>
  <c r="D52" i="85" s="1"/>
  <c r="K47" i="85"/>
  <c r="I44" i="85" a="1"/>
  <c r="I44" i="85" s="1"/>
  <c r="D44" i="85" a="1"/>
  <c r="D44" i="85" s="1"/>
  <c r="E42" i="85" a="1"/>
  <c r="E42" i="85" s="1"/>
  <c r="F50" i="85" s="1"/>
  <c r="E41" i="85" a="1"/>
  <c r="E41" i="85" s="1"/>
  <c r="D37" i="85" a="1"/>
  <c r="D37" i="85" s="1"/>
  <c r="D36" i="85" a="1"/>
  <c r="D36" i="85" s="1"/>
  <c r="I30" i="85" a="1"/>
  <c r="I30" i="85" s="1"/>
  <c r="E75" i="88" s="1"/>
  <c r="I29" i="85" a="1"/>
  <c r="I29" i="85" s="1"/>
  <c r="E74" i="88" s="1"/>
  <c r="I28" i="85" a="1"/>
  <c r="I28" i="85" s="1"/>
  <c r="E110" i="87" s="1"/>
  <c r="I27" i="85" a="1"/>
  <c r="I27" i="85" s="1"/>
  <c r="E109" i="87" s="1"/>
  <c r="I26" i="85" a="1"/>
  <c r="I26" i="85" s="1"/>
  <c r="I25" i="85" a="1"/>
  <c r="I25" i="85" s="1"/>
  <c r="I24" i="85" a="1"/>
  <c r="I24" i="85" s="1"/>
  <c r="I23" i="85" a="1"/>
  <c r="I23" i="85" s="1"/>
  <c r="E68" i="88" s="1"/>
  <c r="I15" i="85" a="1"/>
  <c r="I15" i="85" s="1"/>
  <c r="I14" i="85" a="1"/>
  <c r="I14" i="85" s="1"/>
  <c r="I13" i="85" a="1"/>
  <c r="I13" i="85" s="1"/>
  <c r="G13" i="85" a="1"/>
  <c r="G13" i="85" s="1"/>
  <c r="D13" i="85" a="1"/>
  <c r="D13" i="85" s="1"/>
  <c r="E11" i="85" a="1"/>
  <c r="E11" i="85" s="1"/>
  <c r="F32" i="85" s="1"/>
  <c r="E10" i="85" a="1"/>
  <c r="E10" i="85" s="1"/>
  <c r="D6" i="85" a="1"/>
  <c r="D6" i="85" s="1"/>
  <c r="D5" i="85" a="1"/>
  <c r="D5" i="85" s="1"/>
  <c r="I53" i="84" a="1"/>
  <c r="I53" i="84" s="1"/>
  <c r="I52" i="84"/>
  <c r="I49" i="84" a="1"/>
  <c r="I49" i="84" s="1"/>
  <c r="G49" i="84" a="1"/>
  <c r="G49" i="84" s="1"/>
  <c r="D49" i="84" a="1"/>
  <c r="D49" i="84" s="1"/>
  <c r="E47" i="84" a="1"/>
  <c r="E47" i="84" s="1"/>
  <c r="E46" i="84" a="1"/>
  <c r="E46" i="84" s="1"/>
  <c r="D42" i="84" a="1"/>
  <c r="D42" i="84" s="1"/>
  <c r="D41" i="84" a="1"/>
  <c r="D41" i="84" s="1"/>
  <c r="I14" i="84" a="1"/>
  <c r="I14" i="84" s="1"/>
  <c r="I13" i="84" a="1"/>
  <c r="I13" i="84" s="1"/>
  <c r="G13" i="84" a="1"/>
  <c r="G13" i="84" s="1"/>
  <c r="D13" i="84" a="1"/>
  <c r="D13" i="84" s="1"/>
  <c r="E11" i="84" a="1"/>
  <c r="E11" i="84" s="1"/>
  <c r="E10" i="84" a="1"/>
  <c r="E10" i="84" s="1"/>
  <c r="D6" i="84" a="1"/>
  <c r="D6" i="84" s="1"/>
  <c r="D5" i="84" a="1"/>
  <c r="D5" i="84" s="1"/>
  <c r="O115" i="83" a="1"/>
  <c r="O115" i="83" s="1"/>
  <c r="M112" i="83" a="1"/>
  <c r="M112" i="83" s="1"/>
  <c r="S96" i="83"/>
  <c r="N107" i="83" s="1"/>
  <c r="S95" i="83"/>
  <c r="Q92" i="83" a="1"/>
  <c r="Q92" i="83" s="1"/>
  <c r="M92" i="83" a="1"/>
  <c r="M92" i="83" s="1"/>
  <c r="N90" i="83" a="1"/>
  <c r="N90" i="83" s="1"/>
  <c r="N89" i="83" a="1"/>
  <c r="N89" i="83" s="1"/>
  <c r="F85" i="83" a="1"/>
  <c r="F85" i="83" s="1"/>
  <c r="M84" i="83" a="1"/>
  <c r="M84" i="83" s="1"/>
  <c r="M83" i="83" a="1"/>
  <c r="M83" i="83" s="1"/>
  <c r="D82" i="83" a="1"/>
  <c r="D82" i="83" s="1"/>
  <c r="P76" i="83" a="1"/>
  <c r="P76" i="83" s="1"/>
  <c r="M76" i="83" a="1"/>
  <c r="M76" i="83" s="1"/>
  <c r="N72" i="83" a="1"/>
  <c r="N72" i="83" s="1"/>
  <c r="O79" i="83" s="1"/>
  <c r="N71" i="83" a="1"/>
  <c r="N71" i="83" s="1"/>
  <c r="M67" i="83" a="1"/>
  <c r="M67" i="83" s="1"/>
  <c r="M66" i="83" a="1"/>
  <c r="M66" i="83" s="1"/>
  <c r="P60" i="83" a="1"/>
  <c r="P60" i="83" s="1"/>
  <c r="M60" i="83" a="1"/>
  <c r="M60" i="83" s="1"/>
  <c r="N58" i="83" a="1"/>
  <c r="N58" i="83" s="1"/>
  <c r="O63" i="83" s="1"/>
  <c r="N57" i="83" a="1"/>
  <c r="N57" i="83" s="1"/>
  <c r="M54" i="83" a="1"/>
  <c r="M54" i="83" s="1"/>
  <c r="M53" i="83" a="1"/>
  <c r="M53" i="83" s="1"/>
  <c r="I53" i="83"/>
  <c r="I52" i="83"/>
  <c r="I49" i="83" a="1"/>
  <c r="I49" i="83" s="1"/>
  <c r="G49" i="83" a="1"/>
  <c r="G49" i="83" s="1"/>
  <c r="D49" i="83" a="1"/>
  <c r="D49" i="83" s="1"/>
  <c r="E47" i="83" a="1"/>
  <c r="E47" i="83" s="1"/>
  <c r="F80" i="83" s="1"/>
  <c r="P46" i="83" a="1"/>
  <c r="P46" i="83" s="1"/>
  <c r="M46" i="83" a="1"/>
  <c r="M46" i="83" s="1"/>
  <c r="E46" i="83" a="1"/>
  <c r="E46" i="83" s="1"/>
  <c r="N44" i="83" a="1"/>
  <c r="N44" i="83" s="1"/>
  <c r="O49" i="83" s="1"/>
  <c r="N43" i="83" a="1"/>
  <c r="N43" i="83" s="1"/>
  <c r="D41" i="83" a="1"/>
  <c r="D41" i="83" s="1"/>
  <c r="M40" i="83" a="1"/>
  <c r="M40" i="83" s="1"/>
  <c r="D40" i="83" a="1"/>
  <c r="D40" i="83" s="1"/>
  <c r="M39" i="83" a="1"/>
  <c r="M39" i="83" s="1"/>
  <c r="I14" i="83" a="1"/>
  <c r="I14" i="83" s="1"/>
  <c r="I13" i="83" a="1"/>
  <c r="I13" i="83" s="1"/>
  <c r="G13" i="83" a="1"/>
  <c r="G13" i="83" s="1"/>
  <c r="D13" i="83" a="1"/>
  <c r="D13" i="83" s="1"/>
  <c r="E11" i="83" a="1"/>
  <c r="E11" i="83" s="1"/>
  <c r="E10" i="83" a="1"/>
  <c r="E10" i="83" s="1"/>
  <c r="D6" i="83" a="1"/>
  <c r="D6" i="83" s="1"/>
  <c r="D5" i="83" a="1"/>
  <c r="D5" i="83" s="1"/>
  <c r="H56" i="82"/>
  <c r="I56" i="82" s="1"/>
  <c r="G56" i="82"/>
  <c r="G55" i="82"/>
  <c r="H54" i="82"/>
  <c r="I54" i="82" s="1"/>
  <c r="G54" i="82"/>
  <c r="K44" i="82"/>
  <c r="F44" i="82"/>
  <c r="G44" i="82" s="1"/>
  <c r="K43" i="82"/>
  <c r="F43" i="82"/>
  <c r="G43" i="82" s="1"/>
  <c r="K42" i="82"/>
  <c r="F33" i="82"/>
  <c r="G33" i="82" s="1"/>
  <c r="F32" i="82"/>
  <c r="G32" i="82" s="1"/>
  <c r="F31" i="82"/>
  <c r="G31" i="82" s="1"/>
  <c r="F28" i="82"/>
  <c r="G28" i="82" s="1"/>
  <c r="F27" i="82"/>
  <c r="G27" i="82" s="1"/>
  <c r="F26" i="82"/>
  <c r="G26" i="82" s="1"/>
  <c r="F25" i="82"/>
  <c r="G25" i="82" s="1"/>
  <c r="G20" i="82"/>
  <c r="G16" i="82"/>
  <c r="G15" i="82"/>
  <c r="G14" i="82"/>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G149" i="87"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J61" i="78"/>
  <c r="D61" i="78"/>
  <c r="J60" i="78"/>
  <c r="D60" i="78"/>
  <c r="J59" i="78"/>
  <c r="D59" i="78"/>
  <c r="J58" i="78"/>
  <c r="J63" i="78" s="1"/>
  <c r="D58" i="78"/>
  <c r="J51" i="78"/>
  <c r="D51" i="78"/>
  <c r="J50" i="78"/>
  <c r="D50" i="78"/>
  <c r="J49" i="78"/>
  <c r="J53" i="78" s="1"/>
  <c r="D49" i="78"/>
  <c r="J48" i="78"/>
  <c r="D48" i="78"/>
  <c r="J42" i="78"/>
  <c r="D42" i="78"/>
  <c r="J41" i="78"/>
  <c r="D41" i="78"/>
  <c r="J40" i="78"/>
  <c r="J44" i="78" s="1"/>
  <c r="D40" i="78"/>
  <c r="J39" i="78"/>
  <c r="D39" i="78"/>
  <c r="J33" i="78"/>
  <c r="D33" i="78"/>
  <c r="J32" i="78"/>
  <c r="D32" i="78"/>
  <c r="J31" i="78"/>
  <c r="D31" i="78"/>
  <c r="J25" i="78"/>
  <c r="D25" i="78"/>
  <c r="J24" i="78"/>
  <c r="D24" i="78"/>
  <c r="J23" i="78"/>
  <c r="D23" i="78"/>
  <c r="J22" i="78"/>
  <c r="D22" i="78"/>
  <c r="J21" i="78"/>
  <c r="D21" i="78"/>
  <c r="J20" i="78"/>
  <c r="J27" i="78" s="1"/>
  <c r="D20" i="78"/>
  <c r="J14" i="78"/>
  <c r="D14" i="78"/>
  <c r="J13" i="78"/>
  <c r="D13" i="78"/>
  <c r="J12" i="78"/>
  <c r="D12" i="78"/>
  <c r="J11" i="78"/>
  <c r="D11" i="78"/>
  <c r="J10" i="78"/>
  <c r="D10" i="78"/>
  <c r="J9" i="78"/>
  <c r="D9" i="78"/>
  <c r="J8" i="78"/>
  <c r="D8" i="78"/>
  <c r="E10" i="76" a="1"/>
  <c r="E10" i="76" s="1"/>
  <c r="H55" i="82" s="1"/>
  <c r="J55" i="82" s="1"/>
  <c r="E9" i="76" a="1"/>
  <c r="E9" i="76" s="1"/>
  <c r="J53" i="87" s="1"/>
  <c r="E8" i="76" a="1"/>
  <c r="E8" i="76" s="1"/>
  <c r="F82" i="72"/>
  <c r="E82" i="72"/>
  <c r="F81" i="72"/>
  <c r="E81" i="72"/>
  <c r="F80" i="72"/>
  <c r="E80" i="72"/>
  <c r="D78" i="72" a="1"/>
  <c r="F79" i="72" s="1"/>
  <c r="D75" i="72"/>
  <c r="E71" i="72"/>
  <c r="E70" i="72"/>
  <c r="E69" i="72"/>
  <c r="D67" i="72" a="1"/>
  <c r="D67" i="72" s="1"/>
  <c r="D64" i="72"/>
  <c r="F58" i="72"/>
  <c r="E58" i="72"/>
  <c r="F57" i="72"/>
  <c r="E57" i="72"/>
  <c r="F56" i="72"/>
  <c r="E56" i="72"/>
  <c r="D54" i="72" a="1"/>
  <c r="E55" i="72" s="1"/>
  <c r="D50" i="72" a="1"/>
  <c r="D50" i="72" s="1"/>
  <c r="D48" i="72"/>
  <c r="G42" i="72"/>
  <c r="E54" i="13" s="1"/>
  <c r="D39" i="72"/>
  <c r="E28" i="72"/>
  <c r="E24" i="72"/>
  <c r="E20" i="72"/>
  <c r="E13" i="72"/>
  <c r="D52" i="13" s="1"/>
  <c r="E18" i="75"/>
  <c r="G54" i="80"/>
  <c r="G55" i="80" s="1"/>
  <c r="G52" i="80"/>
  <c r="G53" i="80" s="1"/>
  <c r="D39" i="80"/>
  <c r="D32" i="80"/>
  <c r="E48" i="13" a="1"/>
  <c r="E48" i="13" s="1"/>
  <c r="H48" i="13" s="1"/>
  <c r="E46" i="13" a="1"/>
  <c r="E46" i="13" s="1"/>
  <c r="H46" i="13" s="1"/>
  <c r="D45" i="13" a="1"/>
  <c r="D45" i="13" s="1"/>
  <c r="E43" i="13" a="1"/>
  <c r="E43" i="13" s="1"/>
  <c r="H43" i="13" s="1"/>
  <c r="E41" i="13" a="1"/>
  <c r="E41" i="13" s="1"/>
  <c r="H41" i="13" s="1"/>
  <c r="D31" i="13" a="1"/>
  <c r="D31" i="13" s="1"/>
  <c r="F14" i="13"/>
  <c r="F13" i="13"/>
  <c r="D4" i="13"/>
  <c r="E26" i="81"/>
  <c r="E26" i="72" s="1"/>
  <c r="E21" i="81"/>
  <c r="E22" i="81" s="1"/>
  <c r="E23" i="81" s="1"/>
  <c r="E17" i="81"/>
  <c r="E90" i="87" a="1"/>
  <c r="E166" i="106" a="1"/>
  <c r="E7" i="84" a="1"/>
  <c r="E7" i="95" a="1"/>
  <c r="N49" i="100"/>
  <c r="E400" i="106" a="1"/>
  <c r="E25" i="91"/>
  <c r="E99" i="98" a="1"/>
  <c r="E273" i="106" a="1"/>
  <c r="E538" i="106"/>
  <c r="E7" i="83" a="1"/>
  <c r="E43" i="87" a="1"/>
  <c r="E203" i="106" a="1"/>
  <c r="E7" i="85" a="1"/>
  <c r="E30" i="101" a="1"/>
  <c r="E7" i="88" a="1"/>
  <c r="E7" i="101" a="1"/>
  <c r="E555" i="106"/>
  <c r="N7" i="100"/>
  <c r="E42" i="83" a="1"/>
  <c r="E218" i="106" a="1"/>
  <c r="E7" i="106" a="1"/>
  <c r="E34" i="81"/>
  <c r="E576" i="106" a="1"/>
  <c r="E189" i="106" a="1"/>
  <c r="E7" i="98" a="1"/>
  <c r="E7" i="87" a="1"/>
  <c r="E305" i="106" a="1"/>
  <c r="E7" i="100"/>
  <c r="E7" i="86" a="1"/>
  <c r="L7" i="94" a="1"/>
  <c r="E370" i="106" a="1"/>
  <c r="E30" i="100"/>
  <c r="L8" i="95" a="1"/>
  <c r="E609" i="106" a="1"/>
  <c r="E49" i="88" a="1"/>
  <c r="N85" i="83" a="1"/>
  <c r="E101" i="106" a="1"/>
  <c r="E338" i="106" a="1"/>
  <c r="E118" i="87" a="1"/>
  <c r="E38" i="85" a="1"/>
  <c r="E8" i="91"/>
  <c r="E433" i="106" a="1"/>
  <c r="E523" i="106"/>
  <c r="N26" i="100"/>
  <c r="E7" i="94" a="1"/>
  <c r="E43" i="84" a="1"/>
  <c r="I14" i="100" l="1"/>
  <c r="K25" i="95"/>
  <c r="J25" i="95"/>
  <c r="I25" i="95"/>
  <c r="H25" i="95"/>
  <c r="G25" i="95"/>
  <c r="M28" i="94" a="1"/>
  <c r="M28" i="94" s="1"/>
  <c r="M29" i="95" a="1"/>
  <c r="M29" i="95" s="1"/>
  <c r="L29" i="95" a="1"/>
  <c r="L29" i="95" s="1"/>
  <c r="I32" i="106" a="1"/>
  <c r="I32" i="106" s="1"/>
  <c r="M37" i="94" a="1"/>
  <c r="M37" i="94" s="1"/>
  <c r="L37" i="94" a="1"/>
  <c r="L37" i="94" s="1"/>
  <c r="J40" i="95"/>
  <c r="I40" i="95"/>
  <c r="H40" i="95"/>
  <c r="G40" i="95"/>
  <c r="M26" i="95" a="1"/>
  <c r="M26" i="95" s="1"/>
  <c r="M29" i="94" a="1"/>
  <c r="M29" i="94" s="1"/>
  <c r="M35" i="94" a="1"/>
  <c r="M35" i="94" s="1"/>
  <c r="L35" i="94" a="1"/>
  <c r="L35" i="94" s="1"/>
  <c r="M37" i="95" a="1"/>
  <c r="M37" i="95" s="1"/>
  <c r="L37" i="95" a="1"/>
  <c r="L37" i="95" s="1"/>
  <c r="T129" i="106" a="1"/>
  <c r="T129" i="106" s="1"/>
  <c r="D19" i="83"/>
  <c r="F19" i="83" s="1" a="1"/>
  <c r="F19" i="83" s="1"/>
  <c r="F28" i="83" a="1"/>
  <c r="F28" i="83" s="1"/>
  <c r="F27" i="83" a="1"/>
  <c r="F27" i="83" s="1"/>
  <c r="F26" i="83" a="1"/>
  <c r="F26" i="83" s="1"/>
  <c r="F25" i="83" a="1"/>
  <c r="F25" i="83" s="1"/>
  <c r="F24" i="83" a="1"/>
  <c r="F24" i="83" s="1"/>
  <c r="F34" i="83" a="1"/>
  <c r="F34" i="83" s="1"/>
  <c r="F33" i="83" a="1"/>
  <c r="F33" i="83" s="1"/>
  <c r="F32" i="83" a="1"/>
  <c r="F32" i="83" s="1"/>
  <c r="F31" i="83" a="1"/>
  <c r="F31" i="83" s="1"/>
  <c r="F30" i="83" a="1"/>
  <c r="F30" i="83" s="1"/>
  <c r="F29" i="83" a="1"/>
  <c r="F29" i="83" s="1"/>
  <c r="F23" i="83" a="1"/>
  <c r="F23" i="83" s="1"/>
  <c r="F22" i="83" a="1"/>
  <c r="F22" i="83" s="1"/>
  <c r="F21" i="83" a="1"/>
  <c r="F21" i="83" s="1"/>
  <c r="F37" i="83" a="1"/>
  <c r="F37" i="83" s="1"/>
  <c r="F20" i="83" a="1"/>
  <c r="F20" i="83" s="1"/>
  <c r="F36" i="83" a="1"/>
  <c r="F36" i="83" s="1"/>
  <c r="F35" i="83" a="1"/>
  <c r="F35" i="83" s="1"/>
  <c r="M26" i="94" a="1"/>
  <c r="M26" i="94" s="1"/>
  <c r="M38" i="94" a="1"/>
  <c r="M38" i="94" s="1"/>
  <c r="M31" i="95" a="1"/>
  <c r="M31" i="95" s="1"/>
  <c r="W261" i="106" a="1"/>
  <c r="W261" i="106" s="1"/>
  <c r="M38" i="95" a="1"/>
  <c r="M38" i="95" s="1"/>
  <c r="G35" i="95"/>
  <c r="K35" i="95"/>
  <c r="J35" i="95"/>
  <c r="I35" i="95"/>
  <c r="H35" i="95"/>
  <c r="M34" i="95" a="1"/>
  <c r="M34" i="95" s="1"/>
  <c r="L31" i="94" a="1"/>
  <c r="L31" i="94" s="1"/>
  <c r="M31" i="94" a="1"/>
  <c r="M31" i="94" s="1"/>
  <c r="G472" i="106" a="1"/>
  <c r="G472" i="106" s="1"/>
  <c r="L25" i="95" a="1"/>
  <c r="L25" i="95" s="1"/>
  <c r="M25" i="95" a="1"/>
  <c r="M25" i="95" s="1"/>
  <c r="M32" i="94" a="1"/>
  <c r="M32" i="94" s="1"/>
  <c r="D285" i="106"/>
  <c r="E296" i="106"/>
  <c r="G296" i="106" s="1" a="1"/>
  <c r="G296" i="106" s="1"/>
  <c r="E289" i="106"/>
  <c r="F295" i="106" a="1"/>
  <c r="F295" i="106" s="1"/>
  <c r="F288" i="106" a="1"/>
  <c r="F288" i="106" s="1"/>
  <c r="E295" i="106"/>
  <c r="E288" i="106"/>
  <c r="I288" i="106" s="1" a="1"/>
  <c r="I288" i="106" s="1"/>
  <c r="F294" i="106" a="1"/>
  <c r="F294" i="106" s="1"/>
  <c r="F287" i="106" a="1"/>
  <c r="F287" i="106" s="1"/>
  <c r="E294" i="106"/>
  <c r="E287" i="106"/>
  <c r="I287" i="106" s="1" a="1"/>
  <c r="I287" i="106" s="1"/>
  <c r="F291" i="106" a="1"/>
  <c r="F291" i="106" s="1"/>
  <c r="E291" i="106"/>
  <c r="F290" i="106" a="1"/>
  <c r="F290" i="106" s="1"/>
  <c r="E290" i="106"/>
  <c r="I290" i="106" s="1" a="1"/>
  <c r="I290" i="106" s="1"/>
  <c r="F289" i="106" a="1"/>
  <c r="F289" i="106" s="1"/>
  <c r="F286" i="106" a="1"/>
  <c r="F286" i="106" s="1"/>
  <c r="E286" i="106"/>
  <c r="F296" i="106" a="1"/>
  <c r="F296" i="106" s="1"/>
  <c r="F293" i="106" a="1"/>
  <c r="F293" i="106" s="1"/>
  <c r="F292" i="106" a="1"/>
  <c r="F292" i="106" s="1"/>
  <c r="E292" i="106"/>
  <c r="K31" i="95"/>
  <c r="J31" i="95"/>
  <c r="I31" i="95"/>
  <c r="H31" i="95"/>
  <c r="G31" i="95"/>
  <c r="M32" i="95" a="1"/>
  <c r="M32" i="95" s="1"/>
  <c r="M28" i="95" a="1"/>
  <c r="M28" i="95" s="1"/>
  <c r="M40" i="95" a="1"/>
  <c r="M40" i="95" s="1"/>
  <c r="M34" i="94" a="1"/>
  <c r="M34" i="94" s="1"/>
  <c r="L34" i="94" a="1"/>
  <c r="L34" i="94" s="1"/>
  <c r="Q34" i="94" s="1" a="1"/>
  <c r="Q34" i="94" s="1"/>
  <c r="M35" i="95" a="1"/>
  <c r="M35" i="95" s="1"/>
  <c r="J35" i="78"/>
  <c r="G17" i="82"/>
  <c r="F34" i="82"/>
  <c r="G34" i="82" s="1"/>
  <c r="G27" i="95"/>
  <c r="H36" i="95"/>
  <c r="G36" i="95"/>
  <c r="I545" i="106" a="1"/>
  <c r="I545" i="106" s="1"/>
  <c r="T12" i="82" a="1"/>
  <c r="T12" i="82" s="1"/>
  <c r="S13" i="82" a="1"/>
  <c r="S13" i="82" s="1"/>
  <c r="R14" i="82" a="1"/>
  <c r="R14" i="82" s="1"/>
  <c r="T15" i="82" a="1"/>
  <c r="T15" i="82" s="1"/>
  <c r="T16" i="82" a="1"/>
  <c r="T16" i="82" s="1"/>
  <c r="T17" i="82" a="1"/>
  <c r="T17" i="82" s="1"/>
  <c r="Y18" i="82"/>
  <c r="Z19" i="82"/>
  <c r="M21" i="82" a="1"/>
  <c r="M21" i="82" s="1"/>
  <c r="P31" i="82"/>
  <c r="G82" i="87"/>
  <c r="J38" i="101"/>
  <c r="G27" i="94" a="1"/>
  <c r="G27" i="94" s="1"/>
  <c r="H29" i="94" a="1"/>
  <c r="H29" i="94" s="1"/>
  <c r="M33" i="94" a="1"/>
  <c r="M33" i="94" s="1"/>
  <c r="I36" i="94" a="1"/>
  <c r="I36" i="94" s="1"/>
  <c r="I38" i="94" a="1"/>
  <c r="I38" i="94" s="1"/>
  <c r="E28" i="95"/>
  <c r="P122" i="106" a="1"/>
  <c r="P122" i="106" s="1"/>
  <c r="AB126" i="106" a="1"/>
  <c r="AB126" i="106" s="1"/>
  <c r="F178" i="106" a="1"/>
  <c r="F178" i="106" s="1"/>
  <c r="G464" i="106" a="1"/>
  <c r="G464" i="106" s="1"/>
  <c r="H464" i="106" s="1" a="1"/>
  <c r="H464" i="106" s="1"/>
  <c r="G177" i="107"/>
  <c r="S255" i="106" s="1" a="1"/>
  <c r="S255" i="106" s="1"/>
  <c r="D57" i="13"/>
  <c r="J16" i="78"/>
  <c r="E65" i="78" s="1"/>
  <c r="G18" i="82"/>
  <c r="F42" i="82"/>
  <c r="G42" i="82" s="1"/>
  <c r="E320" i="106" s="1" a="1"/>
  <c r="E320" i="106" s="1"/>
  <c r="G183" i="107"/>
  <c r="W257" i="106" s="1" a="1"/>
  <c r="W257" i="106" s="1"/>
  <c r="P34" i="82"/>
  <c r="D60" i="83" a="1"/>
  <c r="D60" i="83" s="1"/>
  <c r="P33" i="82"/>
  <c r="P32" i="82"/>
  <c r="E30" i="90"/>
  <c r="I37" i="90" s="1"/>
  <c r="D116" i="98" a="1"/>
  <c r="D116" i="98" s="1"/>
  <c r="D21" i="98" a="1"/>
  <c r="D157" i="98" a="1"/>
  <c r="D157" i="98" s="1"/>
  <c r="J157" i="98" s="1" a="1"/>
  <c r="J157" i="98" s="1"/>
  <c r="J179" i="98" a="1"/>
  <c r="J179" i="98" s="1"/>
  <c r="J162" i="98" a="1"/>
  <c r="J162" i="98" s="1"/>
  <c r="G386" i="106" a="1"/>
  <c r="G386" i="106" s="1"/>
  <c r="G385" i="106" a="1"/>
  <c r="G385" i="106" s="1"/>
  <c r="G384" i="106" a="1"/>
  <c r="G384" i="106" s="1"/>
  <c r="H384" i="106" s="1" a="1"/>
  <c r="H384" i="106" s="1"/>
  <c r="G383" i="106" a="1"/>
  <c r="G383" i="106" s="1"/>
  <c r="G382" i="106" a="1"/>
  <c r="G382" i="106" s="1"/>
  <c r="U12" i="82" a="1"/>
  <c r="U12" i="82" s="1"/>
  <c r="T13" i="82" a="1"/>
  <c r="T13" i="82" s="1"/>
  <c r="S14" i="82" a="1"/>
  <c r="S14" i="82" s="1"/>
  <c r="U15" i="82" a="1"/>
  <c r="U15" i="82" s="1"/>
  <c r="U16" i="82" a="1"/>
  <c r="U16" i="82" s="1"/>
  <c r="U17" i="82" a="1"/>
  <c r="U17" i="82" s="1"/>
  <c r="Z18" i="82"/>
  <c r="F20" i="82"/>
  <c r="N21" i="82" a="1"/>
  <c r="N21" i="82" s="1"/>
  <c r="E72" i="88"/>
  <c r="G51" i="101"/>
  <c r="H27" i="94" a="1"/>
  <c r="H27" i="94" s="1"/>
  <c r="I29" i="94" a="1"/>
  <c r="I29" i="94" s="1"/>
  <c r="J36" i="94" a="1"/>
  <c r="J36" i="94" s="1"/>
  <c r="E26" i="95"/>
  <c r="L30" i="95" a="1"/>
  <c r="L30" i="95" s="1"/>
  <c r="E38" i="95"/>
  <c r="J160" i="98" a="1"/>
  <c r="J160" i="98" s="1"/>
  <c r="T122" i="106" a="1"/>
  <c r="T122" i="106" s="1"/>
  <c r="P127" i="106" a="1"/>
  <c r="P127" i="106" s="1"/>
  <c r="F127" i="106" s="1"/>
  <c r="G127" i="106" s="1" a="1"/>
  <c r="G127" i="106" s="1"/>
  <c r="F179" i="106" a="1"/>
  <c r="F179" i="106" s="1"/>
  <c r="G179" i="106" s="1" a="1"/>
  <c r="G179" i="106" s="1"/>
  <c r="G389" i="106" a="1"/>
  <c r="G389" i="106" s="1"/>
  <c r="H389" i="106" s="1" a="1"/>
  <c r="H389" i="106" s="1"/>
  <c r="G465" i="106" a="1"/>
  <c r="G465" i="106" s="1"/>
  <c r="H465" i="106" s="1" a="1"/>
  <c r="H465" i="106" s="1"/>
  <c r="I177" i="107"/>
  <c r="I22" i="100"/>
  <c r="I17" i="100" s="1" a="1"/>
  <c r="I17" i="100" s="1"/>
  <c r="G19" i="82"/>
  <c r="G39" i="94" a="1"/>
  <c r="G39" i="94" s="1"/>
  <c r="K37" i="94" a="1"/>
  <c r="K37" i="94" s="1"/>
  <c r="G36" i="94" a="1"/>
  <c r="G36" i="94" s="1"/>
  <c r="K34" i="94" a="1"/>
  <c r="K34" i="94" s="1"/>
  <c r="G33" i="94" a="1"/>
  <c r="G33" i="94" s="1"/>
  <c r="G30" i="94" a="1"/>
  <c r="G30" i="94" s="1"/>
  <c r="K28" i="94" a="1"/>
  <c r="K28" i="94" s="1"/>
  <c r="J34" i="94" a="1"/>
  <c r="J34" i="94" s="1"/>
  <c r="K31" i="94" a="1"/>
  <c r="K31" i="94" s="1"/>
  <c r="J28" i="94" a="1"/>
  <c r="J28" i="94" s="1"/>
  <c r="I34" i="94" a="1"/>
  <c r="I34" i="94" s="1"/>
  <c r="J31" i="94" a="1"/>
  <c r="J31" i="94" s="1"/>
  <c r="I28" i="94" a="1"/>
  <c r="I28" i="94" s="1"/>
  <c r="H37" i="94" a="1"/>
  <c r="H37" i="94" s="1"/>
  <c r="H34" i="94" a="1"/>
  <c r="H34" i="94" s="1"/>
  <c r="I31" i="94" a="1"/>
  <c r="I31" i="94" s="1"/>
  <c r="H28" i="94" a="1"/>
  <c r="H28" i="94" s="1"/>
  <c r="G34" i="94" a="1"/>
  <c r="G34" i="94" s="1"/>
  <c r="H31" i="94" a="1"/>
  <c r="H31" i="94" s="1"/>
  <c r="G28" i="94" a="1"/>
  <c r="G28" i="94" s="1"/>
  <c r="I17" i="99"/>
  <c r="E21" i="98" a="1"/>
  <c r="E157" i="98" a="1"/>
  <c r="E157" i="98" s="1"/>
  <c r="R18" i="104"/>
  <c r="U13" i="82" a="1"/>
  <c r="U13" i="82" s="1"/>
  <c r="T14" i="82" a="1"/>
  <c r="T14" i="82" s="1"/>
  <c r="F18" i="82"/>
  <c r="F19" i="82"/>
  <c r="N20" i="82" a="1"/>
  <c r="N20" i="82" s="1"/>
  <c r="O21" i="82" a="1"/>
  <c r="O21" i="82" s="1"/>
  <c r="D19" i="87" a="1"/>
  <c r="E105" i="87"/>
  <c r="Q51" i="101"/>
  <c r="I27" i="94" a="1"/>
  <c r="I27" i="94" s="1"/>
  <c r="J29" i="94" a="1"/>
  <c r="J29" i="94" s="1"/>
  <c r="G32" i="94" a="1"/>
  <c r="G32" i="94" s="1"/>
  <c r="K36" i="94" a="1"/>
  <c r="K36" i="94" s="1"/>
  <c r="K38" i="94" a="1"/>
  <c r="K38" i="94" s="1"/>
  <c r="I33" i="95"/>
  <c r="E116" i="98" a="1"/>
  <c r="E116" i="98" s="1"/>
  <c r="J116" i="98" s="1" a="1"/>
  <c r="J116" i="98" s="1"/>
  <c r="X122" i="106" a="1"/>
  <c r="X122" i="106" s="1"/>
  <c r="T127" i="106" a="1"/>
  <c r="T127" i="106" s="1"/>
  <c r="U252" i="106"/>
  <c r="G390" i="106" a="1"/>
  <c r="G390" i="106" s="1"/>
  <c r="G466" i="106" a="1"/>
  <c r="G466" i="106" s="1"/>
  <c r="H466" i="106" s="1" a="1"/>
  <c r="H466" i="106" s="1"/>
  <c r="G591" i="106"/>
  <c r="F496" i="106" a="1"/>
  <c r="F496" i="106" s="1"/>
  <c r="G496" i="106" s="1" a="1"/>
  <c r="G496" i="106" s="1"/>
  <c r="F495" i="106" a="1"/>
  <c r="F495" i="106" s="1"/>
  <c r="F494" i="106" a="1"/>
  <c r="F494" i="106" s="1"/>
  <c r="W12" i="82" a="1"/>
  <c r="W12" i="82" s="1"/>
  <c r="Y14" i="82"/>
  <c r="W15" i="82" a="1"/>
  <c r="W15" i="82" s="1"/>
  <c r="W16" i="82" a="1"/>
  <c r="W16" i="82" s="1"/>
  <c r="H18" i="82"/>
  <c r="I18" i="82" s="1"/>
  <c r="H19" i="82"/>
  <c r="O20" i="82" a="1"/>
  <c r="O20" i="82" s="1"/>
  <c r="D19" i="84" a="1"/>
  <c r="E111" i="87"/>
  <c r="F111" i="87" s="1" a="1"/>
  <c r="F111" i="87" s="1"/>
  <c r="E143" i="87" s="1"/>
  <c r="E73" i="88"/>
  <c r="J27" i="94" a="1"/>
  <c r="J27" i="94" s="1"/>
  <c r="K29" i="94" a="1"/>
  <c r="K29" i="94" s="1"/>
  <c r="H32" i="94" a="1"/>
  <c r="H32" i="94" s="1"/>
  <c r="J33" i="95"/>
  <c r="I23" i="106" a="1"/>
  <c r="I23" i="106" s="1"/>
  <c r="J23" i="106" s="1" a="1"/>
  <c r="J23" i="106" s="1"/>
  <c r="AB122" i="106" a="1"/>
  <c r="AB122" i="106" s="1"/>
  <c r="AB128" i="106" a="1"/>
  <c r="AB128" i="106" s="1"/>
  <c r="G391" i="106" a="1"/>
  <c r="G391" i="106" s="1"/>
  <c r="O591" i="106"/>
  <c r="W21" i="82" a="1"/>
  <c r="W21" i="82" s="1"/>
  <c r="H21" i="82"/>
  <c r="I21" i="82" s="1"/>
  <c r="M20" i="82" a="1"/>
  <c r="M20" i="82" s="1"/>
  <c r="Q19" i="82" a="1"/>
  <c r="Q19" i="82" s="1"/>
  <c r="U18" i="82" a="1"/>
  <c r="U18" i="82" s="1"/>
  <c r="Z17" i="82"/>
  <c r="K17" i="82" a="1"/>
  <c r="K17" i="82" s="1"/>
  <c r="O16" i="82" a="1"/>
  <c r="O16" i="82" s="1"/>
  <c r="S15" i="82" a="1"/>
  <c r="S15" i="82" s="1"/>
  <c r="W14" i="82" a="1"/>
  <c r="W14" i="82" s="1"/>
  <c r="H14" i="82"/>
  <c r="I14" i="82" s="1"/>
  <c r="M13" i="82" a="1"/>
  <c r="M13" i="82" s="1"/>
  <c r="Q12" i="82" a="1"/>
  <c r="Q12" i="82" s="1"/>
  <c r="F21" i="82"/>
  <c r="L20" i="82" a="1"/>
  <c r="L20" i="82" s="1"/>
  <c r="P19" i="82" a="1"/>
  <c r="P19" i="82" s="1"/>
  <c r="T18" i="82" a="1"/>
  <c r="T18" i="82" s="1"/>
  <c r="Y17" i="82"/>
  <c r="J17" i="82" a="1"/>
  <c r="J17" i="82" s="1"/>
  <c r="N16" i="82" a="1"/>
  <c r="N16" i="82" s="1"/>
  <c r="R15" i="82" a="1"/>
  <c r="R15" i="82" s="1"/>
  <c r="F14" i="82"/>
  <c r="L13" i="82" a="1"/>
  <c r="L13" i="82" s="1"/>
  <c r="P12" i="82" a="1"/>
  <c r="P12" i="82" s="1"/>
  <c r="U21" i="82" a="1"/>
  <c r="U21" i="82" s="1"/>
  <c r="Z20" i="82"/>
  <c r="K20" i="82" a="1"/>
  <c r="K20" i="82" s="1"/>
  <c r="O19" i="82" a="1"/>
  <c r="O19" i="82" s="1"/>
  <c r="S18" i="82" a="1"/>
  <c r="S18" i="82" s="1"/>
  <c r="W17" i="82" a="1"/>
  <c r="W17" i="82" s="1"/>
  <c r="H17" i="82"/>
  <c r="M16" i="82" a="1"/>
  <c r="M16" i="82" s="1"/>
  <c r="Q15" i="82" a="1"/>
  <c r="Q15" i="82" s="1"/>
  <c r="U14" i="82" a="1"/>
  <c r="U14" i="82" s="1"/>
  <c r="Z13" i="82"/>
  <c r="K13" i="82" a="1"/>
  <c r="K13" i="82" s="1"/>
  <c r="O12" i="82" a="1"/>
  <c r="O12" i="82" s="1"/>
  <c r="T21" i="82" a="1"/>
  <c r="T21" i="82" s="1"/>
  <c r="Y20" i="82"/>
  <c r="J20" i="82" a="1"/>
  <c r="J20" i="82" s="1"/>
  <c r="N19" i="82" a="1"/>
  <c r="N19" i="82" s="1"/>
  <c r="R18" i="82" a="1"/>
  <c r="R18" i="82" s="1"/>
  <c r="F17" i="82"/>
  <c r="L16" i="82" a="1"/>
  <c r="L16" i="82" s="1"/>
  <c r="S21" i="82" a="1"/>
  <c r="S21" i="82" s="1"/>
  <c r="W20" i="82" a="1"/>
  <c r="W20" i="82" s="1"/>
  <c r="H20" i="82"/>
  <c r="M19" i="82" a="1"/>
  <c r="M19" i="82" s="1"/>
  <c r="G21" i="82"/>
  <c r="S98" i="83"/>
  <c r="O108" i="83" s="1" a="1"/>
  <c r="O108" i="83" s="1"/>
  <c r="R19" i="104"/>
  <c r="L242" i="107"/>
  <c r="N241" i="107" s="1"/>
  <c r="F152" i="106" a="1"/>
  <c r="F152" i="106" s="1"/>
  <c r="G152" i="106" s="1" a="1"/>
  <c r="G152" i="106" s="1"/>
  <c r="F151" i="106" a="1"/>
  <c r="F151" i="106" s="1"/>
  <c r="I151" i="106" s="1" a="1"/>
  <c r="I151" i="106" s="1"/>
  <c r="F150" i="106" a="1"/>
  <c r="F150" i="106" s="1"/>
  <c r="F149" i="106" a="1"/>
  <c r="F149" i="106" s="1"/>
  <c r="I149" i="106" s="1" a="1"/>
  <c r="I149" i="106" s="1"/>
  <c r="F148" i="106" a="1"/>
  <c r="F148" i="106" s="1"/>
  <c r="Y12" i="82"/>
  <c r="W13" i="82" a="1"/>
  <c r="W13" i="82" s="1"/>
  <c r="Z14" i="82"/>
  <c r="Y15" i="82"/>
  <c r="Y16" i="82"/>
  <c r="J18" i="82" a="1"/>
  <c r="J18" i="82" s="1"/>
  <c r="J19" i="82" a="1"/>
  <c r="J19" i="82" s="1"/>
  <c r="P20" i="82" a="1"/>
  <c r="P20" i="82" s="1"/>
  <c r="Q21" i="82" a="1"/>
  <c r="Q21" i="82" s="1"/>
  <c r="I51" i="84"/>
  <c r="E112" i="87"/>
  <c r="F112" i="87" s="1" a="1"/>
  <c r="F112" i="87" s="1"/>
  <c r="E144" i="87" s="1"/>
  <c r="F144" i="87" s="1" a="1"/>
  <c r="F144" i="87" s="1"/>
  <c r="E25" i="94"/>
  <c r="K25" i="94" s="1" a="1"/>
  <c r="K25" i="94" s="1"/>
  <c r="K27" i="94" a="1"/>
  <c r="K27" i="94" s="1"/>
  <c r="H30" i="94" a="1"/>
  <c r="H30" i="94" s="1"/>
  <c r="I32" i="94" a="1"/>
  <c r="I32" i="94" s="1"/>
  <c r="H39" i="94" a="1"/>
  <c r="H39" i="94" s="1"/>
  <c r="E29" i="95"/>
  <c r="D59" i="98" a="1"/>
  <c r="I29" i="106" a="1"/>
  <c r="I29" i="106" s="1"/>
  <c r="P123" i="106" a="1"/>
  <c r="P123" i="106" s="1"/>
  <c r="P129" i="106" a="1"/>
  <c r="P129" i="106" s="1"/>
  <c r="S256" i="106" a="1"/>
  <c r="S256" i="106" s="1"/>
  <c r="I15" i="82"/>
  <c r="E252" i="106" a="1"/>
  <c r="J258" i="106" s="1" a="1"/>
  <c r="J258" i="106" s="1"/>
  <c r="E25" i="86" a="1"/>
  <c r="E25" i="86" s="1"/>
  <c r="H25" i="86" s="1" a="1"/>
  <c r="H25" i="86" s="1"/>
  <c r="I15" i="91" a="1"/>
  <c r="I15" i="91" s="1"/>
  <c r="F12" i="82"/>
  <c r="Z12" i="82"/>
  <c r="Y13" i="82"/>
  <c r="F15" i="82"/>
  <c r="Z15" i="82"/>
  <c r="Z16" i="82"/>
  <c r="K18" i="82" a="1"/>
  <c r="K18" i="82" s="1"/>
  <c r="K19" i="82" a="1"/>
  <c r="K19" i="82" s="1"/>
  <c r="Q20" i="82" a="1"/>
  <c r="Q20" i="82" s="1"/>
  <c r="R21" i="82" a="1"/>
  <c r="R21" i="82" s="1"/>
  <c r="I19" i="93"/>
  <c r="D58" i="84" a="1"/>
  <c r="D58" i="84" s="1"/>
  <c r="I126" i="87"/>
  <c r="I30" i="94" a="1"/>
  <c r="I30" i="94" s="1"/>
  <c r="J32" i="94" a="1"/>
  <c r="J32" i="94" s="1"/>
  <c r="I39" i="94" a="1"/>
  <c r="I39" i="94" s="1"/>
  <c r="L33" i="95" a="1"/>
  <c r="L33" i="95" s="1"/>
  <c r="E59" i="98" a="1"/>
  <c r="I30" i="106" a="1"/>
  <c r="I30" i="106" s="1"/>
  <c r="M30" i="106" s="1" a="1"/>
  <c r="M30" i="106" s="1"/>
  <c r="T123" i="106" a="1"/>
  <c r="T123" i="106" s="1"/>
  <c r="F123" i="106" s="1"/>
  <c r="Y252" i="106"/>
  <c r="AA252" i="106" s="1" a="1"/>
  <c r="AA252" i="106" s="1"/>
  <c r="AA260" i="106" a="1"/>
  <c r="AA260" i="106" s="1"/>
  <c r="AA253" i="106" a="1"/>
  <c r="AA253" i="106" s="1"/>
  <c r="E315" i="106" a="1"/>
  <c r="E315" i="106" s="1"/>
  <c r="E445" i="106"/>
  <c r="G445" i="106" s="1" a="1"/>
  <c r="G445" i="106" s="1"/>
  <c r="G450" i="106" a="1"/>
  <c r="G450" i="106" s="1"/>
  <c r="G449" i="106" a="1"/>
  <c r="G449" i="106" s="1"/>
  <c r="G448" i="106" a="1"/>
  <c r="G448" i="106" s="1"/>
  <c r="H448" i="106" s="1" a="1"/>
  <c r="H448" i="106" s="1"/>
  <c r="G447" i="106" a="1"/>
  <c r="G447" i="106" s="1"/>
  <c r="G446" i="106" a="1"/>
  <c r="G446" i="106" s="1"/>
  <c r="I13" i="100"/>
  <c r="G471" i="106" a="1"/>
  <c r="G471" i="106" s="1"/>
  <c r="G470" i="106" a="1"/>
  <c r="G470" i="106" s="1"/>
  <c r="G469" i="106" a="1"/>
  <c r="G469" i="106" s="1"/>
  <c r="G468" i="106" a="1"/>
  <c r="G468" i="106" s="1"/>
  <c r="H468" i="106" s="1" a="1"/>
  <c r="H468" i="106" s="1"/>
  <c r="G467" i="106" a="1"/>
  <c r="G467" i="106" s="1"/>
  <c r="H467" i="106" s="1" a="1"/>
  <c r="H467" i="106" s="1"/>
  <c r="X128" i="106" a="1"/>
  <c r="X128" i="106" s="1"/>
  <c r="P125" i="106" a="1"/>
  <c r="P125" i="106" s="1"/>
  <c r="X121" i="106" a="1"/>
  <c r="X121" i="106" s="1"/>
  <c r="T128" i="106" a="1"/>
  <c r="T128" i="106" s="1"/>
  <c r="AB124" i="106" a="1"/>
  <c r="AB124" i="106" s="1"/>
  <c r="T121" i="106" a="1"/>
  <c r="T121" i="106" s="1"/>
  <c r="P128" i="106" a="1"/>
  <c r="P128" i="106" s="1"/>
  <c r="X124" i="106" a="1"/>
  <c r="X124" i="106" s="1"/>
  <c r="P121" i="106" a="1"/>
  <c r="P121" i="106" s="1"/>
  <c r="AB127" i="106" a="1"/>
  <c r="AB127" i="106" s="1"/>
  <c r="T124" i="106" a="1"/>
  <c r="T124" i="106" s="1"/>
  <c r="AB120" i="106" a="1"/>
  <c r="AB120" i="106" s="1"/>
  <c r="X127" i="106" a="1"/>
  <c r="X127" i="106" s="1"/>
  <c r="P124" i="106" a="1"/>
  <c r="P124" i="106" s="1"/>
  <c r="X120" i="106" a="1"/>
  <c r="X120" i="106" s="1"/>
  <c r="H12" i="82"/>
  <c r="F13" i="82"/>
  <c r="J14" i="82" a="1"/>
  <c r="J14" i="82" s="1"/>
  <c r="H15" i="82"/>
  <c r="F16" i="82"/>
  <c r="L17" i="82" a="1"/>
  <c r="L17" i="82" s="1"/>
  <c r="L18" i="82" a="1"/>
  <c r="L18" i="82" s="1"/>
  <c r="L19" i="82" a="1"/>
  <c r="L19" i="82" s="1"/>
  <c r="R20" i="82" a="1"/>
  <c r="R20" i="82" s="1"/>
  <c r="Y21" i="82"/>
  <c r="L25" i="94" a="1"/>
  <c r="L25" i="94" s="1"/>
  <c r="J30" i="94" a="1"/>
  <c r="J30" i="94" s="1"/>
  <c r="K32" i="94" a="1"/>
  <c r="K32" i="94" s="1"/>
  <c r="E37" i="94"/>
  <c r="J37" i="94" s="1" a="1"/>
  <c r="J37" i="94" s="1"/>
  <c r="J39" i="94" a="1"/>
  <c r="J39" i="94" s="1"/>
  <c r="I36" i="95"/>
  <c r="I31" i="106" a="1"/>
  <c r="I31" i="106" s="1"/>
  <c r="X123" i="106" a="1"/>
  <c r="X123" i="106" s="1"/>
  <c r="X129" i="106" a="1"/>
  <c r="X129" i="106" s="1"/>
  <c r="E316" i="106" a="1"/>
  <c r="E316" i="106" s="1"/>
  <c r="J12" i="82" a="1"/>
  <c r="J12" i="82" s="1"/>
  <c r="H13" i="82"/>
  <c r="K14" i="82" a="1"/>
  <c r="K14" i="82" s="1"/>
  <c r="J15" i="82" a="1"/>
  <c r="J15" i="82" s="1"/>
  <c r="H16" i="82"/>
  <c r="M17" i="82" a="1"/>
  <c r="M17" i="82" s="1"/>
  <c r="M18" i="82" a="1"/>
  <c r="M18" i="82" s="1"/>
  <c r="R19" i="82" a="1"/>
  <c r="R19" i="82" s="1"/>
  <c r="S20" i="82" a="1"/>
  <c r="S20" i="82" s="1"/>
  <c r="Z21" i="82"/>
  <c r="K30" i="94" a="1"/>
  <c r="K30" i="94" s="1"/>
  <c r="K39" i="94" a="1"/>
  <c r="K39" i="94" s="1"/>
  <c r="E34" i="95"/>
  <c r="J36" i="95"/>
  <c r="AB123" i="106" a="1"/>
  <c r="AB123" i="106" s="1"/>
  <c r="AB129" i="106" a="1"/>
  <c r="AB129" i="106" s="1"/>
  <c r="H30" i="95"/>
  <c r="G30" i="95"/>
  <c r="I39" i="95"/>
  <c r="H39" i="95"/>
  <c r="G39" i="95"/>
  <c r="I28" i="106" a="1"/>
  <c r="I28" i="106" s="1"/>
  <c r="I27" i="106" a="1"/>
  <c r="I27" i="106" s="1"/>
  <c r="I26" i="106" a="1"/>
  <c r="I26" i="106" s="1"/>
  <c r="M26" i="106" s="1" a="1"/>
  <c r="M26" i="106" s="1"/>
  <c r="I25" i="106" a="1"/>
  <c r="I25" i="106" s="1"/>
  <c r="M25" i="106" s="1" a="1"/>
  <c r="M25" i="106" s="1"/>
  <c r="I24" i="106" a="1"/>
  <c r="I24" i="106" s="1"/>
  <c r="J24" i="106" s="1" a="1"/>
  <c r="J24" i="106" s="1"/>
  <c r="F485" i="106" a="1"/>
  <c r="F485" i="106" s="1"/>
  <c r="K12" i="82" a="1"/>
  <c r="K12" i="82" s="1"/>
  <c r="J13" i="82" a="1"/>
  <c r="J13" i="82" s="1"/>
  <c r="V13" i="82" s="1"/>
  <c r="L14" i="82" a="1"/>
  <c r="L14" i="82" s="1"/>
  <c r="K15" i="82" a="1"/>
  <c r="K15" i="82" s="1"/>
  <c r="J16" i="82" a="1"/>
  <c r="J16" i="82" s="1"/>
  <c r="N17" i="82" a="1"/>
  <c r="N17" i="82" s="1"/>
  <c r="N18" i="82" a="1"/>
  <c r="N18" i="82" s="1"/>
  <c r="S19" i="82" a="1"/>
  <c r="S19" i="82" s="1"/>
  <c r="T20" i="82" a="1"/>
  <c r="T20" i="82" s="1"/>
  <c r="P25" i="82"/>
  <c r="D23" i="88" a="1"/>
  <c r="D23" i="88" s="1"/>
  <c r="E26" i="94"/>
  <c r="G26" i="94" s="1" a="1"/>
  <c r="G26" i="94" s="1"/>
  <c r="L30" i="94" a="1"/>
  <c r="L30" i="94" s="1"/>
  <c r="G35" i="94" a="1"/>
  <c r="G35" i="94" s="1"/>
  <c r="H27" i="95"/>
  <c r="E32" i="95"/>
  <c r="K36" i="95"/>
  <c r="E39" i="106" a="1"/>
  <c r="E39" i="106" s="1"/>
  <c r="G46" i="106" s="1" a="1"/>
  <c r="G46" i="106" s="1"/>
  <c r="T125" i="106" a="1"/>
  <c r="T125" i="106" s="1"/>
  <c r="F137" i="106" a="1"/>
  <c r="F137" i="106" s="1"/>
  <c r="G137" i="106" s="1" a="1"/>
  <c r="G137" i="106" s="1"/>
  <c r="AC252" i="106"/>
  <c r="AE253" i="106" a="1"/>
  <c r="AE253" i="106" s="1"/>
  <c r="AE256" i="106" a="1"/>
  <c r="AE256" i="106" s="1"/>
  <c r="AE259" i="106" a="1"/>
  <c r="AE259" i="106" s="1"/>
  <c r="W258" i="106" a="1"/>
  <c r="W258" i="106" s="1"/>
  <c r="E69" i="88"/>
  <c r="E106" i="87"/>
  <c r="F106" i="87" s="1" a="1"/>
  <c r="F106" i="87" s="1"/>
  <c r="E138" i="87" s="1"/>
  <c r="I60" i="88"/>
  <c r="I56" i="88" s="1"/>
  <c r="G12" i="82"/>
  <c r="F29" i="82"/>
  <c r="G29" i="82" s="1"/>
  <c r="I54" i="83"/>
  <c r="I50" i="83" s="1"/>
  <c r="E71" i="88"/>
  <c r="E108" i="87"/>
  <c r="F108" i="87" s="1" a="1"/>
  <c r="F108" i="87" s="1"/>
  <c r="E140" i="87" s="1"/>
  <c r="G196" i="107"/>
  <c r="G195" i="107"/>
  <c r="W253" i="106" s="1" a="1"/>
  <c r="W253" i="106" s="1"/>
  <c r="H24" i="101"/>
  <c r="L12" i="82" a="1"/>
  <c r="L12" i="82" s="1"/>
  <c r="N13" i="82" a="1"/>
  <c r="N13" i="82" s="1"/>
  <c r="M14" i="82" a="1"/>
  <c r="M14" i="82" s="1"/>
  <c r="L15" i="82" a="1"/>
  <c r="L15" i="82" s="1"/>
  <c r="K16" i="82" a="1"/>
  <c r="K16" i="82" s="1"/>
  <c r="O17" i="82" a="1"/>
  <c r="O17" i="82" s="1"/>
  <c r="O18" i="82" a="1"/>
  <c r="O18" i="82" s="1"/>
  <c r="T19" i="82" a="1"/>
  <c r="T19" i="82" s="1"/>
  <c r="U20" i="82" a="1"/>
  <c r="U20" i="82" s="1"/>
  <c r="P26" i="82"/>
  <c r="H33" i="94" a="1"/>
  <c r="H33" i="94" s="1"/>
  <c r="H35" i="94" a="1"/>
  <c r="H35" i="94" s="1"/>
  <c r="I27" i="95"/>
  <c r="L36" i="95" a="1"/>
  <c r="L36" i="95" s="1"/>
  <c r="P36" i="95" s="1" a="1"/>
  <c r="P36" i="95" s="1"/>
  <c r="E58" i="106" a="1"/>
  <c r="E58" i="106" s="1"/>
  <c r="J67" i="106" s="1" a="1"/>
  <c r="J67" i="106" s="1"/>
  <c r="X125" i="106" a="1"/>
  <c r="X125" i="106" s="1"/>
  <c r="F138" i="106" a="1"/>
  <c r="F138" i="106" s="1"/>
  <c r="G138" i="106" s="1" a="1"/>
  <c r="G138" i="106" s="1"/>
  <c r="G452" i="106" a="1"/>
  <c r="G452" i="106" s="1"/>
  <c r="G45" i="100"/>
  <c r="P113" i="83"/>
  <c r="G53" i="85"/>
  <c r="G83" i="83"/>
  <c r="G97" i="88"/>
  <c r="E99" i="88" s="1" a="1"/>
  <c r="E99" i="88" s="1"/>
  <c r="E70" i="88"/>
  <c r="E107" i="87"/>
  <c r="F107" i="87" s="1" a="1"/>
  <c r="F107" i="87" s="1"/>
  <c r="E139" i="87" s="1"/>
  <c r="E67" i="72"/>
  <c r="I38" i="100"/>
  <c r="S94" i="83"/>
  <c r="K46" i="85"/>
  <c r="I51" i="83"/>
  <c r="G13" i="82"/>
  <c r="F30" i="82"/>
  <c r="G30" i="82" s="1"/>
  <c r="H33" i="95"/>
  <c r="G33" i="95"/>
  <c r="O15" i="104"/>
  <c r="M12" i="82" a="1"/>
  <c r="M12" i="82" s="1"/>
  <c r="O13" i="82" a="1"/>
  <c r="O13" i="82" s="1"/>
  <c r="N14" i="82" a="1"/>
  <c r="N14" i="82" s="1"/>
  <c r="M15" i="82" a="1"/>
  <c r="M15" i="82" s="1"/>
  <c r="P16" i="82" a="1"/>
  <c r="P16" i="82" s="1"/>
  <c r="P17" i="82" a="1"/>
  <c r="P17" i="82" s="1"/>
  <c r="P18" i="82" a="1"/>
  <c r="P18" i="82" s="1"/>
  <c r="U19" i="82" a="1"/>
  <c r="U19" i="82" s="1"/>
  <c r="P27" i="82"/>
  <c r="P21" i="83" s="1" a="1"/>
  <c r="R57" i="100"/>
  <c r="I33" i="94" a="1"/>
  <c r="I33" i="94" s="1"/>
  <c r="I35" i="94" a="1"/>
  <c r="I35" i="94" s="1"/>
  <c r="E38" i="94"/>
  <c r="J38" i="94" s="1" a="1"/>
  <c r="J38" i="94" s="1"/>
  <c r="J27" i="95"/>
  <c r="J39" i="95"/>
  <c r="E76" i="106" a="1"/>
  <c r="E76" i="106" s="1"/>
  <c r="J87" i="106" s="1" a="1"/>
  <c r="J87" i="106" s="1"/>
  <c r="AB125" i="106" a="1"/>
  <c r="AB125" i="106" s="1"/>
  <c r="F139" i="106" a="1"/>
  <c r="F139" i="106" s="1"/>
  <c r="I139" i="106" s="1" a="1"/>
  <c r="I139" i="106" s="1"/>
  <c r="S254" i="106" a="1"/>
  <c r="S254" i="106" s="1"/>
  <c r="F254" i="106" s="1" a="1"/>
  <c r="F254" i="106" s="1"/>
  <c r="G254" i="106" s="1" a="1"/>
  <c r="G254" i="106" s="1"/>
  <c r="G453" i="106" a="1"/>
  <c r="G453" i="106" s="1"/>
  <c r="G175" i="107"/>
  <c r="S261" i="106" s="1" a="1"/>
  <c r="S261" i="106" s="1"/>
  <c r="Q16" i="100"/>
  <c r="O90" i="107"/>
  <c r="Q89" i="107" s="1"/>
  <c r="N12" i="82" a="1"/>
  <c r="N12" i="82" s="1"/>
  <c r="P13" i="82" a="1"/>
  <c r="P13" i="82" s="1"/>
  <c r="O14" i="82" a="1"/>
  <c r="O14" i="82" s="1"/>
  <c r="N15" i="82" a="1"/>
  <c r="N15" i="82" s="1"/>
  <c r="Q16" i="82" a="1"/>
  <c r="Q16" i="82" s="1"/>
  <c r="Q17" i="82" a="1"/>
  <c r="Q17" i="82" s="1"/>
  <c r="Q18" i="82" a="1"/>
  <c r="Q18" i="82" s="1"/>
  <c r="J21" i="82" a="1"/>
  <c r="J21" i="82" s="1"/>
  <c r="V21" i="82" s="1"/>
  <c r="P28" i="82"/>
  <c r="P64" i="100"/>
  <c r="J33" i="94" a="1"/>
  <c r="J33" i="94" s="1"/>
  <c r="J35" i="94" a="1"/>
  <c r="J35" i="94" s="1"/>
  <c r="K27" i="95"/>
  <c r="E37" i="95"/>
  <c r="L39" i="95" a="1"/>
  <c r="L39" i="95" s="1"/>
  <c r="J168" i="98" a="1"/>
  <c r="J168" i="98" s="1"/>
  <c r="P120" i="106" a="1"/>
  <c r="P120" i="106" s="1"/>
  <c r="P126" i="106" a="1"/>
  <c r="P126" i="106" s="1"/>
  <c r="W254" i="106" a="1"/>
  <c r="W254" i="106" s="1"/>
  <c r="G454" i="106" a="1"/>
  <c r="G454" i="106" s="1"/>
  <c r="I175" i="107"/>
  <c r="I174" i="107"/>
  <c r="H194" i="107"/>
  <c r="R12" i="82" a="1"/>
  <c r="R12" i="82" s="1"/>
  <c r="Q13" i="82" a="1"/>
  <c r="Q13" i="82" s="1"/>
  <c r="P14" i="82" a="1"/>
  <c r="P14" i="82" s="1"/>
  <c r="O15" i="82" a="1"/>
  <c r="O15" i="82" s="1"/>
  <c r="R16" i="82" a="1"/>
  <c r="R16" i="82" s="1"/>
  <c r="R17" i="82" a="1"/>
  <c r="R17" i="82" s="1"/>
  <c r="W19" i="82" a="1"/>
  <c r="W19" i="82" s="1"/>
  <c r="K21" i="82" a="1"/>
  <c r="K21" i="82" s="1"/>
  <c r="P29" i="82"/>
  <c r="I20" i="86"/>
  <c r="H29" i="86" s="1" a="1"/>
  <c r="H29" i="86" s="1"/>
  <c r="J51" i="87"/>
  <c r="J15" i="101"/>
  <c r="G31" i="94" a="1"/>
  <c r="G31" i="94" s="1"/>
  <c r="K33" i="94" a="1"/>
  <c r="K33" i="94" s="1"/>
  <c r="K35" i="94" a="1"/>
  <c r="K35" i="94" s="1"/>
  <c r="G38" i="94" a="1"/>
  <c r="G38" i="94" s="1"/>
  <c r="I30" i="95"/>
  <c r="T120" i="106" a="1"/>
  <c r="T120" i="106" s="1"/>
  <c r="T126" i="106" a="1"/>
  <c r="T126" i="106" s="1"/>
  <c r="F153" i="106" a="1"/>
  <c r="F153" i="106" s="1"/>
  <c r="I153" i="106" s="1" a="1"/>
  <c r="I153" i="106" s="1"/>
  <c r="AA254" i="106" a="1"/>
  <c r="AA254" i="106" s="1"/>
  <c r="W259" i="106" a="1"/>
  <c r="W259" i="106" s="1"/>
  <c r="G176" i="107"/>
  <c r="AA256" i="106" s="1" a="1"/>
  <c r="AA256" i="106" s="1"/>
  <c r="I20" i="100" a="1"/>
  <c r="I20" i="100" s="1"/>
  <c r="O17" i="104"/>
  <c r="S12" i="82" a="1"/>
  <c r="S12" i="82" s="1"/>
  <c r="R13" i="82" a="1"/>
  <c r="R13" i="82" s="1"/>
  <c r="Q14" i="82" a="1"/>
  <c r="Q14" i="82" s="1"/>
  <c r="P15" i="82" a="1"/>
  <c r="P15" i="82" s="1"/>
  <c r="S16" i="82" a="1"/>
  <c r="S16" i="82" s="1"/>
  <c r="S17" i="82" a="1"/>
  <c r="S17" i="82" s="1"/>
  <c r="W18" i="82" a="1"/>
  <c r="W18" i="82" s="1"/>
  <c r="Y19" i="82"/>
  <c r="L21" i="82" a="1"/>
  <c r="L21" i="82" s="1"/>
  <c r="P30" i="82"/>
  <c r="D59" i="87" a="1"/>
  <c r="D59" i="87" s="1"/>
  <c r="J37" i="101"/>
  <c r="G29" i="94" a="1"/>
  <c r="G29" i="94" s="1"/>
  <c r="H36" i="94" a="1"/>
  <c r="H36" i="94" s="1"/>
  <c r="H38" i="94" a="1"/>
  <c r="H38" i="94" s="1"/>
  <c r="J30" i="95"/>
  <c r="AB121" i="106" a="1"/>
  <c r="AB121" i="106" s="1"/>
  <c r="X126" i="106" a="1"/>
  <c r="X126" i="106" s="1"/>
  <c r="AE254" i="106" a="1"/>
  <c r="AE254" i="106" s="1"/>
  <c r="AA259" i="106" a="1"/>
  <c r="AA259" i="106" s="1"/>
  <c r="G387" i="106" a="1"/>
  <c r="G387" i="106" s="1"/>
  <c r="H387" i="106" s="1" a="1"/>
  <c r="H387" i="106" s="1"/>
  <c r="G463" i="106" a="1"/>
  <c r="G463" i="106" s="1"/>
  <c r="I176" i="107"/>
  <c r="G194" i="107"/>
  <c r="J50" i="87"/>
  <c r="I125" i="87"/>
  <c r="K39" i="95" a="1"/>
  <c r="K39" i="95" s="1"/>
  <c r="I14" i="88"/>
  <c r="K40" i="95" a="1"/>
  <c r="K40" i="95" s="1"/>
  <c r="F320" i="106" a="1"/>
  <c r="F320" i="106" s="1"/>
  <c r="H320" i="106" a="1"/>
  <c r="H320" i="106" s="1"/>
  <c r="G320" i="106" a="1"/>
  <c r="G320" i="106" s="1"/>
  <c r="G20" i="85" a="1"/>
  <c r="I21" i="85" s="1" a="1"/>
  <c r="I21" i="85" s="1"/>
  <c r="F20" i="85" a="1"/>
  <c r="F20" i="85" s="1"/>
  <c r="G485" i="106" a="1"/>
  <c r="G485" i="106" s="1"/>
  <c r="G481" i="106" a="1"/>
  <c r="G481" i="106" s="1"/>
  <c r="I15" i="100" a="1"/>
  <c r="I15" i="100" s="1"/>
  <c r="I18" i="100" a="1"/>
  <c r="I18" i="100" s="1"/>
  <c r="I19" i="100" a="1"/>
  <c r="I19" i="100" s="1"/>
  <c r="Q15" i="100"/>
  <c r="J642" i="106" a="1"/>
  <c r="J642" i="106" s="1"/>
  <c r="J624" i="106" a="1"/>
  <c r="J624" i="106" s="1"/>
  <c r="I484" i="106" a="1"/>
  <c r="I484" i="106" s="1"/>
  <c r="G483" i="106" a="1"/>
  <c r="G483" i="106" s="1"/>
  <c r="I482" i="106" a="1"/>
  <c r="I482" i="106" s="1"/>
  <c r="G482" i="106" a="1"/>
  <c r="G482" i="106" s="1"/>
  <c r="G140" i="106" a="1"/>
  <c r="G140" i="106" s="1"/>
  <c r="G494" i="106" a="1"/>
  <c r="G494" i="106" s="1"/>
  <c r="M31" i="106" a="1"/>
  <c r="M31" i="106" s="1"/>
  <c r="F132" i="106"/>
  <c r="G178" i="106" a="1"/>
  <c r="G178" i="106" s="1"/>
  <c r="G495" i="106" a="1"/>
  <c r="G495" i="106" s="1"/>
  <c r="G148" i="106" a="1"/>
  <c r="G148" i="106" s="1"/>
  <c r="I178" i="106" a="1"/>
  <c r="I178" i="106" s="1"/>
  <c r="G84" i="106" a="1"/>
  <c r="G84" i="106" s="1"/>
  <c r="G484" i="106" a="1"/>
  <c r="G484" i="106" s="1"/>
  <c r="E400" i="106"/>
  <c r="E218" i="106"/>
  <c r="E101" i="106"/>
  <c r="E166" i="106"/>
  <c r="E273" i="106"/>
  <c r="E433" i="106"/>
  <c r="E7" i="106"/>
  <c r="E189" i="106"/>
  <c r="E203" i="106"/>
  <c r="E338" i="106"/>
  <c r="E370" i="106"/>
  <c r="E305" i="106"/>
  <c r="E576" i="106"/>
  <c r="E609" i="106"/>
  <c r="F499" i="106"/>
  <c r="F488" i="106"/>
  <c r="F332" i="106"/>
  <c r="F516" i="106"/>
  <c r="F393" i="106"/>
  <c r="F363" i="106"/>
  <c r="F498" i="106"/>
  <c r="F487" i="106"/>
  <c r="F475" i="106"/>
  <c r="F457" i="106"/>
  <c r="F426" i="106"/>
  <c r="F331" i="106"/>
  <c r="F548" i="106"/>
  <c r="F570" i="106"/>
  <c r="F299" i="106"/>
  <c r="F517" i="106"/>
  <c r="F425" i="106"/>
  <c r="F474" i="106"/>
  <c r="F533" i="106"/>
  <c r="F266" i="106"/>
  <c r="F182" i="106"/>
  <c r="F264" i="106"/>
  <c r="F394" i="106"/>
  <c r="F181" i="106"/>
  <c r="F263" i="106"/>
  <c r="F456" i="106"/>
  <c r="F362" i="106"/>
  <c r="F298" i="106"/>
  <c r="F267" i="106"/>
  <c r="F73" i="106"/>
  <c r="F53" i="106"/>
  <c r="F94" i="106"/>
  <c r="F72" i="106"/>
  <c r="F93" i="106"/>
  <c r="F91" i="106"/>
  <c r="F90" i="106"/>
  <c r="F35" i="106"/>
  <c r="F34" i="106"/>
  <c r="F54" i="106"/>
  <c r="J26" i="106" a="1"/>
  <c r="J26" i="106" s="1"/>
  <c r="G49" i="106" a="1"/>
  <c r="G49" i="106" s="1"/>
  <c r="F131" i="106"/>
  <c r="F160" i="106"/>
  <c r="J261" i="106" a="1"/>
  <c r="J261" i="106" s="1"/>
  <c r="G315" i="106"/>
  <c r="F311" i="106"/>
  <c r="K420" i="106"/>
  <c r="K415" i="106"/>
  <c r="K423" i="106"/>
  <c r="K417" i="106"/>
  <c r="K422" i="106"/>
  <c r="K416" i="106"/>
  <c r="J422" i="106" a="1"/>
  <c r="J422" i="106" s="1"/>
  <c r="F635" i="106"/>
  <c r="J80" i="106" a="1"/>
  <c r="J80" i="106" s="1"/>
  <c r="G88" i="106" a="1"/>
  <c r="G88" i="106" s="1"/>
  <c r="J43" i="106" a="1"/>
  <c r="J43" i="106" s="1"/>
  <c r="H450" i="106" a="1"/>
  <c r="H450" i="106" s="1"/>
  <c r="H447" i="106" a="1"/>
  <c r="H447" i="106" s="1"/>
  <c r="J46" i="106" a="1"/>
  <c r="J46" i="106" s="1"/>
  <c r="J88" i="106" a="1"/>
  <c r="J88" i="106" s="1"/>
  <c r="H445" i="106" a="1"/>
  <c r="H445" i="106" s="1"/>
  <c r="H449" i="106" a="1"/>
  <c r="H449" i="106" s="1"/>
  <c r="K508" i="106" a="1"/>
  <c r="K508" i="106" s="1"/>
  <c r="K514" i="106" a="1"/>
  <c r="K514" i="106" s="1"/>
  <c r="K507" i="106" a="1"/>
  <c r="K507" i="106" s="1"/>
  <c r="K513" i="106" a="1"/>
  <c r="K513" i="106" s="1"/>
  <c r="K506" i="106" a="1"/>
  <c r="K506" i="106" s="1"/>
  <c r="K505" i="106" a="1"/>
  <c r="K505" i="106" s="1"/>
  <c r="K511" i="106" a="1"/>
  <c r="K511" i="106" s="1"/>
  <c r="K510" i="106" a="1"/>
  <c r="K510" i="106" s="1"/>
  <c r="J27" i="106" a="1"/>
  <c r="J27" i="106" s="1"/>
  <c r="G50" i="106" a="1"/>
  <c r="G50" i="106" s="1"/>
  <c r="G87" i="106" a="1"/>
  <c r="G87" i="106" s="1"/>
  <c r="J83" i="106" a="1"/>
  <c r="J83" i="106" s="1"/>
  <c r="G80" i="106" a="1"/>
  <c r="G80" i="106" s="1"/>
  <c r="F142" i="106"/>
  <c r="J29" i="106" a="1"/>
  <c r="J29" i="106" s="1"/>
  <c r="J31" i="106" a="1"/>
  <c r="J31" i="106" s="1"/>
  <c r="G44" i="106" a="1"/>
  <c r="G44" i="106" s="1"/>
  <c r="J385" i="106" a="1"/>
  <c r="J385" i="106" s="1"/>
  <c r="H382" i="106" a="1"/>
  <c r="H382" i="106" s="1"/>
  <c r="J50" i="106" a="1"/>
  <c r="J50" i="106" s="1"/>
  <c r="J384" i="106" a="1"/>
  <c r="J384" i="106" s="1"/>
  <c r="M29" i="106" a="1"/>
  <c r="M29" i="106" s="1"/>
  <c r="J44" i="106" a="1"/>
  <c r="J44" i="106" s="1"/>
  <c r="G82" i="106" a="1"/>
  <c r="G82" i="106" s="1"/>
  <c r="G177" i="106" a="1"/>
  <c r="G177" i="106" s="1"/>
  <c r="I179" i="106" a="1"/>
  <c r="I179" i="106" s="1"/>
  <c r="J391" i="106" a="1"/>
  <c r="J391" i="106" s="1"/>
  <c r="I495" i="106" a="1"/>
  <c r="I495" i="106" s="1"/>
  <c r="E499" i="106" s="1"/>
  <c r="K509" i="106" a="1"/>
  <c r="K509" i="106" s="1"/>
  <c r="M28" i="106" a="1"/>
  <c r="M28" i="106" s="1"/>
  <c r="M32" i="106" a="1"/>
  <c r="M32" i="106" s="1"/>
  <c r="J51" i="106" a="1"/>
  <c r="J51" i="106" s="1"/>
  <c r="F657" i="106"/>
  <c r="F656" i="106"/>
  <c r="F654" i="106"/>
  <c r="F653" i="106"/>
  <c r="F156" i="106"/>
  <c r="F636" i="106"/>
  <c r="I122" i="106" a="1"/>
  <c r="I122" i="106" s="1"/>
  <c r="I150" i="106" a="1"/>
  <c r="I150" i="106" s="1"/>
  <c r="F155" i="106"/>
  <c r="H463" i="106" a="1"/>
  <c r="H463" i="106" s="1"/>
  <c r="H446" i="106" a="1"/>
  <c r="H446" i="106" s="1"/>
  <c r="K512" i="106" a="1"/>
  <c r="K512" i="106" s="1"/>
  <c r="J45" i="106" a="1"/>
  <c r="J45" i="106" s="1"/>
  <c r="I140" i="106" a="1"/>
  <c r="I140" i="106" s="1"/>
  <c r="F159" i="106"/>
  <c r="K357" i="106" a="1"/>
  <c r="K357" i="106" s="1"/>
  <c r="K352" i="106" a="1"/>
  <c r="K352" i="106" s="1"/>
  <c r="K351" i="106" a="1"/>
  <c r="K351" i="106" s="1"/>
  <c r="J416" i="106" a="1"/>
  <c r="J416" i="106" s="1"/>
  <c r="J420" i="106" a="1"/>
  <c r="J420" i="106" s="1"/>
  <c r="J419" i="106" a="1"/>
  <c r="J419" i="106" s="1"/>
  <c r="J423" i="106" a="1"/>
  <c r="J423" i="106" s="1"/>
  <c r="J417" i="106" a="1"/>
  <c r="J417" i="106" s="1"/>
  <c r="N588" i="106"/>
  <c r="F588" i="106"/>
  <c r="I121" i="106" a="1"/>
  <c r="I121" i="106" s="1"/>
  <c r="G150" i="106" a="1"/>
  <c r="G150" i="106" s="1"/>
  <c r="I152" i="106" a="1"/>
  <c r="I152" i="106" s="1"/>
  <c r="J446" i="106" a="1"/>
  <c r="J446" i="106" s="1"/>
  <c r="J449" i="106" a="1"/>
  <c r="J449" i="106" s="1"/>
  <c r="J468" i="106" a="1"/>
  <c r="J468" i="106" s="1"/>
  <c r="J649" i="106" a="1"/>
  <c r="J649" i="106" s="1"/>
  <c r="L352" i="106"/>
  <c r="L356" i="106"/>
  <c r="L355" i="106"/>
  <c r="L357" i="106"/>
  <c r="J389" i="106" a="1"/>
  <c r="J389" i="106" s="1"/>
  <c r="H388" i="106" a="1"/>
  <c r="H388" i="106" s="1"/>
  <c r="J465" i="106" a="1"/>
  <c r="J465" i="106" s="1"/>
  <c r="J447" i="106" a="1"/>
  <c r="J447" i="106" s="1"/>
  <c r="E548" i="106" a="1"/>
  <c r="E548" i="106" s="1"/>
  <c r="E45" i="13" s="1" a="1"/>
  <c r="E45" i="13" s="1"/>
  <c r="H45" i="13" s="1"/>
  <c r="M588" i="106" a="1"/>
  <c r="M588" i="106" s="1"/>
  <c r="O590" i="106" s="1"/>
  <c r="J645" i="106" a="1"/>
  <c r="J645" i="106" s="1"/>
  <c r="J646" i="106" a="1"/>
  <c r="J646" i="106" s="1"/>
  <c r="J629" i="106" a="1"/>
  <c r="J629" i="106" s="1"/>
  <c r="E636" i="106" s="1"/>
  <c r="J647" i="106" a="1"/>
  <c r="J647" i="106" s="1"/>
  <c r="L14" i="104"/>
  <c r="O14" i="104"/>
  <c r="L17" i="104"/>
  <c r="L12" i="104"/>
  <c r="E293" i="106" s="1"/>
  <c r="O12" i="104"/>
  <c r="L15" i="104"/>
  <c r="L13" i="104"/>
  <c r="O13" i="104"/>
  <c r="L16" i="104"/>
  <c r="O16" i="104"/>
  <c r="L19" i="104"/>
  <c r="E7" i="101"/>
  <c r="E30" i="101"/>
  <c r="F48" i="101"/>
  <c r="F24" i="100"/>
  <c r="O43" i="100"/>
  <c r="F42" i="100"/>
  <c r="E99" i="98"/>
  <c r="E7" i="98"/>
  <c r="F192" i="98"/>
  <c r="F151" i="98"/>
  <c r="E7" i="95"/>
  <c r="L8" i="95"/>
  <c r="Q36" i="95" a="1"/>
  <c r="Q36" i="95" s="1"/>
  <c r="D27" i="95"/>
  <c r="L27" i="95" s="1" a="1"/>
  <c r="L27" i="95" s="1"/>
  <c r="D34" i="95"/>
  <c r="L34" i="95" s="1" a="1"/>
  <c r="L34" i="95" s="1"/>
  <c r="F50" i="95"/>
  <c r="D39" i="95"/>
  <c r="D42" i="95"/>
  <c r="F51" i="95"/>
  <c r="D30" i="95"/>
  <c r="D37" i="95"/>
  <c r="F43" i="95"/>
  <c r="F52" i="95"/>
  <c r="D28" i="95"/>
  <c r="L28" i="95" s="1" a="1"/>
  <c r="L28" i="95" s="1"/>
  <c r="D35" i="95"/>
  <c r="L35" i="95" s="1" a="1"/>
  <c r="L35" i="95" s="1"/>
  <c r="F44" i="95"/>
  <c r="F55" i="95"/>
  <c r="D26" i="95"/>
  <c r="L26" i="95" s="1" a="1"/>
  <c r="L26" i="95" s="1"/>
  <c r="D33" i="95"/>
  <c r="F45" i="95"/>
  <c r="D40" i="95"/>
  <c r="F56" i="95"/>
  <c r="D31" i="95"/>
  <c r="L31" i="95" s="1" a="1"/>
  <c r="L31" i="95" s="1"/>
  <c r="D38" i="95"/>
  <c r="F46" i="95"/>
  <c r="D48" i="95"/>
  <c r="F57" i="95"/>
  <c r="I48" i="90"/>
  <c r="F49" i="95"/>
  <c r="E7" i="94"/>
  <c r="L7" i="94"/>
  <c r="F70" i="94"/>
  <c r="F61" i="94"/>
  <c r="F51" i="94"/>
  <c r="F69" i="94"/>
  <c r="F50" i="94"/>
  <c r="F58" i="94"/>
  <c r="F68" i="94"/>
  <c r="F49" i="94"/>
  <c r="F57" i="94"/>
  <c r="F67" i="94"/>
  <c r="F56" i="94"/>
  <c r="F46" i="94"/>
  <c r="F64" i="94"/>
  <c r="F55" i="94"/>
  <c r="F45" i="94"/>
  <c r="F63" i="94"/>
  <c r="F44" i="94"/>
  <c r="F62" i="94"/>
  <c r="F52" i="94"/>
  <c r="F43" i="94"/>
  <c r="D30" i="94"/>
  <c r="D54" i="94"/>
  <c r="D29" i="94"/>
  <c r="L29" i="94" s="1" a="1"/>
  <c r="L29" i="94" s="1"/>
  <c r="D38" i="94"/>
  <c r="L38" i="94" s="1" a="1"/>
  <c r="L38" i="94" s="1"/>
  <c r="D28" i="94"/>
  <c r="L28" i="94" s="1" a="1"/>
  <c r="L28" i="94" s="1"/>
  <c r="D32" i="94"/>
  <c r="L32" i="94" s="1" a="1"/>
  <c r="L32" i="94" s="1"/>
  <c r="D27" i="94"/>
  <c r="L27" i="94" s="1" a="1"/>
  <c r="L27" i="94" s="1"/>
  <c r="D36" i="94"/>
  <c r="L36" i="94" s="1" a="1"/>
  <c r="L36" i="94" s="1"/>
  <c r="D31" i="94"/>
  <c r="D26" i="94"/>
  <c r="L26" i="94" s="1" a="1"/>
  <c r="L26" i="94" s="1"/>
  <c r="E18" i="91" a="1"/>
  <c r="E18" i="91" s="1"/>
  <c r="I17" i="93"/>
  <c r="L40" i="95" s="1" a="1"/>
  <c r="L40" i="95" s="1"/>
  <c r="I20" i="93"/>
  <c r="L33" i="94" s="1" a="1"/>
  <c r="L33" i="94" s="1"/>
  <c r="I21" i="93"/>
  <c r="L39" i="94" s="1" a="1"/>
  <c r="L39" i="94" s="1"/>
  <c r="I18" i="93"/>
  <c r="L32" i="95" s="1" a="1"/>
  <c r="L32" i="95" s="1"/>
  <c r="H49" i="79"/>
  <c r="I38" i="90"/>
  <c r="F109" i="87" a="1"/>
  <c r="F109" i="87" s="1"/>
  <c r="E141" i="87" s="1"/>
  <c r="F105" i="87" a="1"/>
  <c r="F105" i="87" s="1"/>
  <c r="E137" i="87" s="1"/>
  <c r="I39" i="90"/>
  <c r="I46" i="90"/>
  <c r="I47" i="90"/>
  <c r="F110" i="87" a="1"/>
  <c r="F110" i="87" s="1"/>
  <c r="E142" i="87" s="1"/>
  <c r="I57" i="88"/>
  <c r="X12" i="82"/>
  <c r="E151" i="87" a="1"/>
  <c r="E151" i="87" s="1"/>
  <c r="E49" i="88"/>
  <c r="E7" i="88"/>
  <c r="E43" i="87"/>
  <c r="E118" i="87"/>
  <c r="E7" i="87"/>
  <c r="E90" i="87"/>
  <c r="F79" i="87"/>
  <c r="G59" i="87"/>
  <c r="E7" i="86"/>
  <c r="H48" i="79"/>
  <c r="H54" i="79"/>
  <c r="E38" i="85"/>
  <c r="E7" i="85"/>
  <c r="D54" i="72"/>
  <c r="H53" i="79"/>
  <c r="E7" i="84"/>
  <c r="E43" i="84"/>
  <c r="F78" i="84"/>
  <c r="F58" i="84"/>
  <c r="H51" i="79"/>
  <c r="E42" i="83"/>
  <c r="N85" i="83"/>
  <c r="E7" i="83"/>
  <c r="F60" i="83"/>
  <c r="O110" i="83"/>
  <c r="N105" i="83"/>
  <c r="J54" i="82"/>
  <c r="E22" i="75"/>
  <c r="I55" i="82"/>
  <c r="E20" i="75"/>
  <c r="E21" i="75" s="1"/>
  <c r="E19" i="75"/>
  <c r="J56" i="82"/>
  <c r="D40" i="82"/>
  <c r="X14" i="82"/>
  <c r="I19" i="82"/>
  <c r="I20" i="82"/>
  <c r="I16" i="82"/>
  <c r="I12" i="82"/>
  <c r="H50" i="79"/>
  <c r="J92" i="88" s="1"/>
  <c r="F54" i="80"/>
  <c r="F55" i="80" s="1"/>
  <c r="F46" i="80"/>
  <c r="I13" i="13" a="1"/>
  <c r="I13" i="13" s="1"/>
  <c r="H14" i="13" a="1"/>
  <c r="H14" i="13" s="1"/>
  <c r="H13" i="13" a="1"/>
  <c r="H13" i="13" s="1"/>
  <c r="I14" i="13" a="1"/>
  <c r="I14" i="13" s="1"/>
  <c r="H52" i="79"/>
  <c r="F55" i="72"/>
  <c r="E28" i="81"/>
  <c r="E30" i="81" s="1"/>
  <c r="E30" i="72" s="1"/>
  <c r="E79" i="72"/>
  <c r="E35" i="81"/>
  <c r="E22" i="72"/>
  <c r="E68" i="72"/>
  <c r="D78" i="72"/>
  <c r="N39" i="94" l="1" a="1"/>
  <c r="N39" i="94" s="1"/>
  <c r="Q39" i="94" a="1"/>
  <c r="Q39" i="94" s="1"/>
  <c r="P39" i="94" a="1"/>
  <c r="P39" i="94" s="1"/>
  <c r="G293" i="106" a="1"/>
  <c r="G293" i="106" s="1"/>
  <c r="I293" i="106" a="1"/>
  <c r="I293" i="106" s="1"/>
  <c r="AE257" i="106" a="1"/>
  <c r="AE257" i="106" s="1"/>
  <c r="G153" i="106" a="1"/>
  <c r="G153" i="106" s="1"/>
  <c r="J185" i="98" a="1"/>
  <c r="J185" i="98" s="1"/>
  <c r="V20" i="82"/>
  <c r="X20" i="82" s="1"/>
  <c r="AE261" i="106" a="1"/>
  <c r="AE261" i="106" s="1"/>
  <c r="D19" i="84"/>
  <c r="F19" i="84" s="1" a="1"/>
  <c r="F19" i="84" s="1"/>
  <c r="F31" i="84" a="1"/>
  <c r="F31" i="84" s="1"/>
  <c r="F30" i="84" a="1"/>
  <c r="F30" i="84" s="1"/>
  <c r="F29" i="84" a="1"/>
  <c r="F29" i="84" s="1"/>
  <c r="F28" i="84" a="1"/>
  <c r="F28" i="84" s="1"/>
  <c r="F27" i="84" a="1"/>
  <c r="F27" i="84" s="1"/>
  <c r="F33" i="84" a="1"/>
  <c r="F33" i="84" s="1"/>
  <c r="F32" i="84" a="1"/>
  <c r="F32" i="84" s="1"/>
  <c r="F26" i="84" a="1"/>
  <c r="F26" i="84" s="1"/>
  <c r="F25" i="84" a="1"/>
  <c r="F25" i="84" s="1"/>
  <c r="F24" i="84" a="1"/>
  <c r="F24" i="84" s="1"/>
  <c r="F23" i="84" a="1"/>
  <c r="F23" i="84" s="1"/>
  <c r="F22" i="84" a="1"/>
  <c r="F22" i="84" s="1"/>
  <c r="F21" i="84" a="1"/>
  <c r="F21" i="84" s="1"/>
  <c r="F20" i="84" a="1"/>
  <c r="F20" i="84" s="1"/>
  <c r="F37" i="84" a="1"/>
  <c r="F37" i="84" s="1"/>
  <c r="F36" i="84" a="1"/>
  <c r="F36" i="84" s="1"/>
  <c r="F35" i="84" a="1"/>
  <c r="F35" i="84" s="1"/>
  <c r="F34" i="84" a="1"/>
  <c r="F34" i="84" s="1"/>
  <c r="AA261" i="106" a="1"/>
  <c r="AA261" i="106" s="1"/>
  <c r="E21" i="98"/>
  <c r="H21" i="98" s="1" a="1"/>
  <c r="H21" i="98" s="1"/>
  <c r="H51" i="98" a="1"/>
  <c r="H51" i="98" s="1"/>
  <c r="H42" i="98" a="1"/>
  <c r="H42" i="98" s="1"/>
  <c r="H35" i="98" a="1"/>
  <c r="H35" i="98" s="1"/>
  <c r="H27" i="98" a="1"/>
  <c r="H27" i="98" s="1"/>
  <c r="H50" i="98" a="1"/>
  <c r="H50" i="98" s="1"/>
  <c r="H41" i="98" a="1"/>
  <c r="H41" i="98" s="1"/>
  <c r="H34" i="98" a="1"/>
  <c r="H34" i="98" s="1"/>
  <c r="H26" i="98" a="1"/>
  <c r="H26" i="98" s="1"/>
  <c r="H52" i="98" a="1"/>
  <c r="H52" i="98" s="1"/>
  <c r="H38" i="98" a="1"/>
  <c r="H38" i="98" s="1"/>
  <c r="H25" i="98" a="1"/>
  <c r="H25" i="98" s="1"/>
  <c r="H48" i="98" a="1"/>
  <c r="H48" i="98" s="1"/>
  <c r="H37" i="98" a="1"/>
  <c r="H37" i="98" s="1"/>
  <c r="H24" i="98" a="1"/>
  <c r="H24" i="98" s="1"/>
  <c r="H47" i="98" a="1"/>
  <c r="H47" i="98" s="1"/>
  <c r="H36" i="98" a="1"/>
  <c r="H36" i="98" s="1"/>
  <c r="H23" i="98" a="1"/>
  <c r="H23" i="98" s="1"/>
  <c r="H46" i="98" a="1"/>
  <c r="H46" i="98" s="1"/>
  <c r="H33" i="98" a="1"/>
  <c r="H33" i="98" s="1"/>
  <c r="H22" i="98" a="1"/>
  <c r="H22" i="98" s="1"/>
  <c r="H45" i="98" a="1"/>
  <c r="H45" i="98" s="1"/>
  <c r="H31" i="98" a="1"/>
  <c r="H31" i="98" s="1"/>
  <c r="H44" i="98" a="1"/>
  <c r="H44" i="98" s="1"/>
  <c r="H30" i="98" a="1"/>
  <c r="H30" i="98" s="1"/>
  <c r="H54" i="98" a="1"/>
  <c r="H54" i="98" s="1"/>
  <c r="H40" i="98" a="1"/>
  <c r="H40" i="98" s="1"/>
  <c r="H29" i="98" a="1"/>
  <c r="H29" i="98" s="1"/>
  <c r="H53" i="98" a="1"/>
  <c r="H53" i="98" s="1"/>
  <c r="H39" i="98" a="1"/>
  <c r="H39" i="98" s="1"/>
  <c r="H28" i="98" a="1"/>
  <c r="H28" i="98" s="1"/>
  <c r="K38" i="95"/>
  <c r="Q38" i="95" s="1" a="1"/>
  <c r="Q38" i="95" s="1"/>
  <c r="J38" i="95"/>
  <c r="I38" i="95"/>
  <c r="H38" i="95"/>
  <c r="G38" i="95"/>
  <c r="D21" i="98"/>
  <c r="G183" i="98" a="1"/>
  <c r="G183" i="98" s="1"/>
  <c r="G174" i="98" a="1"/>
  <c r="G174" i="98" s="1"/>
  <c r="G139" i="98" a="1"/>
  <c r="G139" i="98" s="1"/>
  <c r="G131" i="98" a="1"/>
  <c r="G131" i="98" s="1"/>
  <c r="G122" i="98" a="1"/>
  <c r="G122" i="98" s="1"/>
  <c r="G52" i="98" a="1"/>
  <c r="G52" i="98" s="1"/>
  <c r="G44" i="98" a="1"/>
  <c r="G44" i="98" s="1"/>
  <c r="G36" i="98" a="1"/>
  <c r="G36" i="98" s="1"/>
  <c r="G28" i="98" a="1"/>
  <c r="G28" i="98" s="1"/>
  <c r="G182" i="98" a="1"/>
  <c r="G182" i="98" s="1"/>
  <c r="G164" i="98" a="1"/>
  <c r="G164" i="98" s="1"/>
  <c r="G130" i="98" a="1"/>
  <c r="G130" i="98" s="1"/>
  <c r="G181" i="98" a="1"/>
  <c r="G181" i="98" s="1"/>
  <c r="G173" i="98" a="1"/>
  <c r="G173" i="98" s="1"/>
  <c r="G129" i="98" a="1"/>
  <c r="G129" i="98" s="1"/>
  <c r="G121" i="98" a="1"/>
  <c r="G121" i="98" s="1"/>
  <c r="G51" i="98" a="1"/>
  <c r="G51" i="98" s="1"/>
  <c r="G42" i="98" a="1"/>
  <c r="G42" i="98" s="1"/>
  <c r="G35" i="98" a="1"/>
  <c r="G35" i="98" s="1"/>
  <c r="G27" i="98" a="1"/>
  <c r="G27" i="98" s="1"/>
  <c r="G180" i="98" a="1"/>
  <c r="G180" i="98" s="1"/>
  <c r="G172" i="98" a="1"/>
  <c r="G172" i="98" s="1"/>
  <c r="G163" i="98" a="1"/>
  <c r="G163" i="98" s="1"/>
  <c r="G137" i="98" a="1"/>
  <c r="G137" i="98" s="1"/>
  <c r="G128" i="98" a="1"/>
  <c r="G128" i="98" s="1"/>
  <c r="G171" i="98" a="1"/>
  <c r="G171" i="98" s="1"/>
  <c r="G149" i="98" a="1"/>
  <c r="G149" i="98" s="1"/>
  <c r="G120" i="98" a="1"/>
  <c r="G120" i="98" s="1"/>
  <c r="G50" i="98" a="1"/>
  <c r="G50" i="98" s="1"/>
  <c r="G41" i="98" a="1"/>
  <c r="G41" i="98" s="1"/>
  <c r="G34" i="98" a="1"/>
  <c r="G34" i="98" s="1"/>
  <c r="G26" i="98" a="1"/>
  <c r="G26" i="98" s="1"/>
  <c r="G188" i="98" a="1"/>
  <c r="G188" i="98" s="1"/>
  <c r="G170" i="98" a="1"/>
  <c r="G170" i="98" s="1"/>
  <c r="G187" i="98" a="1"/>
  <c r="G187" i="98" s="1"/>
  <c r="G169" i="98" a="1"/>
  <c r="G169" i="98" s="1"/>
  <c r="G159" i="98" a="1"/>
  <c r="G159" i="98" s="1"/>
  <c r="G135" i="98" a="1"/>
  <c r="G135" i="98" s="1"/>
  <c r="G123" i="98" a="1"/>
  <c r="G123" i="98" s="1"/>
  <c r="G38" i="98" a="1"/>
  <c r="G38" i="98" s="1"/>
  <c r="G25" i="98" a="1"/>
  <c r="G25" i="98" s="1"/>
  <c r="G186" i="98" a="1"/>
  <c r="G186" i="98" s="1"/>
  <c r="G48" i="98" a="1"/>
  <c r="G48" i="98" s="1"/>
  <c r="G158" i="98" a="1"/>
  <c r="G158" i="98" s="1"/>
  <c r="G134" i="98" a="1"/>
  <c r="G134" i="98" s="1"/>
  <c r="G37" i="98" a="1"/>
  <c r="G37" i="98" s="1"/>
  <c r="G24" i="98" a="1"/>
  <c r="G24" i="98" s="1"/>
  <c r="I24" i="98" s="1" a="1"/>
  <c r="I24" i="98" s="1"/>
  <c r="H119" i="98" s="1"/>
  <c r="I119" i="98" s="1"/>
  <c r="K119" i="98" s="1" a="1"/>
  <c r="K119" i="98" s="1"/>
  <c r="G184" i="98" a="1"/>
  <c r="G184" i="98" s="1"/>
  <c r="G167" i="98" a="1"/>
  <c r="G167" i="98" s="1"/>
  <c r="G148" i="98" a="1"/>
  <c r="G148" i="98" s="1"/>
  <c r="G119" i="98" a="1"/>
  <c r="G119" i="98" s="1"/>
  <c r="G47" i="98" a="1"/>
  <c r="G47" i="98" s="1"/>
  <c r="G147" i="98" a="1"/>
  <c r="G147" i="98" s="1"/>
  <c r="G133" i="98" a="1"/>
  <c r="G133" i="98" s="1"/>
  <c r="G23" i="98" a="1"/>
  <c r="G23" i="98" s="1"/>
  <c r="G178" i="98" a="1"/>
  <c r="G178" i="98" s="1"/>
  <c r="G166" i="98" a="1"/>
  <c r="G166" i="98" s="1"/>
  <c r="G146" i="98" a="1"/>
  <c r="G146" i="98" s="1"/>
  <c r="G118" i="98" a="1"/>
  <c r="G118" i="98" s="1"/>
  <c r="G46" i="98" a="1"/>
  <c r="G46" i="98" s="1"/>
  <c r="G33" i="98" a="1"/>
  <c r="G33" i="98" s="1"/>
  <c r="I33" i="98" s="1" a="1"/>
  <c r="I33" i="98" s="1"/>
  <c r="H128" i="98" s="1"/>
  <c r="G145" i="98" a="1"/>
  <c r="G145" i="98" s="1"/>
  <c r="G132" i="98" a="1"/>
  <c r="G132" i="98" s="1"/>
  <c r="G22" i="98" a="1"/>
  <c r="G22" i="98" s="1"/>
  <c r="G177" i="98" a="1"/>
  <c r="G177" i="98" s="1"/>
  <c r="I177" i="98" s="1"/>
  <c r="K177" i="98" s="1" a="1"/>
  <c r="K177" i="98" s="1"/>
  <c r="G165" i="98" a="1"/>
  <c r="G165" i="98" s="1"/>
  <c r="G117" i="98" a="1"/>
  <c r="G117" i="98" s="1"/>
  <c r="G45" i="98" a="1"/>
  <c r="G45" i="98" s="1"/>
  <c r="G31" i="98" a="1"/>
  <c r="G31" i="98" s="1"/>
  <c r="G162" i="98" a="1"/>
  <c r="G162" i="98" s="1"/>
  <c r="G143" i="98" a="1"/>
  <c r="G143" i="98" s="1"/>
  <c r="G126" i="98" a="1"/>
  <c r="G126" i="98" s="1"/>
  <c r="G176" i="98" a="1"/>
  <c r="G176" i="98" s="1"/>
  <c r="G142" i="98" a="1"/>
  <c r="G142" i="98" s="1"/>
  <c r="G30" i="98" a="1"/>
  <c r="G30" i="98" s="1"/>
  <c r="G161" i="98" a="1"/>
  <c r="G161" i="98" s="1"/>
  <c r="G141" i="98" a="1"/>
  <c r="G141" i="98" s="1"/>
  <c r="G125" i="98" a="1"/>
  <c r="G125" i="98" s="1"/>
  <c r="G54" i="98" a="1"/>
  <c r="G54" i="98" s="1"/>
  <c r="G40" i="98" a="1"/>
  <c r="G40" i="98" s="1"/>
  <c r="G190" i="98" a="1"/>
  <c r="G190" i="98" s="1"/>
  <c r="G175" i="98" a="1"/>
  <c r="G175" i="98" s="1"/>
  <c r="G140" i="98" a="1"/>
  <c r="G140" i="98" s="1"/>
  <c r="G29" i="98" a="1"/>
  <c r="G29" i="98" s="1"/>
  <c r="G189" i="98" a="1"/>
  <c r="G189" i="98" s="1"/>
  <c r="G160" i="98" a="1"/>
  <c r="G160" i="98" s="1"/>
  <c r="G136" i="98" a="1"/>
  <c r="G136" i="98" s="1"/>
  <c r="G124" i="98" a="1"/>
  <c r="G124" i="98" s="1"/>
  <c r="G53" i="98" a="1"/>
  <c r="G53" i="98" s="1"/>
  <c r="G39" i="98" a="1"/>
  <c r="G39" i="98" s="1"/>
  <c r="H25" i="94" a="1"/>
  <c r="H25" i="94" s="1"/>
  <c r="J69" i="106" a="1"/>
  <c r="J69" i="106" s="1"/>
  <c r="J68" i="106" a="1"/>
  <c r="J68" i="106" s="1"/>
  <c r="J133" i="98" a="1"/>
  <c r="J133" i="98" s="1"/>
  <c r="G61" i="106" a="1"/>
  <c r="G61" i="106" s="1"/>
  <c r="AE260" i="106" a="1"/>
  <c r="AE260" i="106" s="1"/>
  <c r="J144" i="98" a="1"/>
  <c r="J144" i="98" s="1"/>
  <c r="AE255" i="106" a="1"/>
  <c r="AE255" i="106" s="1"/>
  <c r="AA255" i="106" a="1"/>
  <c r="AA255" i="106" s="1"/>
  <c r="J137" i="98" a="1"/>
  <c r="J137" i="98" s="1"/>
  <c r="AK236" i="106" a="1"/>
  <c r="J85" i="106" a="1"/>
  <c r="J85" i="106" s="1"/>
  <c r="G43" i="106" a="1"/>
  <c r="G43" i="106" s="1"/>
  <c r="J135" i="98" a="1"/>
  <c r="J135" i="98" s="1"/>
  <c r="J122" i="98" a="1"/>
  <c r="J122" i="98" s="1"/>
  <c r="J119" i="98" a="1"/>
  <c r="J119" i="98" s="1"/>
  <c r="AE252" i="106" a="1"/>
  <c r="AE252" i="106" s="1"/>
  <c r="O21" i="83" a="1"/>
  <c r="O21" i="83" s="1"/>
  <c r="J126" i="98" a="1"/>
  <c r="J126" i="98" s="1"/>
  <c r="V19" i="82"/>
  <c r="X19" i="82" s="1"/>
  <c r="AC236" i="106" a="1"/>
  <c r="W256" i="106" a="1"/>
  <c r="W256" i="106" s="1"/>
  <c r="K26" i="94" a="1"/>
  <c r="K26" i="94" s="1"/>
  <c r="I37" i="94" a="1"/>
  <c r="I37" i="94" s="1"/>
  <c r="K26" i="95"/>
  <c r="Q26" i="95" s="1" a="1"/>
  <c r="Q26" i="95" s="1"/>
  <c r="J26" i="95"/>
  <c r="I26" i="95"/>
  <c r="H26" i="95"/>
  <c r="G26" i="95"/>
  <c r="P26" i="95" s="1" a="1"/>
  <c r="P26" i="95" s="1"/>
  <c r="AL236" i="106" a="1"/>
  <c r="AL236" i="106" s="1"/>
  <c r="J163" i="98" a="1"/>
  <c r="J163" i="98" s="1"/>
  <c r="S259" i="106" a="1"/>
  <c r="S259" i="106" s="1"/>
  <c r="O36" i="95" a="1"/>
  <c r="O36" i="95" s="1"/>
  <c r="J256" i="106" a="1"/>
  <c r="J256" i="106" s="1"/>
  <c r="J132" i="98" a="1"/>
  <c r="J132" i="98" s="1"/>
  <c r="K28" i="95"/>
  <c r="J28" i="95"/>
  <c r="I28" i="95"/>
  <c r="H28" i="95"/>
  <c r="G28" i="95"/>
  <c r="Q28" i="95" s="1" a="1"/>
  <c r="Q28" i="95" s="1"/>
  <c r="J124" i="98" a="1"/>
  <c r="J124" i="98" s="1"/>
  <c r="H28" i="86" a="1"/>
  <c r="H28" i="86" s="1"/>
  <c r="G66" i="106" a="1"/>
  <c r="G66" i="106" s="1"/>
  <c r="J134" i="98" a="1"/>
  <c r="J134" i="98" s="1"/>
  <c r="J66" i="106" a="1"/>
  <c r="J66" i="106" s="1"/>
  <c r="J123" i="98" a="1"/>
  <c r="J123" i="98" s="1"/>
  <c r="J177" i="98" a="1"/>
  <c r="J177" i="98" s="1"/>
  <c r="V18" i="82"/>
  <c r="X18" i="82" s="1"/>
  <c r="I25" i="94" a="1"/>
  <c r="I25" i="94" s="1"/>
  <c r="J121" i="98" a="1"/>
  <c r="J121" i="98" s="1"/>
  <c r="X21" i="82"/>
  <c r="N36" i="95" a="1"/>
  <c r="N36" i="95" s="1"/>
  <c r="J387" i="106" a="1"/>
  <c r="J387" i="106" s="1"/>
  <c r="R236" i="106" a="1"/>
  <c r="R236" i="106" s="1"/>
  <c r="Q236" i="106" a="1"/>
  <c r="V12" i="82"/>
  <c r="J120" i="98" a="1"/>
  <c r="J120" i="98" s="1"/>
  <c r="J255" i="106" a="1"/>
  <c r="J255" i="106" s="1"/>
  <c r="U236" i="106" a="1"/>
  <c r="G81" i="106" a="1"/>
  <c r="G81" i="106" s="1"/>
  <c r="K34" i="95"/>
  <c r="J34" i="95"/>
  <c r="I34" i="95"/>
  <c r="H34" i="95"/>
  <c r="G34" i="95"/>
  <c r="J176" i="98" a="1"/>
  <c r="J176" i="98" s="1"/>
  <c r="G64" i="106" a="1"/>
  <c r="G64" i="106" s="1"/>
  <c r="E72" i="106" s="1"/>
  <c r="S257" i="106" a="1"/>
  <c r="S257" i="106" s="1"/>
  <c r="K37" i="95"/>
  <c r="J37" i="95"/>
  <c r="I37" i="95"/>
  <c r="G37" i="95"/>
  <c r="H37" i="95"/>
  <c r="G151" i="106" a="1"/>
  <c r="G151" i="106" s="1"/>
  <c r="J159" i="98" a="1"/>
  <c r="J159" i="98" s="1"/>
  <c r="J167" i="98" a="1"/>
  <c r="J167" i="98" s="1"/>
  <c r="J81" i="106" a="1"/>
  <c r="J81" i="106" s="1"/>
  <c r="J32" i="95"/>
  <c r="I32" i="95"/>
  <c r="H32" i="95"/>
  <c r="G32" i="95"/>
  <c r="O32" i="95" s="1" a="1"/>
  <c r="O32" i="95" s="1"/>
  <c r="K32" i="95"/>
  <c r="G86" i="106" a="1"/>
  <c r="G86" i="106" s="1"/>
  <c r="J64" i="106" a="1"/>
  <c r="J64" i="106" s="1"/>
  <c r="F285" i="106" a="1"/>
  <c r="F285" i="106" s="1"/>
  <c r="E285" i="106"/>
  <c r="E59" i="98"/>
  <c r="H59" i="98" s="1" a="1"/>
  <c r="H59" i="98" s="1"/>
  <c r="H92" i="98" a="1"/>
  <c r="H92" i="98" s="1"/>
  <c r="H84" i="98" a="1"/>
  <c r="H84" i="98" s="1"/>
  <c r="H76" i="98" a="1"/>
  <c r="H76" i="98" s="1"/>
  <c r="H68" i="98" a="1"/>
  <c r="H68" i="98" s="1"/>
  <c r="H61" i="98" a="1"/>
  <c r="H61" i="98" s="1"/>
  <c r="H91" i="98" a="1"/>
  <c r="H91" i="98" s="1"/>
  <c r="H83" i="98" a="1"/>
  <c r="H83" i="98" s="1"/>
  <c r="H75" i="98" a="1"/>
  <c r="H75" i="98" s="1"/>
  <c r="H67" i="98" a="1"/>
  <c r="H67" i="98" s="1"/>
  <c r="H60" i="98" a="1"/>
  <c r="H60" i="98" s="1"/>
  <c r="H89" i="98" a="1"/>
  <c r="H89" i="98" s="1"/>
  <c r="I89" i="98" s="1" a="1"/>
  <c r="I89" i="98" s="1"/>
  <c r="H187" i="98" s="1"/>
  <c r="H77" i="98" a="1"/>
  <c r="H77" i="98" s="1"/>
  <c r="H64" i="98" a="1"/>
  <c r="H64" i="98" s="1"/>
  <c r="H88" i="98" a="1"/>
  <c r="H88" i="98" s="1"/>
  <c r="H74" i="98" a="1"/>
  <c r="H74" i="98" s="1"/>
  <c r="H63" i="98" a="1"/>
  <c r="H63" i="98" s="1"/>
  <c r="H86" i="98" a="1"/>
  <c r="H86" i="98" s="1"/>
  <c r="H73" i="98" a="1"/>
  <c r="H73" i="98" s="1"/>
  <c r="H62" i="98" a="1"/>
  <c r="H62" i="98" s="1"/>
  <c r="H85" i="98" a="1"/>
  <c r="H85" i="98" s="1"/>
  <c r="H72" i="98" a="1"/>
  <c r="H72" i="98" s="1"/>
  <c r="H82" i="98" a="1"/>
  <c r="H82" i="98" s="1"/>
  <c r="I82" i="98" s="1" a="1"/>
  <c r="I82" i="98" s="1"/>
  <c r="H180" i="98" s="1"/>
  <c r="H71" i="98" a="1"/>
  <c r="H71" i="98" s="1"/>
  <c r="H80" i="98" a="1"/>
  <c r="H80" i="98" s="1"/>
  <c r="H69" i="98" a="1"/>
  <c r="H69" i="98" s="1"/>
  <c r="H79" i="98" a="1"/>
  <c r="H79" i="98" s="1"/>
  <c r="H66" i="98" a="1"/>
  <c r="H66" i="98" s="1"/>
  <c r="H90" i="98" a="1"/>
  <c r="H90" i="98" s="1"/>
  <c r="H78" i="98" a="1"/>
  <c r="H78" i="98" s="1"/>
  <c r="H65" i="98" a="1"/>
  <c r="H65" i="98" s="1"/>
  <c r="H27" i="86" a="1"/>
  <c r="H27" i="86" s="1"/>
  <c r="V236" i="106" a="1"/>
  <c r="V236" i="106" s="1"/>
  <c r="J165" i="98" a="1"/>
  <c r="J165" i="98" s="1"/>
  <c r="I40" i="100"/>
  <c r="I37" i="100" s="1" a="1"/>
  <c r="I37" i="100" s="1"/>
  <c r="R59" i="100"/>
  <c r="R56" i="100" s="1" a="1"/>
  <c r="R56" i="100" s="1"/>
  <c r="K48" i="85"/>
  <c r="K45" i="85" s="1"/>
  <c r="G48" i="106" a="1"/>
  <c r="G48" i="106" s="1"/>
  <c r="J63" i="106" a="1"/>
  <c r="J63" i="106" s="1"/>
  <c r="G47" i="106" a="1"/>
  <c r="G47" i="106" s="1"/>
  <c r="G69" i="106" a="1"/>
  <c r="G69" i="106" s="1"/>
  <c r="J259" i="106" a="1"/>
  <c r="J259" i="106" s="1"/>
  <c r="S253" i="106" a="1"/>
  <c r="S253" i="106" s="1"/>
  <c r="AH236" i="106" a="1"/>
  <c r="AH236" i="106" s="1"/>
  <c r="J178" i="98" a="1"/>
  <c r="J178" i="98" s="1"/>
  <c r="K29" i="95"/>
  <c r="J29" i="95"/>
  <c r="I29" i="95"/>
  <c r="H29" i="95"/>
  <c r="G29" i="95"/>
  <c r="N29" i="95" s="1" a="1"/>
  <c r="N29" i="95" s="1"/>
  <c r="J125" i="98" a="1"/>
  <c r="J125" i="98" s="1"/>
  <c r="W252" i="106" a="1"/>
  <c r="W252" i="106" s="1"/>
  <c r="G37" i="94" a="1"/>
  <c r="G37" i="94" s="1"/>
  <c r="G287" i="106" a="1"/>
  <c r="G287" i="106" s="1"/>
  <c r="G45" i="106" a="1"/>
  <c r="G45" i="106" s="1"/>
  <c r="G51" i="106" a="1"/>
  <c r="G51" i="106" s="1"/>
  <c r="J65" i="106" a="1"/>
  <c r="J65" i="106" s="1"/>
  <c r="G68" i="106" a="1"/>
  <c r="G68" i="106" s="1"/>
  <c r="J260" i="106" a="1"/>
  <c r="J260" i="106" s="1"/>
  <c r="I26" i="94" a="1"/>
  <c r="I26" i="94" s="1"/>
  <c r="J166" i="98" a="1"/>
  <c r="J166" i="98" s="1"/>
  <c r="V16" i="82"/>
  <c r="X16" i="82" s="1"/>
  <c r="P236" i="106" a="1"/>
  <c r="P236" i="106" s="1"/>
  <c r="X13" i="82"/>
  <c r="V17" i="82"/>
  <c r="X17" i="82" s="1"/>
  <c r="G25" i="94" a="1"/>
  <c r="G25" i="94" s="1"/>
  <c r="Q25" i="94" s="1" a="1"/>
  <c r="Q25" i="94" s="1"/>
  <c r="W255" i="106" a="1"/>
  <c r="W255" i="106" s="1"/>
  <c r="I17" i="82"/>
  <c r="E19" i="84" s="1" a="1"/>
  <c r="E19" i="84" s="1"/>
  <c r="AD236" i="106" a="1"/>
  <c r="AD236" i="106" s="1"/>
  <c r="J82" i="106" a="1"/>
  <c r="J82" i="106" s="1"/>
  <c r="G65" i="106" a="1"/>
  <c r="G65" i="106" s="1"/>
  <c r="J158" i="98" a="1"/>
  <c r="J158" i="98" s="1"/>
  <c r="J254" i="106" a="1"/>
  <c r="J254" i="106" s="1"/>
  <c r="E72" i="72"/>
  <c r="Z236" i="106" a="1"/>
  <c r="Z236" i="106" s="1"/>
  <c r="M593" i="106" a="1"/>
  <c r="M593" i="106" s="1"/>
  <c r="G83" i="106" a="1"/>
  <c r="G83" i="106" s="1"/>
  <c r="J70" i="106" a="1"/>
  <c r="J70" i="106" s="1"/>
  <c r="G63" i="106" a="1"/>
  <c r="G63" i="106" s="1"/>
  <c r="G149" i="106" a="1"/>
  <c r="G149" i="106" s="1"/>
  <c r="J253" i="106" a="1"/>
  <c r="J253" i="106" s="1"/>
  <c r="Y236" i="106" a="1"/>
  <c r="L38" i="95" a="1"/>
  <c r="L38" i="95" s="1"/>
  <c r="J174" i="98" a="1"/>
  <c r="J174" i="98" s="1"/>
  <c r="W260" i="106" a="1"/>
  <c r="W260" i="106" s="1"/>
  <c r="J138" i="98" a="1"/>
  <c r="J138" i="98" s="1"/>
  <c r="I55" i="83"/>
  <c r="J54" i="87"/>
  <c r="S99" i="83"/>
  <c r="N106" i="83" s="1"/>
  <c r="I129" i="87"/>
  <c r="G67" i="106" a="1"/>
  <c r="G67" i="106" s="1"/>
  <c r="J84" i="106" a="1"/>
  <c r="J84" i="106" s="1"/>
  <c r="E498" i="106"/>
  <c r="J257" i="106" a="1"/>
  <c r="J257" i="106" s="1"/>
  <c r="S260" i="106" a="1"/>
  <c r="S260" i="106" s="1"/>
  <c r="H260" i="106" s="1" a="1"/>
  <c r="H260" i="106" s="1"/>
  <c r="AG236" i="106" a="1"/>
  <c r="J117" i="98" a="1"/>
  <c r="J117" i="98" s="1"/>
  <c r="V14" i="82"/>
  <c r="D59" i="98"/>
  <c r="G59" i="98" s="1" a="1"/>
  <c r="G59" i="98" s="1"/>
  <c r="I59" i="98" s="1" a="1"/>
  <c r="I59" i="98" s="1"/>
  <c r="H157" i="98" s="1"/>
  <c r="G85" i="98" a="1"/>
  <c r="G85" i="98" s="1"/>
  <c r="G77" i="98" a="1"/>
  <c r="G77" i="98" s="1"/>
  <c r="G69" i="98" a="1"/>
  <c r="G69" i="98" s="1"/>
  <c r="G62" i="98" a="1"/>
  <c r="G62" i="98" s="1"/>
  <c r="I62" i="98" s="1" a="1"/>
  <c r="I62" i="98" s="1"/>
  <c r="H160" i="98" s="1"/>
  <c r="G92" i="98" a="1"/>
  <c r="G92" i="98" s="1"/>
  <c r="G84" i="98" a="1"/>
  <c r="G84" i="98" s="1"/>
  <c r="I84" i="98" s="1" a="1"/>
  <c r="I84" i="98" s="1"/>
  <c r="H182" i="98" s="1"/>
  <c r="G76" i="98" a="1"/>
  <c r="G76" i="98" s="1"/>
  <c r="G68" i="98" a="1"/>
  <c r="G68" i="98" s="1"/>
  <c r="G61" i="98" a="1"/>
  <c r="G61" i="98" s="1"/>
  <c r="G91" i="98" a="1"/>
  <c r="G91" i="98" s="1"/>
  <c r="I91" i="98" s="1" a="1"/>
  <c r="I91" i="98" s="1"/>
  <c r="H189" i="98" s="1"/>
  <c r="G83" i="98" a="1"/>
  <c r="G83" i="98" s="1"/>
  <c r="G75" i="98" a="1"/>
  <c r="G75" i="98" s="1"/>
  <c r="G67" i="98" a="1"/>
  <c r="G67" i="98" s="1"/>
  <c r="G60" i="98" a="1"/>
  <c r="G60" i="98" s="1"/>
  <c r="G78" i="98" a="1"/>
  <c r="G78" i="98" s="1"/>
  <c r="G65" i="98" a="1"/>
  <c r="G65" i="98" s="1"/>
  <c r="G89" i="98" a="1"/>
  <c r="G89" i="98" s="1"/>
  <c r="G64" i="98" a="1"/>
  <c r="G64" i="98" s="1"/>
  <c r="G88" i="98" a="1"/>
  <c r="G88" i="98" s="1"/>
  <c r="I88" i="98" s="1" a="1"/>
  <c r="I88" i="98" s="1"/>
  <c r="H186" i="98" s="1"/>
  <c r="G74" i="98" a="1"/>
  <c r="G74" i="98" s="1"/>
  <c r="I74" i="98" s="1" a="1"/>
  <c r="I74" i="98" s="1"/>
  <c r="H172" i="98" s="1"/>
  <c r="G63" i="98" a="1"/>
  <c r="G63" i="98" s="1"/>
  <c r="I63" i="98" s="1" a="1"/>
  <c r="I63" i="98" s="1"/>
  <c r="H161" i="98" s="1"/>
  <c r="I161" i="98" s="1"/>
  <c r="K161" i="98" s="1" a="1"/>
  <c r="K161" i="98" s="1"/>
  <c r="G86" i="98" a="1"/>
  <c r="G86" i="98" s="1"/>
  <c r="G73" i="98" a="1"/>
  <c r="G73" i="98" s="1"/>
  <c r="G72" i="98" a="1"/>
  <c r="G72" i="98" s="1"/>
  <c r="G82" i="98" a="1"/>
  <c r="G82" i="98" s="1"/>
  <c r="G71" i="98" a="1"/>
  <c r="G71" i="98" s="1"/>
  <c r="G80" i="98" a="1"/>
  <c r="G80" i="98" s="1"/>
  <c r="G79" i="98" a="1"/>
  <c r="G79" i="98" s="1"/>
  <c r="I79" i="98" s="1" a="1"/>
  <c r="I79" i="98" s="1"/>
  <c r="H177" i="98" s="1"/>
  <c r="G66" i="98" a="1"/>
  <c r="G66" i="98" s="1"/>
  <c r="G90" i="98" a="1"/>
  <c r="G90" i="98" s="1"/>
  <c r="J161" i="98" a="1"/>
  <c r="J161" i="98" s="1"/>
  <c r="D19" i="87"/>
  <c r="F19" i="87" s="1" a="1"/>
  <c r="F19" i="87" s="1"/>
  <c r="G19" i="87" s="1" a="1"/>
  <c r="G19" i="87" s="1"/>
  <c r="F35" i="87" a="1"/>
  <c r="F35" i="87" s="1"/>
  <c r="G35" i="87" s="1" a="1"/>
  <c r="G35" i="87" s="1"/>
  <c r="F28" i="87" a="1"/>
  <c r="F28" i="87" s="1"/>
  <c r="G28" i="87" s="1" a="1"/>
  <c r="G28" i="87" s="1"/>
  <c r="F21" i="87" a="1"/>
  <c r="F21" i="87" s="1"/>
  <c r="G21" i="87" s="1" a="1"/>
  <c r="G21" i="87" s="1"/>
  <c r="F34" i="87" a="1"/>
  <c r="F34" i="87" s="1"/>
  <c r="G34" i="87" s="1" a="1"/>
  <c r="G34" i="87" s="1"/>
  <c r="F27" i="87" a="1"/>
  <c r="F27" i="87" s="1"/>
  <c r="G27" i="87" s="1" a="1"/>
  <c r="G27" i="87" s="1"/>
  <c r="F20" i="87" a="1"/>
  <c r="F20" i="87" s="1"/>
  <c r="G20" i="87" s="1" a="1"/>
  <c r="G20" i="87" s="1"/>
  <c r="F29" i="87" a="1"/>
  <c r="F29" i="87" s="1"/>
  <c r="G29" i="87" s="1" a="1"/>
  <c r="G29" i="87" s="1"/>
  <c r="F26" i="87" a="1"/>
  <c r="F26" i="87" s="1"/>
  <c r="G26" i="87" s="1" a="1"/>
  <c r="G26" i="87" s="1"/>
  <c r="F37" i="87" a="1"/>
  <c r="F37" i="87" s="1"/>
  <c r="G37" i="87" s="1" a="1"/>
  <c r="G37" i="87" s="1"/>
  <c r="F25" i="87" a="1"/>
  <c r="F25" i="87" s="1"/>
  <c r="G25" i="87" s="1" a="1"/>
  <c r="G25" i="87" s="1"/>
  <c r="F36" i="87" a="1"/>
  <c r="F36" i="87" s="1"/>
  <c r="G36" i="87" s="1" a="1"/>
  <c r="G36" i="87" s="1"/>
  <c r="F24" i="87" a="1"/>
  <c r="F24" i="87" s="1"/>
  <c r="G24" i="87" s="1" a="1"/>
  <c r="G24" i="87" s="1"/>
  <c r="F33" i="87" a="1"/>
  <c r="F33" i="87" s="1"/>
  <c r="G33" i="87" s="1" a="1"/>
  <c r="G33" i="87" s="1"/>
  <c r="F23" i="87" a="1"/>
  <c r="F23" i="87" s="1"/>
  <c r="G23" i="87" s="1" a="1"/>
  <c r="G23" i="87" s="1"/>
  <c r="F32" i="87" a="1"/>
  <c r="F32" i="87" s="1"/>
  <c r="G32" i="87" s="1" a="1"/>
  <c r="G32" i="87" s="1"/>
  <c r="F22" i="87" a="1"/>
  <c r="F22" i="87" s="1"/>
  <c r="G22" i="87" s="1" a="1"/>
  <c r="G22" i="87" s="1"/>
  <c r="F31" i="87" a="1"/>
  <c r="F31" i="87" s="1"/>
  <c r="G31" i="87" s="1" a="1"/>
  <c r="G31" i="87" s="1"/>
  <c r="F30" i="87" a="1"/>
  <c r="F30" i="87" s="1"/>
  <c r="G30" i="87" s="1" a="1"/>
  <c r="G30" i="87" s="1"/>
  <c r="J173" i="98" a="1"/>
  <c r="J173" i="98" s="1"/>
  <c r="H26" i="86" a="1"/>
  <c r="H26" i="86" s="1"/>
  <c r="J47" i="106" a="1"/>
  <c r="J47" i="106" s="1"/>
  <c r="G62" i="106" a="1"/>
  <c r="G62" i="106" s="1"/>
  <c r="G139" i="106" a="1"/>
  <c r="G139" i="106" s="1"/>
  <c r="G70" i="106" a="1"/>
  <c r="G70" i="106" s="1"/>
  <c r="J48" i="106" a="1"/>
  <c r="J48" i="106" s="1"/>
  <c r="E252" i="106"/>
  <c r="J252" i="106" s="1" a="1"/>
  <c r="J252" i="106" s="1"/>
  <c r="J26" i="94" a="1"/>
  <c r="J26" i="94" s="1"/>
  <c r="H26" i="94" a="1"/>
  <c r="H26" i="94" s="1"/>
  <c r="J118" i="98" a="1"/>
  <c r="J118" i="98" s="1"/>
  <c r="AA257" i="106" a="1"/>
  <c r="AA257" i="106" s="1"/>
  <c r="F257" i="106" s="1" a="1"/>
  <c r="F257" i="106" s="1"/>
  <c r="G257" i="106" s="1" a="1"/>
  <c r="G257" i="106" s="1"/>
  <c r="O236" i="106" a="1"/>
  <c r="O236" i="106" s="1"/>
  <c r="J25" i="94" a="1"/>
  <c r="J25" i="94" s="1"/>
  <c r="P25" i="94" s="1" a="1"/>
  <c r="P25" i="94" s="1"/>
  <c r="S252" i="106" a="1"/>
  <c r="S252" i="106" s="1"/>
  <c r="J127" i="98" a="1"/>
  <c r="J127" i="98" s="1"/>
  <c r="J164" i="98" a="1"/>
  <c r="J164" i="98" s="1"/>
  <c r="G85" i="106" a="1"/>
  <c r="G85" i="106" s="1"/>
  <c r="J49" i="106" a="1"/>
  <c r="J49" i="106" s="1"/>
  <c r="J86" i="106" a="1"/>
  <c r="J86" i="106" s="1"/>
  <c r="AE258" i="106" a="1"/>
  <c r="AE258" i="106" s="1"/>
  <c r="I13" i="82"/>
  <c r="AA258" i="106" a="1"/>
  <c r="AA258" i="106" s="1"/>
  <c r="S258" i="106" a="1"/>
  <c r="S258" i="106" s="1"/>
  <c r="V15" i="82"/>
  <c r="X15" i="82" s="1"/>
  <c r="J175" i="98" a="1"/>
  <c r="J175" i="98" s="1"/>
  <c r="J136" i="98" a="1"/>
  <c r="J136" i="98" s="1"/>
  <c r="E66" i="88"/>
  <c r="F66" i="88" s="1" a="1"/>
  <c r="F66" i="88" s="1"/>
  <c r="E103" i="87"/>
  <c r="F103" i="87" s="1" a="1"/>
  <c r="F103" i="87" s="1"/>
  <c r="E135" i="87" s="1"/>
  <c r="P21" i="83"/>
  <c r="Q30" i="83"/>
  <c r="Q23" i="83"/>
  <c r="Q29" i="83"/>
  <c r="Q28" i="83"/>
  <c r="Q27" i="83"/>
  <c r="Q26" i="83"/>
  <c r="Q25" i="83"/>
  <c r="Q24" i="83"/>
  <c r="Q22" i="83"/>
  <c r="G20" i="85"/>
  <c r="I20" i="85" s="1" a="1"/>
  <c r="I20" i="85" s="1"/>
  <c r="I22" i="85" a="1"/>
  <c r="I22" i="85" s="1"/>
  <c r="E31" i="84" a="1"/>
  <c r="E31" i="84" s="1"/>
  <c r="G31" i="84" s="1" a="1"/>
  <c r="G31" i="84" s="1"/>
  <c r="E70" i="84" s="1" a="1"/>
  <c r="E70" i="84" s="1"/>
  <c r="E24" i="84" a="1"/>
  <c r="E24" i="84" s="1"/>
  <c r="G24" i="84" s="1" a="1"/>
  <c r="G24" i="84" s="1"/>
  <c r="E63" i="84" s="1" a="1"/>
  <c r="E63" i="84" s="1"/>
  <c r="E33" i="83" a="1"/>
  <c r="E33" i="83" s="1"/>
  <c r="E26" i="83" a="1"/>
  <c r="E26" i="83" s="1"/>
  <c r="G26" i="83" s="1" a="1"/>
  <c r="G26" i="83" s="1"/>
  <c r="E26" i="84" a="1"/>
  <c r="E26" i="84" s="1"/>
  <c r="G26" i="84" s="1" a="1"/>
  <c r="G26" i="84" s="1"/>
  <c r="E65" i="84" s="1" a="1"/>
  <c r="E65" i="84" s="1"/>
  <c r="E20" i="83" a="1"/>
  <c r="E20" i="83" s="1"/>
  <c r="E37" i="84" a="1"/>
  <c r="E37" i="84" s="1"/>
  <c r="E23" i="84" a="1"/>
  <c r="E23" i="84" s="1"/>
  <c r="G23" i="84" s="1" a="1"/>
  <c r="G23" i="84" s="1"/>
  <c r="E62" i="84" s="1" a="1"/>
  <c r="E62" i="84" s="1"/>
  <c r="E32" i="83" a="1"/>
  <c r="E32" i="83" s="1"/>
  <c r="G32" i="83" s="1" a="1"/>
  <c r="G32" i="83" s="1"/>
  <c r="E25" i="83" a="1"/>
  <c r="E25" i="83" s="1"/>
  <c r="G25" i="83" s="1" a="1"/>
  <c r="G25" i="83" s="1"/>
  <c r="E236" i="106" a="1"/>
  <c r="E19" i="83" a="1"/>
  <c r="E19" i="83" s="1"/>
  <c r="E35" i="83" a="1"/>
  <c r="E35" i="83" s="1"/>
  <c r="G35" i="83" s="1" a="1"/>
  <c r="G35" i="83" s="1"/>
  <c r="E36" i="84" a="1"/>
  <c r="E36" i="84" s="1"/>
  <c r="G36" i="84" s="1" a="1"/>
  <c r="G36" i="84" s="1"/>
  <c r="E75" i="84" s="1" a="1"/>
  <c r="E75" i="84" s="1"/>
  <c r="E29" i="84" a="1"/>
  <c r="E29" i="84" s="1"/>
  <c r="G29" i="84" s="1" a="1"/>
  <c r="G29" i="84" s="1"/>
  <c r="E68" i="84" s="1" a="1"/>
  <c r="E68" i="84" s="1"/>
  <c r="E22" i="84" a="1"/>
  <c r="E22" i="84" s="1"/>
  <c r="E31" i="83" a="1"/>
  <c r="E31" i="83" s="1"/>
  <c r="E24" i="83" a="1"/>
  <c r="E24" i="83" s="1"/>
  <c r="G24" i="83" s="1" a="1"/>
  <c r="G24" i="83" s="1"/>
  <c r="E28" i="83" a="1"/>
  <c r="E28" i="83" s="1"/>
  <c r="E34" i="83" a="1"/>
  <c r="E34" i="83" s="1"/>
  <c r="G34" i="83" s="1" a="1"/>
  <c r="G34" i="83" s="1"/>
  <c r="E35" i="84" a="1"/>
  <c r="E35" i="84" s="1"/>
  <c r="G35" i="84" s="1" a="1"/>
  <c r="G35" i="84" s="1"/>
  <c r="E74" i="84" s="1" a="1"/>
  <c r="E74" i="84" s="1"/>
  <c r="E28" i="84" a="1"/>
  <c r="E28" i="84" s="1"/>
  <c r="E21" i="84" a="1"/>
  <c r="E21" i="84" s="1"/>
  <c r="G21" i="84" s="1" a="1"/>
  <c r="G21" i="84" s="1"/>
  <c r="E60" i="84" s="1" a="1"/>
  <c r="E60" i="84" s="1"/>
  <c r="E37" i="83" a="1"/>
  <c r="E37" i="83" s="1"/>
  <c r="G37" i="83" s="1" a="1"/>
  <c r="G37" i="83" s="1"/>
  <c r="E30" i="83" a="1"/>
  <c r="E30" i="83" s="1"/>
  <c r="G30" i="83" s="1" a="1"/>
  <c r="G30" i="83" s="1"/>
  <c r="E23" i="83" a="1"/>
  <c r="E23" i="83" s="1"/>
  <c r="E27" i="83" a="1"/>
  <c r="E27" i="83" s="1"/>
  <c r="G27" i="83" s="1" a="1"/>
  <c r="G27" i="83" s="1"/>
  <c r="E34" i="84" a="1"/>
  <c r="E34" i="84" s="1"/>
  <c r="G34" i="84" s="1" a="1"/>
  <c r="G34" i="84" s="1"/>
  <c r="E73" i="84" s="1" a="1"/>
  <c r="E73" i="84" s="1"/>
  <c r="E27" i="84" a="1"/>
  <c r="E27" i="84" s="1"/>
  <c r="E20" i="84" a="1"/>
  <c r="E20" i="84" s="1"/>
  <c r="G20" i="84" s="1" a="1"/>
  <c r="G20" i="84" s="1"/>
  <c r="E59" i="84" s="1" a="1"/>
  <c r="E59" i="84" s="1"/>
  <c r="E36" i="83" a="1"/>
  <c r="E36" i="83" s="1"/>
  <c r="G36" i="83" s="1" a="1"/>
  <c r="G36" i="83" s="1"/>
  <c r="E29" i="83" a="1"/>
  <c r="E29" i="83" s="1"/>
  <c r="E22" i="83" a="1"/>
  <c r="E22" i="83" s="1"/>
  <c r="E25" i="84" a="1"/>
  <c r="E25" i="84" s="1"/>
  <c r="G25" i="84" s="1" a="1"/>
  <c r="G25" i="84" s="1"/>
  <c r="E64" i="84" s="1" a="1"/>
  <c r="E64" i="84" s="1"/>
  <c r="E33" i="84" a="1"/>
  <c r="E33" i="84" s="1"/>
  <c r="G33" i="84" s="1" a="1"/>
  <c r="G33" i="84" s="1"/>
  <c r="E72" i="84" s="1" a="1"/>
  <c r="E72" i="84" s="1"/>
  <c r="E32" i="84" a="1"/>
  <c r="E32" i="84" s="1"/>
  <c r="G32" i="84" s="1" a="1"/>
  <c r="G32" i="84" s="1"/>
  <c r="E71" i="84" s="1" a="1"/>
  <c r="E71" i="84" s="1"/>
  <c r="E21" i="83" a="1"/>
  <c r="E21" i="83" s="1"/>
  <c r="G21" i="83" s="1" a="1"/>
  <c r="G21" i="83" s="1"/>
  <c r="E488" i="106"/>
  <c r="F46" i="13" a="1"/>
  <c r="F46" i="13" s="1"/>
  <c r="I46" i="13" s="1"/>
  <c r="F45" i="13"/>
  <c r="I45" i="13" s="1"/>
  <c r="E487" i="106"/>
  <c r="H385" i="106" a="1"/>
  <c r="H385" i="106" s="1"/>
  <c r="E23" i="13" a="1"/>
  <c r="E23" i="13" s="1"/>
  <c r="E31" i="13" a="1"/>
  <c r="E31" i="13" s="1"/>
  <c r="Q34" i="95" a="1"/>
  <c r="Q34" i="95" s="1"/>
  <c r="O39" i="94" a="1"/>
  <c r="O39" i="94" s="1"/>
  <c r="O35" i="94" a="1"/>
  <c r="O35" i="94" s="1"/>
  <c r="O34" i="94" a="1"/>
  <c r="O34" i="94" s="1"/>
  <c r="P34" i="94" a="1"/>
  <c r="P34" i="94" s="1"/>
  <c r="N25" i="94" a="1"/>
  <c r="N25" i="94" s="1"/>
  <c r="E156" i="106"/>
  <c r="I296" i="106" a="1"/>
  <c r="I296" i="106" s="1"/>
  <c r="E143" i="106"/>
  <c r="F122" i="106"/>
  <c r="G122" i="106" s="1" a="1"/>
  <c r="G122" i="106" s="1"/>
  <c r="K255" i="106" a="1"/>
  <c r="K255" i="106" s="1"/>
  <c r="F256" i="106" a="1"/>
  <c r="F256" i="106" s="1"/>
  <c r="G256" i="106" s="1" a="1"/>
  <c r="G256" i="106" s="1"/>
  <c r="E654" i="106"/>
  <c r="F48" i="13" s="1" a="1"/>
  <c r="F48" i="13" s="1"/>
  <c r="I48" i="13" s="1"/>
  <c r="F129" i="106"/>
  <c r="I129" i="106" s="1" a="1"/>
  <c r="I129" i="106" s="1"/>
  <c r="F125" i="106"/>
  <c r="I125" i="106" s="1" a="1"/>
  <c r="I125" i="106" s="1"/>
  <c r="F128" i="106"/>
  <c r="G128" i="106" s="1" a="1"/>
  <c r="G128" i="106" s="1"/>
  <c r="E73" i="106"/>
  <c r="E182" i="106"/>
  <c r="F255" i="106" a="1"/>
  <c r="F255" i="106" s="1"/>
  <c r="G255" i="106" s="1" a="1"/>
  <c r="G255" i="106" s="1"/>
  <c r="H254" i="106" a="1"/>
  <c r="H254" i="106" s="1"/>
  <c r="E426" i="106"/>
  <c r="E181" i="106"/>
  <c r="F126" i="106"/>
  <c r="G126" i="106" s="1" a="1"/>
  <c r="G126" i="106" s="1"/>
  <c r="E363" i="106"/>
  <c r="F41" i="13" s="1" a="1"/>
  <c r="F41" i="13" s="1"/>
  <c r="I41" i="13" s="1"/>
  <c r="M27" i="106" a="1"/>
  <c r="M27" i="106" s="1"/>
  <c r="E35" i="106" s="1"/>
  <c r="I40" i="98" a="1"/>
  <c r="I40" i="98" s="1"/>
  <c r="H135" i="98" s="1"/>
  <c r="I135" i="98" s="1"/>
  <c r="K135" i="98" s="1" a="1"/>
  <c r="K135" i="98" s="1"/>
  <c r="H256" i="106" a="1"/>
  <c r="H256" i="106" s="1"/>
  <c r="F261" i="106" a="1"/>
  <c r="F261" i="106" s="1"/>
  <c r="G261" i="106" s="1" a="1"/>
  <c r="G261" i="106" s="1"/>
  <c r="K256" i="106" a="1"/>
  <c r="K256" i="106" s="1"/>
  <c r="K259" i="106" a="1"/>
  <c r="K259" i="106" s="1"/>
  <c r="F121" i="106"/>
  <c r="G121" i="106" s="1" a="1"/>
  <c r="G121" i="106" s="1"/>
  <c r="F124" i="106"/>
  <c r="I124" i="106" s="1" a="1"/>
  <c r="I124" i="106" s="1"/>
  <c r="I127" i="106" a="1"/>
  <c r="I127" i="106" s="1"/>
  <c r="J32" i="106" a="1"/>
  <c r="J32" i="106" s="1"/>
  <c r="K254" i="106" a="1"/>
  <c r="K254" i="106" s="1"/>
  <c r="H255" i="106" a="1"/>
  <c r="H255" i="106" s="1"/>
  <c r="G290" i="106" a="1"/>
  <c r="G290" i="106" s="1"/>
  <c r="E155" i="106"/>
  <c r="G123" i="106" a="1"/>
  <c r="G123" i="106" s="1"/>
  <c r="I123" i="106" a="1"/>
  <c r="I123" i="106" s="1"/>
  <c r="K252" i="106" a="1"/>
  <c r="K252" i="106" s="1"/>
  <c r="J469" i="106" a="1"/>
  <c r="J469" i="106" s="1"/>
  <c r="H469" i="106" a="1"/>
  <c r="H469" i="106" s="1"/>
  <c r="G295" i="106" a="1"/>
  <c r="G295" i="106" s="1"/>
  <c r="I295" i="106" a="1"/>
  <c r="I295" i="106" s="1"/>
  <c r="H471" i="106" a="1"/>
  <c r="H471" i="106" s="1"/>
  <c r="J471" i="106" a="1"/>
  <c r="J471" i="106" s="1"/>
  <c r="E517" i="106"/>
  <c r="F43" i="13" s="1" a="1"/>
  <c r="F43" i="13" s="1"/>
  <c r="I43" i="13" s="1"/>
  <c r="H451" i="106" a="1"/>
  <c r="H451" i="106" s="1"/>
  <c r="J451" i="106" a="1"/>
  <c r="J451" i="106" s="1"/>
  <c r="J329" i="106" a="1"/>
  <c r="J329" i="106" s="1"/>
  <c r="I326" i="106" a="1"/>
  <c r="I326" i="106" s="1"/>
  <c r="J322" i="106" a="1"/>
  <c r="J322" i="106" s="1"/>
  <c r="I324" i="106" a="1"/>
  <c r="I324" i="106" s="1"/>
  <c r="I323" i="106" a="1"/>
  <c r="I323" i="106" s="1"/>
  <c r="J327" i="106" a="1"/>
  <c r="J327" i="106" s="1"/>
  <c r="J325" i="106" a="1"/>
  <c r="J325" i="106" s="1"/>
  <c r="I325" i="106" a="1"/>
  <c r="I325" i="106" s="1"/>
  <c r="J324" i="106" a="1"/>
  <c r="J324" i="106" s="1"/>
  <c r="I329" i="106" a="1"/>
  <c r="I329" i="106" s="1"/>
  <c r="J323" i="106" a="1"/>
  <c r="J323" i="106" s="1"/>
  <c r="J328" i="106" a="1"/>
  <c r="J328" i="106" s="1"/>
  <c r="I322" i="106" a="1"/>
  <c r="I322" i="106" s="1"/>
  <c r="I328" i="106" a="1"/>
  <c r="I328" i="106" s="1"/>
  <c r="I327" i="106" a="1"/>
  <c r="I327" i="106" s="1"/>
  <c r="J321" i="106" a="1"/>
  <c r="J321" i="106" s="1"/>
  <c r="J326" i="106" a="1"/>
  <c r="J326" i="106" s="1"/>
  <c r="I321" i="106" a="1"/>
  <c r="I321" i="106" s="1"/>
  <c r="I286" i="106" a="1"/>
  <c r="I286" i="106" s="1"/>
  <c r="G286" i="106" a="1"/>
  <c r="G286" i="106" s="1"/>
  <c r="K261" i="106" a="1"/>
  <c r="K261" i="106" s="1"/>
  <c r="I120" i="106" a="1"/>
  <c r="I120" i="106" s="1"/>
  <c r="H261" i="106" a="1"/>
  <c r="H261" i="106" s="1"/>
  <c r="J472" i="106" a="1"/>
  <c r="J472" i="106" s="1"/>
  <c r="H472" i="106" a="1"/>
  <c r="H472" i="106" s="1"/>
  <c r="J25" i="106" a="1"/>
  <c r="J25" i="106" s="1"/>
  <c r="J386" i="106" a="1"/>
  <c r="J386" i="106" s="1"/>
  <c r="H386" i="106" a="1"/>
  <c r="H386" i="106" s="1"/>
  <c r="J470" i="106" a="1"/>
  <c r="J470" i="106" s="1"/>
  <c r="H470" i="106" a="1"/>
  <c r="H470" i="106" s="1"/>
  <c r="K253" i="106" a="1"/>
  <c r="K253" i="106" s="1"/>
  <c r="F253" i="106" a="1"/>
  <c r="F253" i="106" s="1"/>
  <c r="G253" i="106" s="1" a="1"/>
  <c r="G253" i="106" s="1"/>
  <c r="G291" i="106" a="1"/>
  <c r="G291" i="106" s="1"/>
  <c r="I291" i="106" a="1"/>
  <c r="I291" i="106" s="1"/>
  <c r="H253" i="106" a="1"/>
  <c r="H253" i="106" s="1"/>
  <c r="F259" i="106" a="1"/>
  <c r="F259" i="106" s="1"/>
  <c r="G259" i="106" s="1" a="1"/>
  <c r="G259" i="106" s="1"/>
  <c r="H391" i="106" a="1"/>
  <c r="H391" i="106" s="1"/>
  <c r="E142" i="106"/>
  <c r="J30" i="106" a="1"/>
  <c r="J30" i="106" s="1"/>
  <c r="F258" i="106" a="1"/>
  <c r="F258" i="106" s="1"/>
  <c r="G258" i="106" s="1" a="1"/>
  <c r="G258" i="106" s="1"/>
  <c r="K258" i="106" a="1"/>
  <c r="K258" i="106" s="1"/>
  <c r="H258" i="106" a="1"/>
  <c r="H258" i="106" s="1"/>
  <c r="J79" i="106" a="1"/>
  <c r="J79" i="106" s="1"/>
  <c r="G79" i="106" a="1"/>
  <c r="G79" i="106" s="1"/>
  <c r="E90" i="106" s="1"/>
  <c r="J28" i="106" a="1"/>
  <c r="J28" i="106" s="1"/>
  <c r="F120" i="106"/>
  <c r="G120" i="106" s="1" a="1"/>
  <c r="G120" i="106" s="1"/>
  <c r="G288" i="106" a="1"/>
  <c r="G288" i="106" s="1"/>
  <c r="J452" i="106" a="1"/>
  <c r="J452" i="106" s="1"/>
  <c r="H452" i="106" a="1"/>
  <c r="H452" i="106" s="1"/>
  <c r="J383" i="106" a="1"/>
  <c r="J383" i="106" s="1"/>
  <c r="H383" i="106" a="1"/>
  <c r="H383" i="106" s="1"/>
  <c r="H259" i="106" a="1"/>
  <c r="H259" i="106" s="1"/>
  <c r="J390" i="106" a="1"/>
  <c r="J390" i="106" s="1"/>
  <c r="H390" i="106" a="1"/>
  <c r="H390" i="106" s="1"/>
  <c r="H454" i="106" a="1"/>
  <c r="H454" i="106" s="1"/>
  <c r="J454" i="106" a="1"/>
  <c r="J454" i="106" s="1"/>
  <c r="I294" i="106" a="1"/>
  <c r="I294" i="106" s="1"/>
  <c r="G294" i="106" a="1"/>
  <c r="G294" i="106" s="1"/>
  <c r="I292" i="106" a="1"/>
  <c r="I292" i="106" s="1"/>
  <c r="G292" i="106" a="1"/>
  <c r="G292" i="106" s="1"/>
  <c r="J42" i="106" a="1"/>
  <c r="J42" i="106" s="1"/>
  <c r="E54" i="106" s="1"/>
  <c r="G42" i="106" a="1"/>
  <c r="G42" i="106" s="1"/>
  <c r="H453" i="106" a="1"/>
  <c r="H453" i="106" s="1"/>
  <c r="J453" i="106" a="1"/>
  <c r="J453" i="106" s="1"/>
  <c r="K257" i="106" a="1"/>
  <c r="K257" i="106" s="1"/>
  <c r="G289" i="106" a="1"/>
  <c r="G289" i="106" s="1"/>
  <c r="I289" i="106" a="1"/>
  <c r="I289" i="106" s="1"/>
  <c r="E24" i="100" a="1"/>
  <c r="E24" i="100" s="1"/>
  <c r="I31" i="98" a="1"/>
  <c r="I31" i="98" s="1"/>
  <c r="H126" i="98" s="1"/>
  <c r="I126" i="98" s="1"/>
  <c r="K126" i="98" s="1" a="1"/>
  <c r="K126" i="98" s="1"/>
  <c r="I68" i="98" a="1"/>
  <c r="I68" i="98" s="1"/>
  <c r="H166" i="98" s="1"/>
  <c r="I166" i="98" s="1"/>
  <c r="K166" i="98" s="1" a="1"/>
  <c r="K166" i="98" s="1"/>
  <c r="I61" i="98" a="1"/>
  <c r="I61" i="98" s="1"/>
  <c r="H159" i="98" s="1"/>
  <c r="I159" i="98" s="1"/>
  <c r="K159" i="98" s="1" a="1"/>
  <c r="K159" i="98" s="1"/>
  <c r="I80" i="98" a="1"/>
  <c r="I80" i="98" s="1"/>
  <c r="H178" i="98" s="1"/>
  <c r="I178" i="98" s="1"/>
  <c r="K178" i="98" s="1" a="1"/>
  <c r="K178" i="98" s="1"/>
  <c r="I52" i="98" a="1"/>
  <c r="I52" i="98" s="1"/>
  <c r="H147" i="98" s="1"/>
  <c r="I23" i="98" a="1"/>
  <c r="I23" i="98" s="1"/>
  <c r="H118" i="98" s="1"/>
  <c r="I118" i="98" s="1"/>
  <c r="K118" i="98" s="1" a="1"/>
  <c r="K118" i="98" s="1"/>
  <c r="I53" i="98" a="1"/>
  <c r="I53" i="98" s="1"/>
  <c r="H148" i="98" s="1"/>
  <c r="Q40" i="95" a="1"/>
  <c r="Q40" i="95" s="1"/>
  <c r="I36" i="98" a="1"/>
  <c r="I36" i="98" s="1"/>
  <c r="H131" i="98" s="1"/>
  <c r="I25" i="98" a="1"/>
  <c r="I25" i="98" s="1"/>
  <c r="H120" i="98" s="1"/>
  <c r="I120" i="98" s="1"/>
  <c r="K120" i="98" s="1" a="1"/>
  <c r="K120" i="98" s="1"/>
  <c r="I27" i="98" a="1"/>
  <c r="I27" i="98" s="1"/>
  <c r="H122" i="98" s="1"/>
  <c r="I122" i="98" s="1"/>
  <c r="K122" i="98" s="1" a="1"/>
  <c r="K122" i="98" s="1"/>
  <c r="I45" i="98" a="1"/>
  <c r="I45" i="98" s="1"/>
  <c r="H140" i="98" s="1"/>
  <c r="I47" i="98" a="1"/>
  <c r="I47" i="98" s="1"/>
  <c r="H142" i="98" s="1"/>
  <c r="I71" i="98" a="1"/>
  <c r="I71" i="98" s="1"/>
  <c r="H169" i="98" s="1"/>
  <c r="I35" i="98" a="1"/>
  <c r="I35" i="98" s="1"/>
  <c r="H130" i="98" s="1"/>
  <c r="I48" i="98" a="1"/>
  <c r="I48" i="98" s="1"/>
  <c r="H143" i="98" s="1"/>
  <c r="I66" i="98" a="1"/>
  <c r="I66" i="98" s="1"/>
  <c r="H164" i="98" s="1"/>
  <c r="I164" i="98" s="1"/>
  <c r="K164" i="98" s="1" a="1"/>
  <c r="K164" i="98" s="1"/>
  <c r="I30" i="98" a="1"/>
  <c r="I30" i="98" s="1"/>
  <c r="H125" i="98" s="1"/>
  <c r="I125" i="98" s="1"/>
  <c r="K125" i="98" s="1" a="1"/>
  <c r="K125" i="98" s="1"/>
  <c r="I42" i="98" a="1"/>
  <c r="I42" i="98" s="1"/>
  <c r="H137" i="98" s="1"/>
  <c r="I137" i="98" s="1"/>
  <c r="K137" i="98" s="1" a="1"/>
  <c r="K137" i="98" s="1"/>
  <c r="I26" i="98" a="1"/>
  <c r="I26" i="98" s="1"/>
  <c r="H121" i="98" s="1"/>
  <c r="I121" i="98" s="1"/>
  <c r="K121" i="98" s="1" a="1"/>
  <c r="K121" i="98" s="1"/>
  <c r="I73" i="98" a="1"/>
  <c r="I73" i="98" s="1"/>
  <c r="H171" i="98" s="1"/>
  <c r="I44" i="98" a="1"/>
  <c r="I44" i="98" s="1"/>
  <c r="H139" i="98" s="1"/>
  <c r="I92" i="98" a="1"/>
  <c r="I92" i="98" s="1"/>
  <c r="H190" i="98" s="1"/>
  <c r="I28" i="98" a="1"/>
  <c r="I28" i="98" s="1"/>
  <c r="H123" i="98" s="1"/>
  <c r="I123" i="98" s="1"/>
  <c r="K123" i="98" s="1" a="1"/>
  <c r="K123" i="98" s="1"/>
  <c r="I54" i="98" a="1"/>
  <c r="I54" i="98" s="1"/>
  <c r="H149" i="98" s="1"/>
  <c r="I29" i="98" a="1"/>
  <c r="I29" i="98" s="1"/>
  <c r="H124" i="98" s="1"/>
  <c r="I124" i="98" s="1"/>
  <c r="K124" i="98" s="1" a="1"/>
  <c r="K124" i="98" s="1"/>
  <c r="I50" i="98" a="1"/>
  <c r="I50" i="98" s="1"/>
  <c r="H145" i="98" s="1"/>
  <c r="I46" i="98" a="1"/>
  <c r="I46" i="98" s="1"/>
  <c r="H141" i="98" s="1"/>
  <c r="I65" i="98" a="1"/>
  <c r="I65" i="98" s="1"/>
  <c r="H163" i="98" s="1"/>
  <c r="I163" i="98" s="1"/>
  <c r="K163" i="98" s="1" a="1"/>
  <c r="K163" i="98" s="1"/>
  <c r="Q32" i="94" a="1"/>
  <c r="Q32" i="94" s="1"/>
  <c r="I22" i="98" a="1"/>
  <c r="I22" i="98" s="1"/>
  <c r="H117" i="98" s="1"/>
  <c r="I117" i="98" s="1"/>
  <c r="K117" i="98" s="1" a="1"/>
  <c r="K117" i="98" s="1"/>
  <c r="I86" i="98" a="1"/>
  <c r="I86" i="98" s="1"/>
  <c r="H184" i="98" s="1"/>
  <c r="I41" i="98" a="1"/>
  <c r="I41" i="98" s="1"/>
  <c r="H136" i="98" s="1"/>
  <c r="I136" i="98" s="1"/>
  <c r="K136" i="98" s="1" a="1"/>
  <c r="K136" i="98" s="1"/>
  <c r="I37" i="98" a="1"/>
  <c r="I37" i="98" s="1"/>
  <c r="H132" i="98" s="1"/>
  <c r="I132" i="98" s="1"/>
  <c r="K132" i="98" s="1" a="1"/>
  <c r="K132" i="98" s="1"/>
  <c r="I39" i="98" a="1"/>
  <c r="I39" i="98" s="1"/>
  <c r="H134" i="98" s="1"/>
  <c r="I134" i="98" s="1"/>
  <c r="K134" i="98" s="1" a="1"/>
  <c r="K134" i="98" s="1"/>
  <c r="I76" i="98" a="1"/>
  <c r="I76" i="98" s="1"/>
  <c r="H174" i="98" s="1"/>
  <c r="I174" i="98" s="1"/>
  <c r="K174" i="98" s="1" a="1"/>
  <c r="K174" i="98" s="1"/>
  <c r="I38" i="98" a="1"/>
  <c r="I38" i="98" s="1"/>
  <c r="H133" i="98" s="1"/>
  <c r="I133" i="98" s="1"/>
  <c r="K133" i="98" s="1" a="1"/>
  <c r="K133" i="98" s="1"/>
  <c r="I160" i="98"/>
  <c r="K160" i="98" s="1" a="1"/>
  <c r="K160" i="98" s="1"/>
  <c r="I78" i="98" a="1"/>
  <c r="I78" i="98" s="1"/>
  <c r="H176" i="98" s="1"/>
  <c r="I176" i="98" s="1"/>
  <c r="I34" i="98" a="1"/>
  <c r="I34" i="98" s="1"/>
  <c r="H129" i="98" s="1"/>
  <c r="E41" i="90"/>
  <c r="N27" i="95" a="1"/>
  <c r="N27" i="95" s="1"/>
  <c r="P27" i="95" a="1"/>
  <c r="P27" i="95" s="1"/>
  <c r="O27" i="95" a="1"/>
  <c r="O27" i="95" s="1"/>
  <c r="Q27" i="95" a="1"/>
  <c r="Q27" i="95" s="1"/>
  <c r="P30" i="95" a="1"/>
  <c r="P30" i="95" s="1"/>
  <c r="O30" i="95" a="1"/>
  <c r="O30" i="95" s="1"/>
  <c r="N30" i="95" a="1"/>
  <c r="N30" i="95" s="1"/>
  <c r="Q30" i="95" a="1"/>
  <c r="Q30" i="95" s="1"/>
  <c r="P37" i="95" a="1"/>
  <c r="P37" i="95" s="1"/>
  <c r="O37" i="95" a="1"/>
  <c r="O37" i="95" s="1"/>
  <c r="N37" i="95" a="1"/>
  <c r="N37" i="95" s="1"/>
  <c r="Q37" i="95" a="1"/>
  <c r="Q37" i="95" s="1"/>
  <c r="Q29" i="94" a="1"/>
  <c r="Q29" i="94" s="1"/>
  <c r="P32" i="95" a="1"/>
  <c r="P32" i="95" s="1"/>
  <c r="P33" i="95" a="1"/>
  <c r="P33" i="95" s="1"/>
  <c r="O33" i="95" a="1"/>
  <c r="O33" i="95" s="1"/>
  <c r="N33" i="95" a="1"/>
  <c r="N33" i="95" s="1"/>
  <c r="P35" i="95" a="1"/>
  <c r="P35" i="95" s="1"/>
  <c r="O35" i="95" a="1"/>
  <c r="O35" i="95" s="1"/>
  <c r="N35" i="95" a="1"/>
  <c r="N35" i="95" s="1"/>
  <c r="P31" i="95" a="1"/>
  <c r="P31" i="95" s="1"/>
  <c r="O31" i="95" a="1"/>
  <c r="O31" i="95" s="1"/>
  <c r="N31" i="95" a="1"/>
  <c r="N31" i="95" s="1"/>
  <c r="F143" i="87" a="1"/>
  <c r="F143" i="87" s="1"/>
  <c r="P25" i="95" a="1"/>
  <c r="P25" i="95" s="1"/>
  <c r="O25" i="95" a="1"/>
  <c r="O25" i="95" s="1"/>
  <c r="N25" i="95" a="1"/>
  <c r="N25" i="95" s="1"/>
  <c r="N26" i="95" a="1"/>
  <c r="N26" i="95" s="1"/>
  <c r="Q35" i="95" a="1"/>
  <c r="Q35" i="95" s="1"/>
  <c r="P40" i="95" a="1"/>
  <c r="P40" i="95" s="1"/>
  <c r="O40" i="95" a="1"/>
  <c r="O40" i="95" s="1"/>
  <c r="N40" i="95" a="1"/>
  <c r="N40" i="95" s="1"/>
  <c r="Q31" i="95" a="1"/>
  <c r="Q31" i="95" s="1"/>
  <c r="F137" i="87" a="1"/>
  <c r="F137" i="87" s="1"/>
  <c r="P28" i="95" a="1"/>
  <c r="P28" i="95" s="1"/>
  <c r="P39" i="95" a="1"/>
  <c r="P39" i="95" s="1"/>
  <c r="O39" i="95" a="1"/>
  <c r="O39" i="95" s="1"/>
  <c r="N39" i="95" a="1"/>
  <c r="N39" i="95" s="1"/>
  <c r="Q33" i="95" a="1"/>
  <c r="Q33" i="95" s="1"/>
  <c r="Q25" i="95" a="1"/>
  <c r="Q25" i="95" s="1"/>
  <c r="P38" i="95" a="1"/>
  <c r="P38" i="95" s="1"/>
  <c r="O38" i="95" a="1"/>
  <c r="O38" i="95" s="1"/>
  <c r="N38" i="95" a="1"/>
  <c r="N38" i="95" s="1"/>
  <c r="Q32" i="95" a="1"/>
  <c r="Q32" i="95" s="1"/>
  <c r="Q39" i="95" a="1"/>
  <c r="Q39" i="95" s="1"/>
  <c r="N34" i="95" a="1"/>
  <c r="N34" i="95" s="1"/>
  <c r="P34" i="95" a="1"/>
  <c r="P34" i="95" s="1"/>
  <c r="O34" i="95" a="1"/>
  <c r="O34" i="95" s="1"/>
  <c r="N27" i="94" a="1"/>
  <c r="N27" i="94" s="1"/>
  <c r="Q27" i="94" a="1"/>
  <c r="Q27" i="94" s="1"/>
  <c r="P27" i="94" a="1"/>
  <c r="P27" i="94" s="1"/>
  <c r="O27" i="94" a="1"/>
  <c r="O27" i="94" s="1"/>
  <c r="Q26" i="94" a="1"/>
  <c r="Q26" i="94" s="1"/>
  <c r="P26" i="94" a="1"/>
  <c r="P26" i="94" s="1"/>
  <c r="O26" i="94" a="1"/>
  <c r="O26" i="94" s="1"/>
  <c r="N26" i="94" a="1"/>
  <c r="N26" i="94" s="1"/>
  <c r="Q38" i="94" a="1"/>
  <c r="Q38" i="94" s="1"/>
  <c r="P38" i="94" a="1"/>
  <c r="P38" i="94" s="1"/>
  <c r="O38" i="94" a="1"/>
  <c r="O38" i="94" s="1"/>
  <c r="N38" i="94" a="1"/>
  <c r="N38" i="94" s="1"/>
  <c r="P35" i="94" a="1"/>
  <c r="P35" i="94" s="1"/>
  <c r="O37" i="94" a="1"/>
  <c r="O37" i="94" s="1"/>
  <c r="N37" i="94" a="1"/>
  <c r="N37" i="94" s="1"/>
  <c r="Q37" i="94" a="1"/>
  <c r="Q37" i="94" s="1"/>
  <c r="P37" i="94" a="1"/>
  <c r="P37" i="94" s="1"/>
  <c r="N34" i="94" a="1"/>
  <c r="N34" i="94" s="1"/>
  <c r="P31" i="94" a="1"/>
  <c r="P31" i="94" s="1"/>
  <c r="O31" i="94" a="1"/>
  <c r="O31" i="94" s="1"/>
  <c r="N31" i="94" a="1"/>
  <c r="N31" i="94" s="1"/>
  <c r="P33" i="94" a="1"/>
  <c r="P33" i="94" s="1"/>
  <c r="E51" i="94" s="1"/>
  <c r="O33" i="94" a="1"/>
  <c r="O33" i="94" s="1"/>
  <c r="E50" i="94" s="1"/>
  <c r="N33" i="94" a="1"/>
  <c r="N33" i="94" s="1"/>
  <c r="E49" i="94" s="1"/>
  <c r="Q33" i="94" a="1"/>
  <c r="Q33" i="94" s="1"/>
  <c r="E52" i="94" s="1"/>
  <c r="O32" i="94" a="1"/>
  <c r="O32" i="94" s="1"/>
  <c r="N32" i="94" a="1"/>
  <c r="N32" i="94" s="1"/>
  <c r="P32" i="94" a="1"/>
  <c r="P32" i="94" s="1"/>
  <c r="Q31" i="94" a="1"/>
  <c r="Q31" i="94" s="1"/>
  <c r="O25" i="94" a="1"/>
  <c r="O25" i="94" s="1"/>
  <c r="Q35" i="94" a="1"/>
  <c r="Q35" i="94" s="1"/>
  <c r="P29" i="94" a="1"/>
  <c r="P29" i="94" s="1"/>
  <c r="O29" i="94" a="1"/>
  <c r="O29" i="94" s="1"/>
  <c r="N29" i="94" a="1"/>
  <c r="N29" i="94" s="1"/>
  <c r="N36" i="94" a="1"/>
  <c r="N36" i="94" s="1"/>
  <c r="Q36" i="94" a="1"/>
  <c r="Q36" i="94" s="1"/>
  <c r="P36" i="94" a="1"/>
  <c r="P36" i="94" s="1"/>
  <c r="O36" i="94" a="1"/>
  <c r="O36" i="94" s="1"/>
  <c r="E56" i="94" s="1"/>
  <c r="P28" i="94" a="1"/>
  <c r="P28" i="94" s="1"/>
  <c r="O28" i="94" a="1"/>
  <c r="O28" i="94" s="1"/>
  <c r="N28" i="94" a="1"/>
  <c r="N28" i="94" s="1"/>
  <c r="Q28" i="94" a="1"/>
  <c r="Q28" i="94" s="1"/>
  <c r="P30" i="94" a="1"/>
  <c r="P30" i="94" s="1"/>
  <c r="O30" i="94" a="1"/>
  <c r="O30" i="94" s="1"/>
  <c r="N30" i="94" a="1"/>
  <c r="N30" i="94" s="1"/>
  <c r="N35" i="94" a="1"/>
  <c r="N35" i="94" s="1"/>
  <c r="Q30" i="94" a="1"/>
  <c r="Q30" i="94" s="1"/>
  <c r="F142" i="87" a="1"/>
  <c r="F142" i="87" s="1"/>
  <c r="F138" i="87" a="1"/>
  <c r="F138" i="87" s="1"/>
  <c r="F74" i="88" a="1"/>
  <c r="F74" i="88" s="1"/>
  <c r="E50" i="90"/>
  <c r="G22" i="84" a="1"/>
  <c r="G22" i="84" s="1"/>
  <c r="E61" i="84" s="1" a="1"/>
  <c r="E61" i="84" s="1"/>
  <c r="F141" i="87" a="1"/>
  <c r="F141" i="87" s="1"/>
  <c r="F72" i="88" a="1"/>
  <c r="F72" i="88" s="1"/>
  <c r="F135" i="87" a="1"/>
  <c r="F135" i="87" s="1"/>
  <c r="F69" i="88" a="1"/>
  <c r="F69" i="88" s="1"/>
  <c r="F73" i="88" a="1"/>
  <c r="F73" i="88" s="1"/>
  <c r="F71" i="88" a="1"/>
  <c r="F71" i="88" s="1"/>
  <c r="F139" i="87" a="1"/>
  <c r="F139" i="87" s="1"/>
  <c r="F140" i="87" a="1"/>
  <c r="F140" i="87" s="1"/>
  <c r="F75" i="88" a="1"/>
  <c r="F75" i="88" s="1"/>
  <c r="F70" i="88" a="1"/>
  <c r="F70" i="88" s="1"/>
  <c r="F68" i="88" a="1"/>
  <c r="F68" i="88" s="1"/>
  <c r="G28" i="83" a="1"/>
  <c r="G28" i="83" s="1"/>
  <c r="G23" i="83" a="1"/>
  <c r="G23" i="83" s="1"/>
  <c r="G31" i="83" a="1"/>
  <c r="G31" i="83" s="1"/>
  <c r="G33" i="83" a="1"/>
  <c r="G33" i="83" s="1"/>
  <c r="G37" i="84" a="1"/>
  <c r="G37" i="84" s="1"/>
  <c r="E76" i="84" s="1" a="1"/>
  <c r="E76" i="84" s="1"/>
  <c r="E31" i="86"/>
  <c r="E12" i="13" s="1" a="1"/>
  <c r="E12" i="13" s="1"/>
  <c r="G28" i="84" a="1"/>
  <c r="G28" i="84" s="1"/>
  <c r="E67" i="84" s="1" a="1"/>
  <c r="E67" i="84" s="1"/>
  <c r="G27" i="84" a="1"/>
  <c r="G27" i="84" s="1"/>
  <c r="E66" i="84" s="1" a="1"/>
  <c r="E66" i="84" s="1"/>
  <c r="G22" i="83" a="1"/>
  <c r="G22" i="83" s="1"/>
  <c r="G29" i="83" a="1"/>
  <c r="G29" i="83" s="1"/>
  <c r="G20" i="83" a="1"/>
  <c r="G20" i="83" s="1"/>
  <c r="N108" i="83"/>
  <c r="E41" i="81"/>
  <c r="E40" i="81" s="1"/>
  <c r="Q14" i="100" s="1"/>
  <c r="N20" i="100" s="1" a="1"/>
  <c r="N20" i="100" s="1"/>
  <c r="R36" i="100" s="1"/>
  <c r="N43" i="100" s="1" a="1"/>
  <c r="N43" i="100" s="1"/>
  <c r="F44" i="80"/>
  <c r="G46" i="80" s="1"/>
  <c r="G47" i="80" s="1"/>
  <c r="F52" i="80"/>
  <c r="F53" i="80" s="1"/>
  <c r="F47" i="80"/>
  <c r="P11" i="83" l="1" a="1"/>
  <c r="P11" i="83" s="1"/>
  <c r="H257" i="106" a="1"/>
  <c r="H257" i="106" s="1"/>
  <c r="I67" i="98" a="1"/>
  <c r="I67" i="98" s="1"/>
  <c r="H165" i="98" s="1"/>
  <c r="I165" i="98" s="1"/>
  <c r="K165" i="98" s="1" a="1"/>
  <c r="K165" i="98" s="1"/>
  <c r="U236" i="106"/>
  <c r="W236" i="106" s="1" a="1"/>
  <c r="W236" i="106" s="1"/>
  <c r="W244" i="106" a="1"/>
  <c r="W244" i="106" s="1"/>
  <c r="W237" i="106" a="1"/>
  <c r="W237" i="106" s="1"/>
  <c r="W239" i="106" a="1"/>
  <c r="W239" i="106" s="1"/>
  <c r="W240" i="106" a="1"/>
  <c r="W240" i="106" s="1"/>
  <c r="W243" i="106" a="1"/>
  <c r="W243" i="106" s="1"/>
  <c r="K243" i="106" s="1" a="1"/>
  <c r="K243" i="106" s="1"/>
  <c r="W242" i="106" a="1"/>
  <c r="W242" i="106" s="1"/>
  <c r="H242" i="106" s="1" a="1"/>
  <c r="H242" i="106" s="1"/>
  <c r="W238" i="106" a="1"/>
  <c r="W238" i="106" s="1"/>
  <c r="H238" i="106" s="1" a="1"/>
  <c r="H238" i="106" s="1"/>
  <c r="W245" i="106" a="1"/>
  <c r="W245" i="106" s="1"/>
  <c r="W241" i="106" a="1"/>
  <c r="W241" i="106" s="1"/>
  <c r="I565" i="106"/>
  <c r="E570" i="106" s="1" a="1"/>
  <c r="E570" i="106" s="1"/>
  <c r="J34" i="91"/>
  <c r="N28" i="95" a="1"/>
  <c r="N28" i="95" s="1"/>
  <c r="I75" i="98" a="1"/>
  <c r="I75" i="98" s="1"/>
  <c r="H173" i="98" s="1"/>
  <c r="I173" i="98" s="1"/>
  <c r="K173" i="98" s="1" a="1"/>
  <c r="K173" i="98" s="1"/>
  <c r="E91" i="106"/>
  <c r="O28" i="95" a="1"/>
  <c r="O28" i="95" s="1"/>
  <c r="K176" i="98" a="1"/>
  <c r="K176" i="98" s="1"/>
  <c r="I83" i="98" a="1"/>
  <c r="I83" i="98" s="1"/>
  <c r="H181" i="98" s="1"/>
  <c r="AG236" i="106"/>
  <c r="AI236" i="106" s="1" a="1"/>
  <c r="AI236" i="106" s="1"/>
  <c r="AI239" i="106" a="1"/>
  <c r="AI239" i="106" s="1"/>
  <c r="K239" i="106" s="1" a="1"/>
  <c r="K239" i="106" s="1"/>
  <c r="AI241" i="106" a="1"/>
  <c r="AI241" i="106" s="1"/>
  <c r="AI243" i="106" a="1"/>
  <c r="AI243" i="106" s="1"/>
  <c r="AI242" i="106" a="1"/>
  <c r="AI242" i="106" s="1"/>
  <c r="AI238" i="106" a="1"/>
  <c r="AI238" i="106" s="1"/>
  <c r="AI245" i="106" a="1"/>
  <c r="AI245" i="106" s="1"/>
  <c r="AI237" i="106" a="1"/>
  <c r="AI237" i="106" s="1"/>
  <c r="AI244" i="106" a="1"/>
  <c r="AI244" i="106" s="1"/>
  <c r="AI240" i="106" a="1"/>
  <c r="AI240" i="106" s="1"/>
  <c r="Y236" i="106"/>
  <c r="AA236" i="106" s="1" a="1"/>
  <c r="AA236" i="106" s="1"/>
  <c r="AA244" i="106" a="1"/>
  <c r="AA244" i="106" s="1"/>
  <c r="AA237" i="106" a="1"/>
  <c r="AA237" i="106" s="1"/>
  <c r="AA239" i="106" a="1"/>
  <c r="AA239" i="106" s="1"/>
  <c r="AA241" i="106" a="1"/>
  <c r="AA241" i="106" s="1"/>
  <c r="AA243" i="106" a="1"/>
  <c r="AA243" i="106" s="1"/>
  <c r="AA242" i="106" a="1"/>
  <c r="AA242" i="106" s="1"/>
  <c r="AA238" i="106" a="1"/>
  <c r="AA238" i="106" s="1"/>
  <c r="AA245" i="106" a="1"/>
  <c r="AA245" i="106" s="1"/>
  <c r="AA240" i="106" a="1"/>
  <c r="AA240" i="106" s="1"/>
  <c r="I72" i="98" a="1"/>
  <c r="I72" i="98" s="1"/>
  <c r="H170" i="98" s="1"/>
  <c r="I168" i="98" s="1"/>
  <c r="K168" i="98" s="1" a="1"/>
  <c r="K168" i="98" s="1"/>
  <c r="O11" i="83" a="1"/>
  <c r="Q236" i="106"/>
  <c r="S236" i="106" s="1" a="1"/>
  <c r="S236" i="106" s="1"/>
  <c r="F236" i="106" s="1" a="1"/>
  <c r="F236" i="106" s="1"/>
  <c r="S242" i="106" a="1"/>
  <c r="S242" i="106" s="1"/>
  <c r="S244" i="106" a="1"/>
  <c r="S244" i="106" s="1"/>
  <c r="S237" i="106" a="1"/>
  <c r="S237" i="106" s="1"/>
  <c r="S239" i="106" a="1"/>
  <c r="S239" i="106" s="1"/>
  <c r="S240" i="106" a="1"/>
  <c r="S240" i="106" s="1"/>
  <c r="F240" i="106" s="1" a="1"/>
  <c r="F240" i="106" s="1"/>
  <c r="S243" i="106" a="1"/>
  <c r="S243" i="106" s="1"/>
  <c r="S238" i="106" a="1"/>
  <c r="S238" i="106" s="1"/>
  <c r="F238" i="106" s="1" a="1"/>
  <c r="F238" i="106" s="1"/>
  <c r="G238" i="106" s="1" a="1"/>
  <c r="G238" i="106" s="1"/>
  <c r="S245" i="106" a="1"/>
  <c r="S245" i="106" s="1"/>
  <c r="F245" i="106" s="1" a="1"/>
  <c r="F245" i="106" s="1"/>
  <c r="G245" i="106" s="1" a="1"/>
  <c r="G245" i="106" s="1"/>
  <c r="S241" i="106" a="1"/>
  <c r="S241" i="106" s="1"/>
  <c r="F241" i="106" s="1" a="1"/>
  <c r="F241" i="106" s="1"/>
  <c r="G241" i="106" s="1" a="1"/>
  <c r="G241" i="106" s="1"/>
  <c r="P29" i="95" a="1"/>
  <c r="P29" i="95" s="1"/>
  <c r="E53" i="106"/>
  <c r="K260" i="106" a="1"/>
  <c r="K260" i="106" s="1"/>
  <c r="F260" i="106" a="1"/>
  <c r="F260" i="106" s="1"/>
  <c r="G260" i="106" s="1" a="1"/>
  <c r="G260" i="106" s="1"/>
  <c r="I64" i="98" a="1"/>
  <c r="I64" i="98" s="1"/>
  <c r="H162" i="98" s="1"/>
  <c r="I162" i="98" s="1"/>
  <c r="K162" i="98" s="1" a="1"/>
  <c r="K162" i="98" s="1"/>
  <c r="AK236" i="106"/>
  <c r="AM236" i="106" s="1" a="1"/>
  <c r="AM236" i="106" s="1"/>
  <c r="AM241" i="106" a="1"/>
  <c r="AM241" i="106" s="1"/>
  <c r="AM243" i="106" a="1"/>
  <c r="AM243" i="106" s="1"/>
  <c r="AM239" i="106" a="1"/>
  <c r="AM239" i="106" s="1"/>
  <c r="AM242" i="106" a="1"/>
  <c r="AM242" i="106" s="1"/>
  <c r="AM238" i="106" a="1"/>
  <c r="AM238" i="106" s="1"/>
  <c r="AM245" i="106" a="1"/>
  <c r="AM245" i="106" s="1"/>
  <c r="AM237" i="106" a="1"/>
  <c r="AM237" i="106" s="1"/>
  <c r="AM244" i="106" a="1"/>
  <c r="AM244" i="106" s="1"/>
  <c r="K244" i="106" s="1" a="1"/>
  <c r="K244" i="106" s="1"/>
  <c r="AM240" i="106" a="1"/>
  <c r="AM240" i="106" s="1"/>
  <c r="I51" i="98" a="1"/>
  <c r="I51" i="98" s="1"/>
  <c r="H146" i="98" s="1"/>
  <c r="I144" i="98" s="1"/>
  <c r="K144" i="98" s="1" a="1"/>
  <c r="K144" i="98" s="1"/>
  <c r="E30" i="84" a="1"/>
  <c r="E30" i="84" s="1"/>
  <c r="G30" i="84" s="1" a="1"/>
  <c r="G30" i="84" s="1"/>
  <c r="E69" i="84" s="1" a="1"/>
  <c r="E69" i="84" s="1"/>
  <c r="I69" i="98" a="1"/>
  <c r="I69" i="98" s="1"/>
  <c r="H167" i="98" s="1"/>
  <c r="I167" i="98" s="1"/>
  <c r="K167" i="98" s="1" a="1"/>
  <c r="K167" i="98" s="1"/>
  <c r="I90" i="98" a="1"/>
  <c r="I90" i="98" s="1"/>
  <c r="H188" i="98" s="1"/>
  <c r="I77" i="98" a="1"/>
  <c r="I77" i="98" s="1"/>
  <c r="H175" i="98" s="1"/>
  <c r="I175" i="98" s="1"/>
  <c r="K175" i="98" s="1" a="1"/>
  <c r="K175" i="98" s="1"/>
  <c r="Q29" i="95" a="1"/>
  <c r="Q29" i="95" s="1"/>
  <c r="AC236" i="106"/>
  <c r="AE236" i="106" s="1" a="1"/>
  <c r="AE236" i="106" s="1"/>
  <c r="AE239" i="106" a="1"/>
  <c r="AE239" i="106" s="1"/>
  <c r="AE241" i="106" a="1"/>
  <c r="AE241" i="106" s="1"/>
  <c r="AE242" i="106" a="1"/>
  <c r="AE242" i="106" s="1"/>
  <c r="AE238" i="106" a="1"/>
  <c r="AE238" i="106" s="1"/>
  <c r="AE245" i="106" a="1"/>
  <c r="AE245" i="106" s="1"/>
  <c r="AE237" i="106" a="1"/>
  <c r="AE237" i="106" s="1"/>
  <c r="K237" i="106" s="1" a="1"/>
  <c r="K237" i="106" s="1"/>
  <c r="AE244" i="106" a="1"/>
  <c r="AE244" i="106" s="1"/>
  <c r="AE240" i="106" a="1"/>
  <c r="AE240" i="106" s="1"/>
  <c r="AE243" i="106" a="1"/>
  <c r="AE243" i="106" s="1"/>
  <c r="I566" i="106"/>
  <c r="J35" i="91"/>
  <c r="O29" i="95" a="1"/>
  <c r="O29" i="95" s="1"/>
  <c r="O26" i="95" a="1"/>
  <c r="O26" i="95" s="1"/>
  <c r="N32" i="95" a="1"/>
  <c r="N32" i="95" s="1"/>
  <c r="I85" i="98" a="1"/>
  <c r="I85" i="98" s="1"/>
  <c r="H183" i="98" s="1"/>
  <c r="G21" i="98" a="1"/>
  <c r="G21" i="98" s="1"/>
  <c r="I21" i="98" s="1" a="1"/>
  <c r="I21" i="98" s="1"/>
  <c r="H116" i="98" s="1"/>
  <c r="G157" i="98" a="1"/>
  <c r="G157" i="98" s="1"/>
  <c r="I157" i="98" s="1"/>
  <c r="K157" i="98" s="1" a="1"/>
  <c r="K157" i="98" s="1"/>
  <c r="G116" i="98" a="1"/>
  <c r="G116" i="98" s="1"/>
  <c r="I116" i="98" s="1"/>
  <c r="K116" i="98" s="1" a="1"/>
  <c r="K116" i="98" s="1"/>
  <c r="I60" i="98" a="1"/>
  <c r="I60" i="98" s="1"/>
  <c r="H158" i="98" s="1"/>
  <c r="I158" i="98" s="1"/>
  <c r="K158" i="98" s="1" a="1"/>
  <c r="K158" i="98" s="1"/>
  <c r="E75" i="83" a="1"/>
  <c r="E75" i="83" s="1"/>
  <c r="E38" i="88"/>
  <c r="F38" i="88" s="1" a="1"/>
  <c r="F38" i="88" s="1"/>
  <c r="E34" i="87"/>
  <c r="H34" i="87" s="1" a="1"/>
  <c r="H34" i="87" s="1"/>
  <c r="E74" i="87" s="1"/>
  <c r="F74" i="87" s="1" a="1"/>
  <c r="F74" i="87" s="1"/>
  <c r="E65" i="83" a="1"/>
  <c r="E65" i="83" s="1"/>
  <c r="E24" i="87"/>
  <c r="H24" i="87" s="1" a="1"/>
  <c r="H24" i="87" s="1"/>
  <c r="E64" i="87" s="1"/>
  <c r="F64" i="87" s="1" a="1"/>
  <c r="F64" i="87" s="1"/>
  <c r="E28" i="88"/>
  <c r="F28" i="88" s="1" a="1"/>
  <c r="F28" i="88" s="1"/>
  <c r="E78" i="83" a="1"/>
  <c r="E78" i="83" s="1"/>
  <c r="E41" i="88"/>
  <c r="F41" i="88" s="1" a="1"/>
  <c r="F41" i="88" s="1"/>
  <c r="E37" i="87"/>
  <c r="H37" i="87" s="1" a="1"/>
  <c r="H37" i="87" s="1"/>
  <c r="E77" i="87" s="1"/>
  <c r="F77" i="87" s="1" a="1"/>
  <c r="F77" i="87" s="1"/>
  <c r="E66" i="83" a="1"/>
  <c r="E66" i="83" s="1"/>
  <c r="E25" i="87"/>
  <c r="H25" i="87" s="1" a="1"/>
  <c r="H25" i="87" s="1"/>
  <c r="E65" i="87" s="1"/>
  <c r="F65" i="87" s="1" a="1"/>
  <c r="F65" i="87" s="1"/>
  <c r="E29" i="88"/>
  <c r="F29" i="88" s="1" a="1"/>
  <c r="F29" i="88" s="1"/>
  <c r="E73" i="83" a="1"/>
  <c r="E73" i="83" s="1"/>
  <c r="E36" i="88"/>
  <c r="F36" i="88" s="1" a="1"/>
  <c r="F36" i="88" s="1"/>
  <c r="E32" i="87"/>
  <c r="H32" i="87" s="1" a="1"/>
  <c r="H32" i="87" s="1"/>
  <c r="E72" i="87" s="1"/>
  <c r="F72" i="87" s="1" a="1"/>
  <c r="F72" i="87" s="1"/>
  <c r="E67" i="83" a="1"/>
  <c r="E67" i="83" s="1"/>
  <c r="E26" i="87"/>
  <c r="H26" i="87" s="1" a="1"/>
  <c r="H26" i="87" s="1"/>
  <c r="E66" i="87" s="1"/>
  <c r="F66" i="87" s="1" a="1"/>
  <c r="F66" i="87" s="1"/>
  <c r="E30" i="88"/>
  <c r="F30" i="88" s="1" a="1"/>
  <c r="F30" i="88" s="1"/>
  <c r="E77" i="83" a="1"/>
  <c r="E77" i="83" s="1"/>
  <c r="E40" i="88"/>
  <c r="F40" i="88" s="1" a="1"/>
  <c r="F40" i="88" s="1"/>
  <c r="E36" i="87"/>
  <c r="H36" i="87" s="1" a="1"/>
  <c r="H36" i="87" s="1"/>
  <c r="E76" i="87" s="1"/>
  <c r="F76" i="87" s="1" a="1"/>
  <c r="F76" i="87" s="1"/>
  <c r="E62" i="83" a="1"/>
  <c r="E62" i="83" s="1"/>
  <c r="E25" i="88"/>
  <c r="F25" i="88" s="1" a="1"/>
  <c r="F25" i="88" s="1"/>
  <c r="E21" i="87"/>
  <c r="H21" i="87" s="1" a="1"/>
  <c r="H21" i="87" s="1"/>
  <c r="E61" i="87" s="1"/>
  <c r="F61" i="87" s="1" a="1"/>
  <c r="F61" i="87" s="1"/>
  <c r="E76" i="83" a="1"/>
  <c r="E76" i="83" s="1"/>
  <c r="E39" i="88"/>
  <c r="F39" i="88" s="1" a="1"/>
  <c r="F39" i="88" s="1"/>
  <c r="E35" i="87"/>
  <c r="H35" i="87" s="1" a="1"/>
  <c r="H35" i="87" s="1"/>
  <c r="E75" i="87" s="1"/>
  <c r="F75" i="87" s="1" a="1"/>
  <c r="F75" i="87" s="1"/>
  <c r="E236" i="106"/>
  <c r="J244" i="106" a="1"/>
  <c r="J244" i="106" s="1"/>
  <c r="J239" i="106" a="1"/>
  <c r="J239" i="106" s="1"/>
  <c r="J243" i="106" a="1"/>
  <c r="J243" i="106" s="1"/>
  <c r="J242" i="106" a="1"/>
  <c r="J242" i="106" s="1"/>
  <c r="J237" i="106" a="1"/>
  <c r="J237" i="106" s="1"/>
  <c r="J241" i="106" a="1"/>
  <c r="J241" i="106" s="1"/>
  <c r="J240" i="106" a="1"/>
  <c r="J240" i="106" s="1"/>
  <c r="J245" i="106" a="1"/>
  <c r="J245" i="106" s="1"/>
  <c r="J238" i="106" a="1"/>
  <c r="J238" i="106" s="1"/>
  <c r="E63" i="83" a="1"/>
  <c r="E63" i="83" s="1"/>
  <c r="E26" i="88"/>
  <c r="F26" i="88" s="1" a="1"/>
  <c r="F26" i="88" s="1"/>
  <c r="E22" i="87"/>
  <c r="H22" i="87" s="1" a="1"/>
  <c r="H22" i="87" s="1"/>
  <c r="E62" i="87" s="1"/>
  <c r="F62" i="87" s="1" a="1"/>
  <c r="F62" i="87" s="1"/>
  <c r="E30" i="87"/>
  <c r="H30" i="87" s="1" a="1"/>
  <c r="H30" i="87" s="1"/>
  <c r="E70" i="87" s="1"/>
  <c r="F70" i="87" s="1" a="1"/>
  <c r="F70" i="87" s="1"/>
  <c r="E34" i="88"/>
  <c r="F34" i="88" s="1" a="1"/>
  <c r="F34" i="88" s="1"/>
  <c r="E102" i="87"/>
  <c r="F102" i="87" s="1" a="1"/>
  <c r="F102" i="87" s="1"/>
  <c r="E134" i="87" s="1"/>
  <c r="F134" i="87" s="1" a="1"/>
  <c r="F134" i="87" s="1"/>
  <c r="E65" i="88"/>
  <c r="F65" i="88" s="1" a="1"/>
  <c r="F65" i="88" s="1"/>
  <c r="E69" i="83" a="1"/>
  <c r="E69" i="83" s="1"/>
  <c r="E28" i="87"/>
  <c r="H28" i="87" s="1" a="1"/>
  <c r="H28" i="87" s="1"/>
  <c r="E68" i="87" s="1"/>
  <c r="F68" i="87" s="1" a="1"/>
  <c r="F68" i="87" s="1"/>
  <c r="E32" i="88"/>
  <c r="F32" i="88" s="1" a="1"/>
  <c r="F32" i="88" s="1"/>
  <c r="E70" i="83" a="1"/>
  <c r="E70" i="83" s="1"/>
  <c r="E29" i="87"/>
  <c r="H29" i="87" s="1" a="1"/>
  <c r="H29" i="87" s="1"/>
  <c r="E69" i="87" s="1"/>
  <c r="F69" i="87" s="1" a="1"/>
  <c r="F69" i="87" s="1"/>
  <c r="E33" i="88"/>
  <c r="F33" i="88" s="1" a="1"/>
  <c r="F33" i="88" s="1"/>
  <c r="E64" i="83" a="1"/>
  <c r="E64" i="83" s="1"/>
  <c r="E27" i="88"/>
  <c r="F27" i="88" s="1" a="1"/>
  <c r="F27" i="88" s="1"/>
  <c r="E23" i="87"/>
  <c r="H23" i="87" s="1" a="1"/>
  <c r="H23" i="87" s="1"/>
  <c r="E63" i="87" s="1"/>
  <c r="F63" i="87" s="1" a="1"/>
  <c r="F63" i="87" s="1"/>
  <c r="E61" i="83" a="1"/>
  <c r="E61" i="83" s="1"/>
  <c r="E24" i="88"/>
  <c r="F24" i="88" s="1" a="1"/>
  <c r="F24" i="88" s="1"/>
  <c r="E20" i="87"/>
  <c r="H20" i="87" s="1" a="1"/>
  <c r="H20" i="87" s="1"/>
  <c r="E60" i="87" s="1"/>
  <c r="F60" i="87" s="1" a="1"/>
  <c r="F60" i="87" s="1"/>
  <c r="E68" i="83" a="1"/>
  <c r="E68" i="83" s="1"/>
  <c r="E31" i="88"/>
  <c r="F31" i="88" s="1" a="1"/>
  <c r="F31" i="88" s="1"/>
  <c r="E27" i="87"/>
  <c r="H27" i="87" s="1" a="1"/>
  <c r="H27" i="87" s="1"/>
  <c r="E67" i="87" s="1"/>
  <c r="F67" i="87" s="1" a="1"/>
  <c r="F67" i="87" s="1"/>
  <c r="G240" i="106" a="1"/>
  <c r="G240" i="106" s="1"/>
  <c r="E74" i="83" a="1"/>
  <c r="E74" i="83" s="1"/>
  <c r="E37" i="88"/>
  <c r="F37" i="88" s="1" a="1"/>
  <c r="F37" i="88" s="1"/>
  <c r="E33" i="87"/>
  <c r="H33" i="87" s="1" a="1"/>
  <c r="H33" i="87" s="1"/>
  <c r="E73" i="87" s="1"/>
  <c r="F73" i="87" s="1" a="1"/>
  <c r="F73" i="87" s="1"/>
  <c r="E72" i="83" a="1"/>
  <c r="E72" i="83" s="1"/>
  <c r="E35" i="88"/>
  <c r="F35" i="88" s="1" a="1"/>
  <c r="F35" i="88" s="1"/>
  <c r="E31" i="87"/>
  <c r="H31" i="87" s="1" a="1"/>
  <c r="H31" i="87" s="1"/>
  <c r="E71" i="87" s="1"/>
  <c r="F71" i="87" s="1" a="1"/>
  <c r="F71" i="87" s="1"/>
  <c r="H239" i="106" a="1"/>
  <c r="H239" i="106" s="1"/>
  <c r="K242" i="106" a="1"/>
  <c r="K242" i="106" s="1"/>
  <c r="N34" i="83"/>
  <c r="Q21" i="83"/>
  <c r="E71" i="83" a="1"/>
  <c r="E71" i="83" s="1"/>
  <c r="H240" i="106" a="1"/>
  <c r="H240" i="106" s="1"/>
  <c r="E67" i="88"/>
  <c r="F67" i="88" s="1" a="1"/>
  <c r="F67" i="88" s="1"/>
  <c r="E104" i="87"/>
  <c r="F104" i="87" s="1" a="1"/>
  <c r="F104" i="87" s="1"/>
  <c r="E136" i="87" s="1"/>
  <c r="F136" i="87" s="1" a="1"/>
  <c r="F136" i="87" s="1"/>
  <c r="E32" i="85"/>
  <c r="K44" i="85" s="1"/>
  <c r="E50" i="85" s="1" a="1"/>
  <c r="E50" i="85" s="1"/>
  <c r="I36" i="100"/>
  <c r="E42" i="100" s="1" a="1"/>
  <c r="E42" i="100" s="1"/>
  <c r="E15" i="13" s="1" a="1"/>
  <c r="E15" i="13" s="1"/>
  <c r="H15" i="13" s="1" a="1"/>
  <c r="H15" i="13" s="1"/>
  <c r="E24" i="101"/>
  <c r="I24" i="101" s="1" a="1"/>
  <c r="I24" i="101" s="1"/>
  <c r="D45" i="101" s="1"/>
  <c r="E45" i="101" s="1" a="1"/>
  <c r="E45" i="101" s="1"/>
  <c r="E48" i="101" s="1"/>
  <c r="R55" i="100"/>
  <c r="N61" i="100" s="1" a="1"/>
  <c r="N61" i="100" s="1"/>
  <c r="F15" i="13" s="1" a="1"/>
  <c r="F15" i="13" s="1"/>
  <c r="I15" i="13" s="1" a="1"/>
  <c r="I15" i="13" s="1"/>
  <c r="O24" i="101"/>
  <c r="S24" i="101" s="1" a="1"/>
  <c r="S24" i="101" s="1"/>
  <c r="N45" i="101" s="1"/>
  <c r="O45" i="101" s="1" a="1"/>
  <c r="O45" i="101" s="1"/>
  <c r="O48" i="101" s="1"/>
  <c r="Q50" i="101" s="1"/>
  <c r="O53" i="101" s="1" a="1"/>
  <c r="O53" i="101" s="1"/>
  <c r="E657" i="106"/>
  <c r="E456" i="106"/>
  <c r="E42" i="13" s="1" a="1"/>
  <c r="E42" i="13" s="1"/>
  <c r="H42" i="13" s="1"/>
  <c r="I126" i="106" a="1"/>
  <c r="I126" i="106" s="1"/>
  <c r="G129" i="106" a="1"/>
  <c r="G129" i="106" s="1"/>
  <c r="E94" i="106"/>
  <c r="F31" i="13"/>
  <c r="I31" i="13" s="1"/>
  <c r="I32" i="13" s="1"/>
  <c r="H31" i="13"/>
  <c r="H32" i="13" s="1"/>
  <c r="H23" i="13"/>
  <c r="F23" i="13"/>
  <c r="I23" i="13" s="1"/>
  <c r="E474" i="106"/>
  <c r="G125" i="106" a="1"/>
  <c r="G125" i="106" s="1"/>
  <c r="I128" i="106" a="1"/>
  <c r="I128" i="106" s="1"/>
  <c r="E393" i="106"/>
  <c r="E34" i="106"/>
  <c r="E93" i="106" s="1"/>
  <c r="E457" i="106"/>
  <c r="F42" i="13" s="1" a="1"/>
  <c r="F42" i="13" s="1"/>
  <c r="I42" i="13" s="1"/>
  <c r="E475" i="106"/>
  <c r="G124" i="106" a="1"/>
  <c r="G124" i="106" s="1"/>
  <c r="H252" i="106" a="1"/>
  <c r="H252" i="106" s="1"/>
  <c r="J320" i="106" a="1"/>
  <c r="J320" i="106" s="1"/>
  <c r="E332" i="106" s="1"/>
  <c r="F40" i="13" s="1" a="1"/>
  <c r="F40" i="13" s="1"/>
  <c r="I40" i="13" s="1"/>
  <c r="I320" i="106" a="1"/>
  <c r="I320" i="106" s="1"/>
  <c r="E331" i="106" s="1"/>
  <c r="E40" i="13" s="1" a="1"/>
  <c r="E40" i="13" s="1"/>
  <c r="H40" i="13" s="1"/>
  <c r="G285" i="106" a="1"/>
  <c r="G285" i="106" s="1"/>
  <c r="E298" i="106" s="1"/>
  <c r="E39" i="13" s="1" a="1"/>
  <c r="E39" i="13" s="1"/>
  <c r="H39" i="13" s="1"/>
  <c r="I285" i="106" a="1"/>
  <c r="I285" i="106" s="1"/>
  <c r="E299" i="106" s="1"/>
  <c r="F39" i="13" s="1" a="1"/>
  <c r="F39" i="13" s="1"/>
  <c r="I39" i="13" s="1"/>
  <c r="F252" i="106" a="1"/>
  <c r="F252" i="106" s="1"/>
  <c r="G252" i="106" s="1" a="1"/>
  <c r="G252" i="106" s="1"/>
  <c r="E394" i="106"/>
  <c r="I185" i="98"/>
  <c r="K185" i="98" s="1" a="1"/>
  <c r="K185" i="98" s="1"/>
  <c r="G19" i="83" a="1"/>
  <c r="G19" i="83" s="1"/>
  <c r="G19" i="84" a="1"/>
  <c r="G19" i="84" s="1"/>
  <c r="E58" i="84" s="1" a="1"/>
  <c r="E58" i="84" s="1"/>
  <c r="I179" i="98"/>
  <c r="K179" i="98" s="1" a="1"/>
  <c r="K179" i="98" s="1"/>
  <c r="I138" i="98"/>
  <c r="K138" i="98" s="1" a="1"/>
  <c r="K138" i="98" s="1"/>
  <c r="I127" i="98"/>
  <c r="K127" i="98" s="1" a="1"/>
  <c r="K127" i="98" s="1"/>
  <c r="E45" i="94"/>
  <c r="E44" i="95"/>
  <c r="E58" i="94"/>
  <c r="E46" i="95"/>
  <c r="E61" i="94"/>
  <c r="E45" i="95"/>
  <c r="E57" i="94"/>
  <c r="E51" i="95"/>
  <c r="E52" i="95"/>
  <c r="E43" i="94"/>
  <c r="E46" i="94"/>
  <c r="E49" i="95"/>
  <c r="E43" i="95"/>
  <c r="E50" i="95"/>
  <c r="E44" i="94"/>
  <c r="E55" i="94"/>
  <c r="E63" i="94"/>
  <c r="E64" i="94"/>
  <c r="E62" i="94"/>
  <c r="H12" i="13"/>
  <c r="F12" i="13"/>
  <c r="I12" i="13" s="1"/>
  <c r="E43" i="81"/>
  <c r="F45" i="80"/>
  <c r="G44" i="80"/>
  <c r="G45" i="80" s="1"/>
  <c r="E78" i="84" l="1"/>
  <c r="E10" i="13" s="1" a="1"/>
  <c r="E10" i="13" s="1"/>
  <c r="F10" i="13" s="1"/>
  <c r="I10" i="13" s="1"/>
  <c r="H241" i="106" a="1"/>
  <c r="H241" i="106" s="1"/>
  <c r="K238" i="106" a="1"/>
  <c r="K238" i="106" s="1"/>
  <c r="K245" i="106" a="1"/>
  <c r="K245" i="106" s="1"/>
  <c r="K241" i="106" a="1"/>
  <c r="K241" i="106" s="1"/>
  <c r="H244" i="106" a="1"/>
  <c r="H244" i="106" s="1"/>
  <c r="K240" i="106" a="1"/>
  <c r="K240" i="106" s="1"/>
  <c r="E77" i="88"/>
  <c r="J90" i="88" s="1"/>
  <c r="H243" i="106" a="1"/>
  <c r="H243" i="106" s="1"/>
  <c r="F243" i="106" a="1"/>
  <c r="F243" i="106" s="1"/>
  <c r="G243" i="106" s="1" a="1"/>
  <c r="G243" i="106" s="1"/>
  <c r="F242" i="106" a="1"/>
  <c r="F242" i="106" s="1"/>
  <c r="G242" i="106" s="1" a="1"/>
  <c r="G242" i="106" s="1"/>
  <c r="F239" i="106" a="1"/>
  <c r="F239" i="106" s="1"/>
  <c r="G239" i="106" s="1" a="1"/>
  <c r="G239" i="106" s="1"/>
  <c r="F237" i="106" a="1"/>
  <c r="F237" i="106" s="1"/>
  <c r="G237" i="106" s="1" a="1"/>
  <c r="G237" i="106" s="1"/>
  <c r="E146" i="87"/>
  <c r="J585" i="106" s="1"/>
  <c r="H237" i="106" a="1"/>
  <c r="H237" i="106" s="1"/>
  <c r="F244" i="106" a="1"/>
  <c r="F244" i="106" s="1"/>
  <c r="G244" i="106" s="1" a="1"/>
  <c r="G244" i="106" s="1"/>
  <c r="H245" i="106" a="1"/>
  <c r="H245" i="106" s="1"/>
  <c r="O11" i="83"/>
  <c r="Q16" i="83"/>
  <c r="Q15" i="83"/>
  <c r="Q12" i="83"/>
  <c r="Q19" i="83"/>
  <c r="Q20" i="83"/>
  <c r="Q14" i="83"/>
  <c r="Q13" i="83"/>
  <c r="Q17" i="83"/>
  <c r="Q18" i="83"/>
  <c r="E39" i="91" a="1"/>
  <c r="E39" i="91" s="1"/>
  <c r="E24" i="13" s="1" a="1"/>
  <c r="E24" i="13" s="1"/>
  <c r="Q11" i="83"/>
  <c r="J236" i="106" a="1"/>
  <c r="J236" i="106" s="1"/>
  <c r="E264" i="106" s="1"/>
  <c r="H236" i="106" a="1"/>
  <c r="H236" i="106" s="1"/>
  <c r="K236" i="106" a="1"/>
  <c r="K236" i="106" s="1"/>
  <c r="E11" i="13" a="1"/>
  <c r="E11" i="13" s="1"/>
  <c r="G52" i="85"/>
  <c r="E55" i="85" s="1" a="1"/>
  <c r="E55" i="85" s="1"/>
  <c r="E60" i="83" a="1"/>
  <c r="E60" i="83" s="1"/>
  <c r="E80" i="83" s="1"/>
  <c r="E9" i="13" s="1" a="1"/>
  <c r="E9" i="13" s="1"/>
  <c r="H9" i="13" s="1" a="1"/>
  <c r="H9" i="13" s="1"/>
  <c r="E19" i="87"/>
  <c r="H19" i="87" s="1" a="1"/>
  <c r="H19" i="87" s="1"/>
  <c r="E59" i="87" s="1"/>
  <c r="F59" i="87" s="1" a="1"/>
  <c r="F59" i="87" s="1"/>
  <c r="E79" i="87" s="1"/>
  <c r="G81" i="87" s="1"/>
  <c r="E84" i="87" s="1" a="1"/>
  <c r="E84" i="87" s="1"/>
  <c r="E23" i="88"/>
  <c r="F23" i="88" s="1" a="1"/>
  <c r="F23" i="88" s="1"/>
  <c r="E43" i="88" s="1"/>
  <c r="J89" i="88" s="1"/>
  <c r="E94" i="88" s="1" a="1"/>
  <c r="E94" i="88" s="1"/>
  <c r="J586" i="106" s="1"/>
  <c r="G236" i="106" a="1"/>
  <c r="G236" i="106" s="1"/>
  <c r="G44" i="100"/>
  <c r="E47" i="100" s="1" a="1"/>
  <c r="E47" i="100" s="1"/>
  <c r="G50" i="101"/>
  <c r="E53" i="101" s="1" a="1"/>
  <c r="E53" i="101" s="1"/>
  <c r="E16" i="13" a="1"/>
  <c r="E16" i="13" s="1"/>
  <c r="H16" i="13" s="1" a="1"/>
  <c r="H16" i="13" s="1"/>
  <c r="F16" i="13" a="1"/>
  <c r="F16" i="13" s="1"/>
  <c r="I16" i="13" s="1" a="1"/>
  <c r="I16" i="13" s="1"/>
  <c r="P63" i="100"/>
  <c r="N66" i="100" s="1" a="1"/>
  <c r="N66" i="100" s="1"/>
  <c r="E132" i="106"/>
  <c r="E160" i="106" s="1"/>
  <c r="E131" i="106"/>
  <c r="E159" i="106" s="1"/>
  <c r="E58" i="95"/>
  <c r="I531" i="106" s="1"/>
  <c r="E192" i="98"/>
  <c r="E56" i="95"/>
  <c r="E21" i="13" s="1" a="1"/>
  <c r="E21" i="13" s="1"/>
  <c r="F21" i="13" s="1"/>
  <c r="I21" i="13" s="1" a="1"/>
  <c r="I21" i="13" s="1"/>
  <c r="E151" i="98"/>
  <c r="E69" i="94"/>
  <c r="E19" i="13" s="1" a="1"/>
  <c r="E19" i="13" s="1"/>
  <c r="F19" i="13" s="1"/>
  <c r="I19" i="13" s="1" a="1"/>
  <c r="I19" i="13" s="1"/>
  <c r="E67" i="94"/>
  <c r="E17" i="13" s="1" a="1"/>
  <c r="E17" i="13" s="1"/>
  <c r="H17" i="13" s="1"/>
  <c r="E55" i="95"/>
  <c r="E20" i="13" s="1" a="1"/>
  <c r="E20" i="13" s="1"/>
  <c r="H20" i="13" s="1"/>
  <c r="H10" i="13"/>
  <c r="E70" i="94"/>
  <c r="I530" i="106" s="1"/>
  <c r="E57" i="95"/>
  <c r="E22" i="13" s="1" a="1"/>
  <c r="E22" i="13" s="1"/>
  <c r="E68" i="94"/>
  <c r="E18" i="13" s="1" a="1"/>
  <c r="E18" i="13" s="1"/>
  <c r="E263" i="106" l="1"/>
  <c r="E47" i="13" a="1"/>
  <c r="E47" i="13" s="1"/>
  <c r="H47" i="13" s="1"/>
  <c r="E603" i="106"/>
  <c r="E267" i="106"/>
  <c r="F38" i="13" s="1" a="1"/>
  <c r="F38" i="13" s="1"/>
  <c r="I38" i="13" s="1"/>
  <c r="E266" i="106"/>
  <c r="E38" i="13" s="1" a="1"/>
  <c r="E38" i="13" s="1"/>
  <c r="H38" i="13" s="1"/>
  <c r="N33" i="83"/>
  <c r="H24" i="13"/>
  <c r="F24" i="13"/>
  <c r="I24" i="13" s="1"/>
  <c r="E588" i="106" a="1"/>
  <c r="E588" i="106" s="1"/>
  <c r="G590" i="106" s="1"/>
  <c r="E593" i="106" s="1" a="1"/>
  <c r="E593" i="106" s="1"/>
  <c r="G82" i="83"/>
  <c r="E85" i="83" s="1" a="1"/>
  <c r="E85" i="83" s="1"/>
  <c r="H11" i="13" a="1"/>
  <c r="H11" i="13" s="1"/>
  <c r="F11" i="13"/>
  <c r="I11" i="13" s="1" a="1"/>
  <c r="I11" i="13" s="1"/>
  <c r="E533" i="106" a="1"/>
  <c r="E533" i="106" s="1"/>
  <c r="E44" i="13" s="1" a="1"/>
  <c r="E44" i="13" s="1"/>
  <c r="F44" i="13" s="1"/>
  <c r="I44" i="13" s="1"/>
  <c r="H21" i="13" a="1"/>
  <c r="H21" i="13" s="1"/>
  <c r="F17" i="13"/>
  <c r="I17" i="13" s="1"/>
  <c r="H19" i="13" a="1"/>
  <c r="H19" i="13" s="1"/>
  <c r="F20" i="13"/>
  <c r="I20" i="13" s="1"/>
  <c r="F22" i="13"/>
  <c r="I22" i="13" s="1" a="1"/>
  <c r="I22" i="13" s="1"/>
  <c r="H22" i="13" a="1"/>
  <c r="H22" i="13" s="1"/>
  <c r="F18" i="13"/>
  <c r="I18" i="13" s="1" a="1"/>
  <c r="I18" i="13" s="1"/>
  <c r="H18" i="13" a="1"/>
  <c r="H18" i="13" s="1"/>
  <c r="S92" i="83" l="1"/>
  <c r="N35" i="83"/>
  <c r="F47" i="13"/>
  <c r="I47" i="13" s="1"/>
  <c r="H44" i="13"/>
  <c r="H49" i="13" s="1"/>
  <c r="I49" i="13"/>
  <c r="H25" i="13"/>
  <c r="R60" i="83" l="1"/>
  <c r="N63" i="83" s="1" a="1"/>
  <c r="N63" i="83" s="1"/>
  <c r="O106" i="83" s="1"/>
  <c r="R46" i="83"/>
  <c r="N49" i="83" s="1" a="1"/>
  <c r="N49" i="83" s="1"/>
  <c r="O105" i="83" s="1"/>
  <c r="S93" i="83" s="1"/>
  <c r="N110" i="83" s="1" a="1"/>
  <c r="N110" i="83" s="1"/>
  <c r="R76" i="83"/>
  <c r="N79" i="83" s="1" a="1"/>
  <c r="N79" i="83" s="1"/>
  <c r="O107" i="83" s="1"/>
  <c r="E60" i="13"/>
  <c r="E61" i="13" s="1"/>
  <c r="P112" i="83" l="1"/>
  <c r="N115" i="83" s="1" a="1"/>
  <c r="N115" i="83" s="1"/>
  <c r="F9" i="13" a="1"/>
  <c r="F9" i="13" s="1"/>
  <c r="I9" i="13" s="1" a="1"/>
  <c r="I9" i="13" s="1"/>
  <c r="I25" i="13" s="1"/>
  <c r="F60" i="13" s="1"/>
  <c r="F61" i="13" s="1"/>
  <c r="E54" i="72"/>
  <c r="E59" i="72" s="1"/>
  <c r="E36" i="80" s="1"/>
  <c r="F54" i="72"/>
  <c r="F59" i="72" s="1"/>
  <c r="F36" i="80" s="1"/>
  <c r="E78" i="72" l="1"/>
  <c r="E83" i="72" s="1"/>
  <c r="E37" i="80" s="1"/>
  <c r="H45" i="80" s="1"/>
  <c r="F78" i="72"/>
  <c r="F83" i="72" s="1"/>
  <c r="F37" i="80" s="1"/>
  <c r="I45" i="80" s="1"/>
  <c r="H54" i="80"/>
  <c r="H52" i="80"/>
  <c r="H44" i="80"/>
  <c r="H46" i="80"/>
  <c r="I52" i="80"/>
  <c r="I46" i="80"/>
  <c r="I44" i="80"/>
  <c r="I54" i="80"/>
  <c r="H53" i="80" l="1"/>
  <c r="H47" i="80"/>
  <c r="H55" i="80"/>
  <c r="I55" i="80"/>
  <c r="I53" i="80"/>
  <c r="I47"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<sst xmlns="http://schemas.openxmlformats.org/spreadsheetml/2006/main" count="2775" uniqueCount="1030">
  <si>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</si>
  <si>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</si>
  <si>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</si>
  <si>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</si>
  <si>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</si>
  <si>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</si>
  <si>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</si>
  <si>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</si>
  <si>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</si>
  <si>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</si>
  <si>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</si>
  <si>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</si>
  <si>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</si>
  <si>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</si>
  <si>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</si>
  <si>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</si>
  <si>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</si>
  <si>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</si>
  <si>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</si>
  <si>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</si>
  <si>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</si>
  <si>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</si>
  <si>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</si>
  <si>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</si>
  <si>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</si>
  <si>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</si>
  <si>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</si>
  <si>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</si>
  <si>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</si>
  <si>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</si>
  <si>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</si>
  <si>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</si>
  <si>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</si>
  <si>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</si>
  <si>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</si>
  <si>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</si>
  <si>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</si>
  <si>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</si>
  <si>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</si>
  <si>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</si>
  <si>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</si>
  <si>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</si>
  <si>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</si>
  <si>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</si>
  <si>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</si>
  <si>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</si>
  <si>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</si>
  <si>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</si>
  <si>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</si>
  <si>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</si>
  <si>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</si>
  <si>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</si>
  <si>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</si>
  <si>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</si>
  <si>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</si>
  <si>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</si>
  <si>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</si>
  <si>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</si>
  <si>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</si>
  <si>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</si>
  <si>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</si>
  <si>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</si>
  <si>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</si>
  <si>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</si>
  <si>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</si>
  <si>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</si>
  <si>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</si>
  <si>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</si>
  <si>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</si>
  <si>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</si>
  <si>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</si>
  <si>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</si>
  <si>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</si>
  <si>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</si>
  <si>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</si>
  <si>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</si>
  <si>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</si>
  <si>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</si>
  <si>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</si>
  <si>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</si>
  <si>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</si>
  <si>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</si>
  <si>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</si>
  <si>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</si>
  <si>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</si>
  <si>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</si>
  <si>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</si>
  <si>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</si>
  <si>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</si>
  <si>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</si>
  <si>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</si>
  <si>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</si>
  <si>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</si>
  <si>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</si>
  <si>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</si>
  <si>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</si>
  <si>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</si>
  <si>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</si>
  <si>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</si>
  <si>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</si>
  <si>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</si>
  <si>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</si>
  <si>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</si>
  <si>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</si>
  <si>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</si>
  <si>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</si>
  <si>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</si>
  <si>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</si>
  <si>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</si>
  <si>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</si>
  <si>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</si>
  <si>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</si>
  <si>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</si>
  <si>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</si>
  <si>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</si>
  <si>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</si>
  <si>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</si>
  <si>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</si>
  <si>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</si>
  <si>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</si>
  <si>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</si>
  <si>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</si>
  <si>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</si>
  <si>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</si>
  <si>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</si>
  <si>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</si>
  <si>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</si>
  <si>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</si>
  <si>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</si>
  <si>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</si>
  <si>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</si>
  <si>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</si>
  <si>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</si>
  <si>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</si>
  <si>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</si>
  <si>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</si>
  <si>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</si>
  <si>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</si>
  <si>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</si>
  <si>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</si>
  <si>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</si>
  <si>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</si>
  <si>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</si>
  <si>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</si>
  <si>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</si>
  <si>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</si>
  <si>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</si>
  <si>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Percent grain stored and not sold or used</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</si>
  <si>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</si>
  <si>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</si>
  <si>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</si>
  <si>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</si>
  <si>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</si>
  <si>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</si>
  <si>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</si>
  <si>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</si>
  <si>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</si>
  <si>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</si>
  <si>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</si>
  <si>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</si>
  <si>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</si>
  <si>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</si>
  <si>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</si>
  <si>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</si>
  <si>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</si>
  <si>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</si>
  <si>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</si>
  <si>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</si>
  <si>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</si>
  <si>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</si>
  <si>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</si>
  <si>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</si>
  <si>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</si>
  <si>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</si>
  <si>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</si>
  <si>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</si>
  <si>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</si>
  <si>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</si>
  <si>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</si>
  <si>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</si>
  <si>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</si>
  <si>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</si>
  <si>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</si>
  <si>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</si>
  <si>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</si>
  <si>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</si>
  <si>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</si>
  <si>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</si>
  <si>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</si>
  <si>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</si>
  <si>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</si>
  <si>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</si>
  <si>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</si>
  <si>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</si>
  <si>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</si>
  <si>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</si>
  <si>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</si>
  <si>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</si>
  <si>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</si>
  <si>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</si>
  <si>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</si>
  <si>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</si>
  <si>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</si>
  <si>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</si>
  <si>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</si>
  <si>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</si>
  <si>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</si>
  <si>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</si>
  <si>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</si>
  <si>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</si>
  <si>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</si>
  <si>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</si>
  <si>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</si>
  <si>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</si>
  <si>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</si>
  <si>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</si>
  <si>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</si>
  <si>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</si>
  <si>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</si>
  <si>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</si>
  <si>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</si>
  <si>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</si>
  <si>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</si>
  <si>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</si>
  <si>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</si>
  <si>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</si>
  <si>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</si>
  <si>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</si>
  <si>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</si>
  <si>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</si>
  <si>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</si>
  <si>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</si>
  <si>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</si>
  <si>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</si>
  <si>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</si>
  <si>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</si>
  <si>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</si>
  <si>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</si>
  <si>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</si>
  <si>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</si>
  <si>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</si>
  <si>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</si>
  <si>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</si>
  <si>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</si>
  <si>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</si>
  <si>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</si>
  <si>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</si>
  <si>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</si>
  <si>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</si>
  <si>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</si>
  <si>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</si>
  <si>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</si>
  <si>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</si>
  <si>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</si>
  <si>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</si>
  <si>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</si>
  <si>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</si>
  <si>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</si>
  <si>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</si>
  <si>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</si>
  <si>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</si>
  <si>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</si>
  <si>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</si>
  <si>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</si>
  <si>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</si>
  <si>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</si>
  <si>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</si>
  <si>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</si>
  <si>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</si>
  <si>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</si>
  <si>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</si>
  <si>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</si>
  <si>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</si>
  <si>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</si>
  <si>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</si>
  <si>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</si>
  <si>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</si>
  <si>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</si>
  <si>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</si>
  <si>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</si>
  <si>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</si>
  <si>
    <t>Area</t>
  </si>
  <si>
    <t>If multiple paddocks were managed in the same way at the same time, you can enter information for them all together.</t>
  </si>
  <si>
    <t>Yield</t>
  </si>
  <si>
    <t>Residue management</t>
  </si>
  <si>
    <t>Baled residue</t>
  </si>
  <si>
    <t>Percentage of residue that was baled</t>
  </si>
  <si>
    <t>Average weight per bale</t>
  </si>
  <si>
    <t>Number of bales</t>
  </si>
  <si>
    <t>Total residue baled</t>
  </si>
  <si>
    <t>Residue retained on paddocks</t>
  </si>
  <si>
    <t>Cotton</t>
  </si>
  <si>
    <t>Sprinkler irrigation</t>
  </si>
  <si>
    <r>
      <rPr>
        <sz val="10"/>
        <color theme="1" tint="0.34998626667073579"/>
        <rFont val="Arial"/>
        <family val="1"/>
      </rPr>
      <t>←</t>
    </r>
    <r>
      <rPr>
        <i/>
        <sz val="10"/>
        <color theme="1" tint="0.34998626667073579"/>
        <rFont val="Arial"/>
        <family val="1"/>
      </rPr>
      <t xml:space="preserve"> Please select</t>
    </r>
  </si>
  <si>
    <t>Turnout rate</t>
  </si>
  <si>
    <t>Average weight per round module</t>
  </si>
  <si>
    <t>kg / round module</t>
  </si>
  <si>
    <t>round modules</t>
  </si>
  <si>
    <t>Average amount of cottonseed produced per round module</t>
  </si>
  <si>
    <t>lint bales / round module</t>
  </si>
  <si>
    <t>Average weight per lint bale</t>
  </si>
  <si>
    <t>kg / lint bale</t>
  </si>
  <si>
    <t>Total number of round modules</t>
  </si>
  <si>
    <t>round modules / ha</t>
  </si>
  <si>
    <t>Round modules produced per hectare</t>
  </si>
  <si>
    <t>Number of lint bales per round module</t>
  </si>
  <si>
    <t>Residue:crop ratio</t>
  </si>
  <si>
    <t>Tonnes</t>
  </si>
  <si>
    <t>Percent</t>
  </si>
  <si>
    <t>Kilograms</t>
  </si>
  <si>
    <t>Bales</t>
  </si>
  <si>
    <t>hectares</t>
  </si>
  <si>
    <t>Total lint yield</t>
  </si>
  <si>
    <t>Total unprocessed cotton yield (excluding trash)</t>
  </si>
  <si>
    <t>Total cottonseed produced</t>
  </si>
  <si>
    <t>Total trash produced</t>
  </si>
  <si>
    <t>Lint yield per hectare</t>
  </si>
  <si>
    <t>tonnes / hectare</t>
  </si>
  <si>
    <t>Residue after harvest</t>
  </si>
  <si>
    <t>Cotton lint sold - excluding removals</t>
  </si>
  <si>
    <t>Cotton lint sold - net emissions</t>
  </si>
  <si>
    <t>Cottonseed sold - excluding removals</t>
  </si>
  <si>
    <t>Cottonseed sold - net emissions</t>
  </si>
  <si>
    <t>Cotton lint yield</t>
  </si>
  <si>
    <t>Percent cotton lint sold</t>
  </si>
  <si>
    <t>Percent cotton lint stored and not sold</t>
  </si>
  <si>
    <t>Cottonseed yield</t>
  </si>
  <si>
    <t>Percent cottonseed sold</t>
  </si>
  <si>
    <t>Percentage of income from cotton lint sold</t>
  </si>
  <si>
    <t>Percentage of income from cottonseed sold</t>
  </si>
  <si>
    <t>Unprocessed cotton yield</t>
  </si>
  <si>
    <t>t co2e/t cotton lint sold</t>
  </si>
  <si>
    <t>t co2e/t cottonseed sold</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</si>
  <si>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</si>
  <si>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</si>
  <si>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</si>
  <si>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</si>
  <si>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</si>
  <si>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</si>
  <si>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</si>
  <si>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</si>
  <si>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</si>
  <si>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</si>
  <si>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</si>
  <si>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</si>
  <si>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</si>
  <si>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</si>
  <si>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</si>
  <si>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</si>
  <si>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</si>
  <si>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</si>
  <si>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</si>
  <si>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</si>
  <si>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</si>
  <si>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</si>
  <si>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</si>
  <si>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</si>
  <si>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</si>
  <si>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</si>
  <si>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</si>
  <si>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</si>
  <si>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</si>
  <si>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</si>
  <si>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</si>
  <si>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</si>
  <si>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</si>
  <si>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</si>
  <si>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</si>
  <si>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</si>
  <si>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</si>
  <si>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</si>
  <si>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</si>
  <si>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</si>
  <si>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</si>
  <si>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</si>
  <si>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</si>
  <si>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</si>
  <si>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</si>
  <si>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</si>
  <si>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</si>
  <si>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</si>
  <si>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</si>
  <si>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</si>
  <si>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</si>
  <si>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</si>
  <si>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</si>
  <si>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</si>
  <si>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</si>
  <si>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</si>
  <si>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</si>
  <si>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</si>
  <si>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</si>
  <si>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</si>
  <si>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</si>
  <si>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</si>
  <si>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</si>
  <si>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</si>
  <si>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</si>
  <si>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</si>
  <si>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</si>
  <si>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</si>
  <si>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</si>
  <si>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Function name</t>
  </si>
  <si>
    <t>M2_Table_FertApplications</t>
  </si>
  <si>
    <t>Fertiliser product applications (Method 2)</t>
  </si>
  <si>
    <t>kg / hectare</t>
  </si>
  <si>
    <t>kg</t>
  </si>
  <si>
    <t>Variable</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</si>
  <si>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</si>
  <si>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</si>
  <si>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</si>
  <si>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</si>
  <si>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</si>
  <si>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</si>
  <si>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</si>
  <si>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</si>
  <si>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</si>
  <si>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</si>
  <si>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</si>
  <si>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</si>
  <si>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</si>
  <si>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</si>
  <si>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</si>
  <si>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</si>
  <si>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</si>
  <si>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</si>
  <si>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</si>
  <si>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</si>
  <si>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</si>
  <si>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</si>
  <si>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</si>
  <si>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r>
      <t>E</t>
    </r>
    <r>
      <rPr>
        <vertAlign val="subscript"/>
        <sz val="10"/>
        <color theme="1" tint="0.24994659260841701"/>
        <rFont val="Arial"/>
        <family val="1"/>
      </rPr>
      <t>CO2e</t>
    </r>
  </si>
  <si>
    <t>Not used</t>
  </si>
  <si>
    <t>M2_Table_EF</t>
  </si>
  <si>
    <t>Emission factor for nitrous oxide for inorganic fertilisers (Method 2)</t>
  </si>
  <si>
    <t>Is used</t>
  </si>
  <si>
    <t>EF</t>
  </si>
  <si>
    <t>Irrigated maize</t>
  </si>
  <si>
    <t>Non-irrigated crop, high rainfall</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</si>
  <si>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</si>
  <si>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</si>
  <si>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</si>
  <si>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</si>
  <si>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</si>
  <si>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</si>
  <si>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</si>
  <si>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</si>
  <si>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</si>
  <si>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</si>
  <si>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</si>
  <si>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</si>
  <si>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</si>
  <si>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</si>
  <si>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</si>
  <si>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</si>
  <si>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</si>
  <si>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</si>
  <si>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</si>
  <si>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</si>
  <si>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</si>
  <si>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</si>
  <si>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</si>
  <si>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</si>
  <si>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</si>
  <si>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</si>
  <si>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</si>
  <si>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</si>
  <si>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</si>
  <si>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</si>
  <si>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</si>
  <si>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</si>
  <si>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</si>
  <si>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</si>
  <si>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</si>
  <si>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</si>
  <si>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</si>
  <si>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</si>
  <si>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</si>
  <si>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</si>
  <si>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</si>
  <si>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</si>
  <si>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</si>
  <si>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</si>
  <si>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</si>
  <si>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</si>
  <si>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</si>
  <si>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</si>
  <si>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</si>
  <si>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</si>
  <si>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</si>
  <si>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</si>
  <si>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</si>
  <si>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</si>
  <si>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</si>
  <si>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</si>
  <si>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</si>
  <si>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</si>
  <si>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</si>
  <si>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</si>
  <si>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</si>
  <si>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</si>
  <si>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</si>
  <si>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</si>
  <si>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</si>
  <si>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</si>
  <si>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</si>
  <si>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</si>
  <si>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Grains</t>
  </si>
  <si>
    <t>Drip irrigation</t>
  </si>
  <si>
    <t>Maize</t>
  </si>
  <si>
    <t>Manure - Swine</t>
  </si>
  <si>
    <t>Surface irrigation</t>
  </si>
  <si>
    <t>Other irrigation</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</si>
  <si>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</si>
  <si>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</si>
  <si>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</si>
  <si>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</si>
  <si>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</si>
  <si>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</si>
  <si>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</si>
  <si>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</si>
  <si>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</si>
  <si>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</si>
  <si>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</si>
  <si>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</si>
  <si>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</si>
  <si>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</si>
  <si>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</si>
  <si>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</si>
  <si>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</si>
  <si>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</si>
  <si>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</si>
  <si>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</si>
  <si>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</si>
  <si>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</si>
  <si>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</si>
  <si>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</si>
  <si>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</si>
  <si>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</si>
  <si>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</si>
  <si>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</si>
  <si>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</si>
  <si>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</si>
  <si>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</si>
  <si>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</si>
  <si>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</si>
  <si>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</si>
  <si>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</si>
  <si>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</si>
  <si>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</si>
  <si>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</si>
  <si>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</si>
  <si>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</si>
  <si>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</si>
  <si>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</si>
  <si>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</si>
  <si>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</si>
  <si>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</si>
  <si>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</si>
  <si>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</si>
  <si>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</si>
  <si>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</si>
  <si>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</si>
  <si>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</si>
  <si>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</si>
  <si>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</si>
  <si>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</si>
  <si>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</si>
  <si>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</si>
  <si>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</si>
  <si>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</si>
  <si>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</si>
  <si>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</si>
  <si>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</si>
  <si>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</si>
  <si>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</si>
  <si>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</si>
  <si>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</si>
  <si>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</si>
  <si>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</si>
  <si>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</si>
  <si>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</si>
  <si>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</si>
  <si>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</si>
  <si>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</si>
  <si>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</si>
  <si>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</si>
  <si>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</si>
  <si>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</si>
  <si>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</si>
  <si>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</si>
  <si>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</si>
  <si>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</si>
  <si>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</si>
  <si>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</si>
  <si>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</si>
  <si>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</si>
  <si>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</si>
  <si>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</si>
  <si>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</si>
  <si>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</si>
  <si>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</si>
  <si>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</si>
  <si>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</si>
  <si>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</si>
  <si>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</si>
  <si>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</si>
  <si>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</si>
  <si>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</si>
  <si>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</si>
  <si>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</si>
  <si>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</si>
  <si>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</si>
  <si>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</si>
  <si>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</si>
  <si>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</si>
  <si>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</si>
  <si>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</si>
  <si>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</si>
  <si>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</si>
  <si>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</si>
  <si>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</si>
  <si>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</si>
  <si>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</si>
  <si>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</si>
  <si>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</si>
  <si>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</si>
  <si>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</si>
  <si>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</si>
  <si>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</si>
  <si>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</si>
  <si>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</si>
  <si>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</si>
  <si>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</si>
  <si>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</si>
  <si>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</si>
  <si>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</si>
  <si>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</si>
  <si>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</si>
  <si>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</si>
  <si>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</si>
  <si>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</si>
  <si>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</si>
  <si>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</si>
  <si>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</si>
  <si>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</si>
  <si>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</si>
  <si>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</si>
  <si>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</si>
  <si>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</si>
  <si>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</si>
  <si>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</si>
  <si>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</si>
  <si>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</si>
  <si>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</si>
  <si>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</si>
  <si>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</si>
  <si>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</si>
  <si>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</si>
  <si>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</si>
  <si>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</si>
  <si>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</si>
  <si>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</si>
  <si>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</si>
  <si>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</si>
  <si>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</si>
  <si>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</si>
  <si>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</si>
  <si>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</si>
  <si>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</si>
  <si>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</si>
  <si>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</si>
  <si>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</si>
  <si>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</si>
  <si>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</si>
  <si>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</si>
  <si>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</si>
  <si>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</si>
  <si>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</si>
  <si>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</si>
  <si>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</si>
  <si>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</si>
  <si>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</si>
  <si>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</si>
  <si>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</si>
  <si>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</si>
  <si>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</si>
  <si>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</si>
  <si>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</si>
  <si>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</si>
  <si>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</si>
  <si>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</si>
  <si>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</si>
  <si>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</si>
  <si>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</si>
  <si>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</si>
  <si>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</si>
  <si>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</si>
  <si>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</si>
  <si>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</si>
  <si>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</si>
  <si>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</si>
  <si>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</si>
  <si>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</si>
  <si>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</si>
  <si>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</si>
  <si>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</si>
  <si>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</si>
  <si>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</si>
  <si>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</si>
  <si>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</si>
  <si>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</si>
  <si>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</si>
  <si>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</si>
  <si>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</si>
  <si>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</si>
  <si>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</si>
  <si>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</si>
  <si>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</si>
  <si>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</si>
  <si>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</si>
  <si>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</si>
  <si>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</si>
  <si>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</si>
  <si>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</si>
  <si>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</si>
  <si>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</si>
  <si>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</si>
  <si>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</si>
  <si>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</si>
  <si>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</si>
  <si>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</si>
  <si>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</si>
  <si>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</si>
  <si>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</si>
  <si>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</si>
  <si>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</si>
  <si>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</si>
  <si>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</si>
  <si>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</si>
  <si>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</si>
  <si>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6.1.1.1-2 Crop residue N2O emissions</t>
  </si>
  <si>
    <r>
      <t>FFOD</t>
    </r>
    <r>
      <rPr>
        <b/>
        <vertAlign val="subscript"/>
        <sz val="10"/>
        <color theme="1" tint="0.24994659260841701"/>
        <rFont val="Arial"/>
        <family val="1"/>
      </rPr>
      <t>c</t>
    </r>
  </si>
  <si>
    <r>
      <t>M</t>
    </r>
    <r>
      <rPr>
        <b/>
        <vertAlign val="subscript"/>
        <sz val="10"/>
        <color theme="1" tint="0.24994659260841701"/>
        <rFont val="Arial"/>
        <family val="1"/>
      </rPr>
      <t>c</t>
    </r>
  </si>
  <si>
    <t>6.3.1.1-2 Leaching and run-off from crop residues only</t>
  </si>
  <si>
    <t>N/A</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</si>
  <si>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</si>
  <si>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</si>
  <si>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</si>
  <si>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</si>
  <si>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</si>
  <si>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</si>
  <si>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</si>
  <si>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</si>
  <si>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</si>
  <si>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</si>
  <si>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</si>
  <si>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4"/>
        <color theme="1"/>
        <rFont val="Arial"/>
        <family val="1"/>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</si>
  <si>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</si>
  <si>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</si>
  <si>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</si>
  <si>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</si>
  <si>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</si>
  <si>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</si>
  <si>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</si>
  <si>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</si>
  <si>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</si>
  <si>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</si>
  <si>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</si>
  <si>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</si>
  <si>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</si>
  <si>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</si>
  <si>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</si>
  <si>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</si>
  <si>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</si>
  <si>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</si>
  <si>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</si>
  <si>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Pasture type</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</si>
  <si>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</si>
  <si>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</si>
  <si>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</si>
  <si>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</si>
  <si>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</si>
  <si>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</si>
  <si>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</si>
  <si>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</si>
  <si>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</si>
  <si>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</si>
  <si>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</si>
  <si>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</si>
  <si>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</si>
  <si>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</si>
  <si>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</si>
  <si>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</si>
  <si>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</si>
  <si>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</si>
  <si>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</si>
  <si>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</si>
  <si>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</si>
  <si>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</si>
  <si>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</si>
  <si>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</si>
  <si>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</si>
  <si>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</si>
  <si>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</si>
  <si>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</si>
  <si>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</si>
  <si>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</si>
  <si>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</si>
  <si>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</si>
  <si>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</si>
  <si>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</si>
  <si>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</si>
  <si>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</si>
  <si>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</si>
  <si>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</si>
  <si>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</si>
  <si>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</si>
  <si>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</si>
  <si>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</si>
  <si>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</si>
  <si>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</si>
  <si>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</si>
  <si>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</si>
  <si>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</si>
  <si>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</si>
  <si>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</si>
  <si>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</si>
  <si>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</si>
  <si>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</si>
  <si>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</si>
  <si>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</si>
  <si>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</si>
  <si>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</si>
  <si>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</si>
  <si>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</si>
  <si>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</si>
  <si>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</si>
  <si>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</si>
  <si>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</si>
  <si>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</si>
  <si>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</si>
  <si>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</si>
  <si>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</si>
  <si>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</si>
  <si>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</si>
  <si>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</si>
  <si>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</si>
  <si>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</si>
  <si>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</si>
  <si>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</si>
  <si>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</si>
  <si>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</si>
  <si>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</si>
  <si>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</si>
  <si>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</si>
  <si>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</si>
  <si>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</si>
  <si>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</si>
  <si>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</si>
  <si>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</si>
  <si>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</si>
  <si>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</si>
  <si>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</si>
  <si>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</si>
  <si>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</si>
  <si>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</si>
  <si>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</si>
  <si>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</si>
  <si>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</si>
  <si>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</si>
  <si>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</si>
  <si>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</si>
  <si>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</si>
  <si>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</si>
  <si>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</si>
  <si>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</si>
  <si>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</si>
  <si>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</si>
  <si>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</si>
  <si>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</si>
  <si>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</si>
  <si>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</si>
  <si>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</si>
  <si>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</si>
  <si>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</si>
  <si>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</si>
  <si>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</si>
  <si>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</si>
  <si>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</si>
  <si>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</si>
  <si>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</si>
  <si>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</si>
  <si>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</si>
  <si>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</si>
  <si>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</si>
  <si>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</si>
  <si>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</si>
  <si>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</si>
  <si>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</si>
  <si>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</si>
  <si>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</si>
  <si>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Feed rations</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</si>
  <si>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</si>
  <si>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</si>
  <si>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</si>
  <si>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</si>
  <si>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</si>
  <si>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</si>
  <si>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</si>
  <si>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</si>
  <si>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</si>
  <si>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</si>
  <si>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</si>
  <si>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</si>
  <si>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</si>
  <si>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</si>
  <si>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</si>
  <si>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</si>
  <si>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</si>
  <si>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</si>
  <si>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</si>
  <si>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</si>
  <si>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</si>
  <si>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</si>
  <si>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</si>
  <si>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</si>
  <si>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</si>
  <si>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</si>
  <si>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</si>
  <si>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</si>
  <si>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</si>
  <si>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</si>
  <si>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</si>
  <si>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</si>
  <si>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</si>
  <si>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</si>
  <si>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</si>
  <si>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</si>
  <si>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</si>
  <si>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</si>
  <si>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</si>
  <si>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</si>
  <si>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</si>
  <si>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</si>
  <si>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</si>
  <si>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</si>
  <si>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</si>
  <si>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</si>
  <si>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</si>
  <si>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</si>
  <si>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</si>
  <si>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</si>
  <si>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</si>
  <si>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</si>
  <si>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</si>
  <si>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</si>
  <si>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</si>
  <si>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</si>
  <si>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</si>
  <si>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</si>
  <si>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</si>
  <si>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</si>
  <si>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Number of head treated</t>
  </si>
  <si>
    <t>EF (Method 1)</t>
  </si>
  <si>
    <t>EF (Method 2)</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</si>
  <si>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</si>
  <si>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</si>
  <si>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</si>
  <si>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</si>
  <si>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</si>
  <si>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</si>
  <si>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</si>
  <si>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</si>
  <si>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</si>
  <si>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</si>
  <si>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</si>
  <si>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</si>
  <si>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</si>
  <si>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</si>
  <si>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</si>
  <si>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Animals</t>
  </si>
  <si>
    <t>Table_ProductRegions_Beefcattle</t>
  </si>
  <si>
    <t>Category</t>
  </si>
  <si>
    <t>Region of origin</t>
  </si>
  <si>
    <t>Quantity Unit</t>
  </si>
  <si>
    <t>Emissions intensity</t>
  </si>
  <si>
    <t>System boundary</t>
  </si>
  <si>
    <t>Region</t>
  </si>
  <si>
    <t>Scope3 region</t>
  </si>
  <si>
    <t>GHGEI-MIAFF</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</si>
  <si>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</si>
  <si>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</si>
  <si>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</si>
  <si>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</si>
  <si>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</si>
  <si>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</si>
  <si>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</si>
  <si>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</si>
  <si>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</si>
  <si>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</si>
  <si>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</si>
  <si>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</si>
  <si>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</si>
  <si>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</si>
  <si>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</si>
  <si>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</si>
  <si>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</si>
  <si>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</si>
  <si>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</si>
  <si>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Chemicals</t>
  </si>
  <si>
    <t>Feed</t>
  </si>
  <si>
    <t>Inorganic fertilisers</t>
  </si>
  <si>
    <t>Quantity</t>
  </si>
  <si>
    <t>Other agricultural inputs</t>
  </si>
  <si>
    <t>Packaging</t>
  </si>
  <si>
    <t>Soil ameliorants</t>
  </si>
  <si>
    <t>Fish feed and bait</t>
  </si>
  <si>
    <t>VEERG</t>
  </si>
  <si>
    <t>Constants - Livestock</t>
  </si>
  <si>
    <t>Symbol</t>
  </si>
  <si>
    <t>Manure management system</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</si>
  <si>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</si>
  <si>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</si>
  <si>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</si>
  <si>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</si>
  <si>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</si>
  <si>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</si>
  <si>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</si>
  <si>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=Fertiliser_Equations_LeachingAndRunoff.VEERG_5_5_1_1__1_FertiliserLeachingAndRunoffN2OEmissions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</si>
</sst>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0.000000E+00"/>
    <numFmt numFmtId="172" formatCode="[$-C09]d\ mmmm\ yyyy;@"/>
    <numFmt numFmtId="173" formatCode="0.00000"/>
  </numFmts>
  <fonts count="8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sz val="10"/>
      <name val="Arial"/>
      <family val="1"/>
    </font>
    <font>
      <b/>
      <sz val="9"/>
      <color theme="1" tint="0.14999847407452621"/>
      <name val="Arial"/>
      <family val="1"/>
    </font>
    <font>
      <b/>
      <vertAlign val="subscript"/>
      <sz val="10"/>
      <color rgb="FF533001"/>
      <name val="Arial"/>
      <family val="1"/>
    </font>
    <font>
      <b/>
      <i/>
      <sz val="10"/>
      <color rgb="FFCC6600"/>
      <name val="Arial"/>
      <family val="1"/>
    </font>
    <font>
      <b/>
      <vertAlign val="subscript"/>
      <sz val="10"/>
      <color rgb="FF183C1B"/>
      <name val="Arial"/>
      <family val="1"/>
    </font>
    <font>
      <b/>
      <vertAlign val="subscript"/>
      <sz val="10"/>
      <color theme="1" tint="0.24994659260841701"/>
      <name val="Arial"/>
      <family val="1"/>
    </font>
    <font>
      <b/>
      <vertAlign val="subscript"/>
      <sz val="14"/>
      <color theme="1" tint="0.24994659260841701"/>
      <name val="Arial"/>
      <family val="1"/>
    </font>
    <font>
      <vertAlign val="subscript"/>
      <sz val="10"/>
      <color theme="1" tint="0.24994659260841701"/>
      <name val="Arial"/>
      <family val="1"/>
    </font>
    <font>
      <sz val="9"/>
      <name val="Arial"/>
      <family val="1"/>
    </font>
    <font>
      <sz val="9"/>
      <color theme="1"/>
      <name val="Arial"/>
      <family val="2"/>
    </font>
    <font>
      <b/>
      <sz val="9"/>
      <color theme="1" tint="0.34998626667073579"/>
      <name val="Arial"/>
      <family val="1"/>
    </font>
    <font>
      <sz val="14"/>
      <name val="Arial"/>
      <family val="1"/>
    </font>
    <font>
      <b/>
      <sz val="9"/>
      <name val="Arial"/>
      <family val="1"/>
    </font>
    <font>
      <b/>
      <sz val="10"/>
      <color theme="1"/>
      <name val="Arial"/>
      <family val="2"/>
    </font>
    <font>
      <b/>
      <sz val="14"/>
      <color theme="1"/>
      <name val="Arial"/>
      <family val="1"/>
    </font>
    <font>
      <b/>
      <vertAlign val="subscript"/>
      <sz val="14"/>
      <color theme="1"/>
      <name val="Arial"/>
      <family val="1"/>
    </font>
    <font>
      <sz val="14"/>
      <color theme="1"/>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right/>
      <top/>
      <bottom style="thin">
        <color indexed="64"/>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style="thin">
        <color theme="0" tint="-0.499984740745262"/>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2" fillId="0" borderId="0"/>
    <xf numFmtId="0" fontId="73" fillId="4" borderId="0">
      <alignment horizontal="left" vertical="center"/>
    </xf>
    <xf numFmtId="0" fontId="38" fillId="16" borderId="2">
      <alignment horizontal="center" vertical="center"/>
    </xf>
  </cellStyleXfs>
  <cellXfs count="247">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4" fontId="2" fillId="0" borderId="2" xfId="17">
      <alignment horizontal="center" vertical="center"/>
    </xf>
    <xf numFmtId="3" fontId="23" fillId="4" borderId="2" xfId="40">
      <alignment horizontal="center" vertical="center"/>
    </xf>
    <xf numFmtId="10" fontId="2" fillId="0" borderId="2" xfId="16" applyNumberFormat="1">
      <alignment horizontal="center" vertical="center"/>
    </xf>
    <xf numFmtId="4" fontId="23" fillId="4" borderId="2" xfId="46">
      <alignment horizontal="center" vertical="center"/>
    </xf>
    <xf numFmtId="0" fontId="27" fillId="4" borderId="18" xfId="8" applyBorder="1">
      <alignment horizontal="left" vertical="center"/>
    </xf>
    <xf numFmtId="0" fontId="6" fillId="4" borderId="18" xfId="53" applyBorder="1">
      <alignment horizontal="left" vertical="center"/>
    </xf>
    <xf numFmtId="0" fontId="30" fillId="13" borderId="11" xfId="39" applyBorder="1">
      <alignment horizontal="left" vertical="center"/>
    </xf>
    <xf numFmtId="0" fontId="55" fillId="4" borderId="0" xfId="0" applyFont="1" applyFill="1" applyAlignment="1">
      <alignment horizontal="center" vertical="center"/>
    </xf>
    <xf numFmtId="0" fontId="55" fillId="4" borderId="0" xfId="0" applyFont="1" applyFill="1"/>
    <xf numFmtId="0" fontId="20" fillId="5" borderId="0" xfId="36">
      <alignment horizontal="left" vertical="center" indent="1"/>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55" fillId="4" borderId="0" xfId="67" applyNumberFormat="1" applyFont="1" applyFill="1" applyBorder="1" applyAlignment="1" applyProtection="1">
      <alignment horizontal="center" wrapText="1"/>
      <protection locked="0"/>
    </xf>
    <xf numFmtId="1" fontId="55" fillId="4" borderId="0" xfId="67" applyNumberFormat="1" applyFont="1" applyFill="1" applyBorder="1" applyAlignment="1" applyProtection="1">
      <alignment horizontal="center" wrapText="1"/>
      <protection locked="0"/>
    </xf>
    <xf numFmtId="0" fontId="55" fillId="4" borderId="0" xfId="0" applyFont="1" applyFill="1" applyAlignment="1">
      <alignment horizontal="left" wrapText="1"/>
    </xf>
    <xf numFmtId="0" fontId="55" fillId="4" borderId="0" xfId="0" applyFont="1" applyFill="1" applyAlignment="1">
      <alignment wrapText="1"/>
    </xf>
    <xf numFmtId="0" fontId="27" fillId="4" borderId="0" xfId="8" applyAlignment="1">
      <alignment horizontal="left" vertical="center"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56"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56" fillId="12" borderId="2" xfId="15" applyFont="1">
      <alignment horizontal="center" vertical="center"/>
    </xf>
    <xf numFmtId="9" fontId="0" fillId="0" borderId="19"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20" xfId="39" applyBorder="1">
      <alignment horizontal="left" vertical="center"/>
    </xf>
    <xf numFmtId="0" fontId="30" fillId="13" borderId="0" xfId="39" applyBorder="1">
      <alignment horizontal="left" vertical="center"/>
    </xf>
    <xf numFmtId="0" fontId="30" fillId="13" borderId="21" xfId="39" applyBorder="1">
      <alignment horizontal="left" vertical="center"/>
    </xf>
    <xf numFmtId="0" fontId="0" fillId="0" borderId="0" xfId="0" applyAlignment="1">
      <alignment wrapText="1"/>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15" fillId="4" borderId="0" xfId="24">
      <alignment horizontal="left" vertical="center"/>
    </xf>
    <xf numFmtId="0" fontId="32" fillId="4" borderId="0" xfId="57">
      <alignment horizontal="left" vertical="center"/>
    </xf>
    <xf numFmtId="0" fontId="33" fillId="4" borderId="0" xfId="58">
      <alignment horizontal="left" vertical="center"/>
    </xf>
    <xf numFmtId="0" fontId="6" fillId="4" borderId="0" xfId="12" applyAlignment="1">
      <alignment horizontal="center" vertical="center"/>
    </xf>
    <xf numFmtId="0" fontId="5" fillId="2" borderId="0" xfId="9">
      <alignment horizontal="center" vertical="center"/>
    </xf>
    <xf numFmtId="0" fontId="23" fillId="4" borderId="2" xfId="52" applyAlignment="1">
      <alignment horizontal="left" vertical="center"/>
    </xf>
    <xf numFmtId="0" fontId="23" fillId="4" borderId="22" xfId="52" applyBorder="1" applyAlignment="1">
      <alignment horizontal="left" vertical="center"/>
    </xf>
    <xf numFmtId="0" fontId="38" fillId="15" borderId="2" xfId="65">
      <alignment horizontal="center" vertical="center"/>
    </xf>
    <xf numFmtId="0" fontId="37" fillId="14" borderId="2" xfId="64">
      <alignment horizontal="center" vertical="center"/>
    </xf>
    <xf numFmtId="0" fontId="36" fillId="4" borderId="2" xfId="62">
      <alignment horizontal="left" vertical="center"/>
    </xf>
    <xf numFmtId="0" fontId="20" fillId="8" borderId="0" xfId="37">
      <alignment horizontal="left" vertical="center" indent="1"/>
    </xf>
    <xf numFmtId="0" fontId="23" fillId="4" borderId="23" xfId="52" applyBorder="1" applyAlignment="1">
      <alignment horizontal="left" vertical="center"/>
    </xf>
    <xf numFmtId="0" fontId="23" fillId="4" borderId="24" xfId="52" applyBorder="1" applyAlignment="1">
      <alignment horizontal="left" vertical="center"/>
    </xf>
    <xf numFmtId="0" fontId="23" fillId="4" borderId="22" xfId="63" applyBorder="1">
      <alignment horizontal="left" vertical="center"/>
    </xf>
    <xf numFmtId="0" fontId="23" fillId="4" borderId="23" xfId="52" applyBorder="1">
      <alignment horizontal="center" vertical="center"/>
    </xf>
    <xf numFmtId="0" fontId="23" fillId="4" borderId="24" xfId="52" applyBorder="1">
      <alignment horizontal="center" vertical="center"/>
    </xf>
    <xf numFmtId="0" fontId="23" fillId="4" borderId="2" xfId="63">
      <alignment horizontal="left" vertical="center"/>
    </xf>
    <xf numFmtId="171"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9" fontId="23" fillId="4" borderId="2" xfId="52" applyNumberFormat="1">
      <alignment horizontal="center" vertical="center"/>
    </xf>
    <xf numFmtId="0" fontId="63" fillId="4" borderId="0" xfId="0" applyFont="1" applyFill="1"/>
    <xf numFmtId="0" fontId="6" fillId="4" borderId="1" xfId="12" applyBorder="1">
      <alignment horizontal="left" vertical="center" indent="1"/>
    </xf>
    <xf numFmtId="0" fontId="27" fillId="4" borderId="25" xfId="8" applyBorder="1">
      <alignment horizontal="left" vertical="center"/>
    </xf>
    <xf numFmtId="0" fontId="23" fillId="4" borderId="24" xfId="63" applyBorder="1">
      <alignment horizontal="left" vertical="center"/>
    </xf>
    <xf numFmtId="0" fontId="23" fillId="4" borderId="23" xfId="63" applyBorder="1">
      <alignment horizontal="left" vertical="center"/>
    </xf>
    <xf numFmtId="3" fontId="23" fillId="4" borderId="2" xfId="52" applyNumberFormat="1">
      <alignment horizontal="center" vertical="center"/>
    </xf>
    <xf numFmtId="0" fontId="54" fillId="4" borderId="1" xfId="12" applyFont="1" applyBorder="1">
      <alignment horizontal="left" vertical="center" indent="1"/>
    </xf>
    <xf numFmtId="0" fontId="5" fillId="2" borderId="0" xfId="9" applyAlignment="1">
      <alignment horizontal="center" vertical="center" wrapText="1"/>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166" fontId="23" fillId="4" borderId="2" xfId="45">
      <alignment horizontal="center" vertical="center"/>
    </xf>
    <xf numFmtId="172" fontId="0" fillId="0" borderId="0" xfId="8" applyNumberFormat="1" applyFont="1" applyFill="1">
      <alignment horizontal="left" vertical="center"/>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4"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26" fillId="4" borderId="0" xfId="48" applyAlignment="1">
      <alignment horizontal="left" vertical="center"/>
    </xf>
    <xf numFmtId="173" fontId="65"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3" fontId="65"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6" xfId="52" applyBorder="1">
      <alignment horizontal="center" vertical="center"/>
    </xf>
    <xf numFmtId="0" fontId="23" fillId="4" borderId="27" xfId="52" applyBorder="1">
      <alignment horizontal="center" vertical="center"/>
    </xf>
    <xf numFmtId="4" fontId="23" fillId="4" borderId="26" xfId="46" applyBorder="1">
      <alignment horizontal="center" vertical="center"/>
    </xf>
    <xf numFmtId="4" fontId="23" fillId="4" borderId="28" xfId="46" applyBorder="1">
      <alignment horizontal="center" vertical="center"/>
    </xf>
    <xf numFmtId="173" fontId="65" fillId="4" borderId="28" xfId="52" applyNumberFormat="1" applyFont="1" applyBorder="1">
      <alignment horizontal="center" vertical="center"/>
    </xf>
    <xf numFmtId="173" fontId="65" fillId="4" borderId="26" xfId="52" applyNumberFormat="1" applyFont="1" applyBorder="1">
      <alignment horizontal="center" vertical="center"/>
    </xf>
    <xf numFmtId="0" fontId="23" fillId="4" borderId="28" xfId="52" applyBorder="1">
      <alignment horizontal="center" vertical="center"/>
    </xf>
    <xf numFmtId="0" fontId="65" fillId="4" borderId="28" xfId="52" applyFont="1" applyBorder="1">
      <alignment horizontal="center" vertical="center"/>
    </xf>
    <xf numFmtId="0" fontId="3" fillId="4" borderId="18" xfId="7" applyBorder="1">
      <alignment horizontal="left" vertical="center"/>
    </xf>
    <xf numFmtId="165" fontId="63" fillId="4" borderId="18" xfId="0" applyNumberFormat="1" applyFont="1" applyFill="1" applyBorder="1"/>
    <xf numFmtId="0" fontId="6" fillId="4" borderId="18" xfId="12" applyBorder="1">
      <alignment horizontal="left" vertical="center" indent="1"/>
    </xf>
    <xf numFmtId="168" fontId="63" fillId="4" borderId="0" xfId="0" applyNumberFormat="1" applyFont="1" applyFill="1" applyAlignment="1">
      <alignment vertical="center"/>
    </xf>
    <xf numFmtId="165" fontId="63" fillId="4" borderId="18" xfId="0" applyNumberFormat="1" applyFont="1" applyFill="1" applyBorder="1" applyAlignment="1">
      <alignment vertical="center"/>
    </xf>
    <xf numFmtId="0" fontId="63" fillId="4" borderId="0" xfId="0" applyFont="1" applyFill="1" applyAlignment="1">
      <alignment vertical="center"/>
    </xf>
    <xf numFmtId="165" fontId="66" fillId="4" borderId="18" xfId="0" applyNumberFormat="1" applyFont="1" applyFill="1" applyBorder="1" applyAlignment="1">
      <alignment vertical="center"/>
    </xf>
    <xf numFmtId="168" fontId="65" fillId="4" borderId="2" xfId="46" applyNumberFormat="1" applyFont="1">
      <alignment horizontal="center" vertical="center"/>
    </xf>
    <xf numFmtId="168" fontId="65" fillId="4" borderId="17" xfId="46" applyNumberFormat="1" applyFont="1" applyBorder="1">
      <alignment horizontal="center" vertical="center"/>
    </xf>
    <xf numFmtId="168" fontId="65" fillId="4" borderId="28" xfId="46" applyNumberFormat="1" applyFont="1" applyBorder="1">
      <alignment horizontal="center" vertical="center"/>
    </xf>
    <xf numFmtId="0" fontId="64" fillId="0" borderId="0" xfId="0" applyFont="1" applyAlignment="1">
      <alignment vertical="center" wrapText="1"/>
    </xf>
    <xf numFmtId="0" fontId="64" fillId="0" borderId="0" xfId="0" applyFont="1" applyAlignment="1">
      <alignment horizontal="left" vertical="center"/>
    </xf>
    <xf numFmtId="0" fontId="64"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4" fillId="4" borderId="0" xfId="0" applyFont="1" applyFill="1" applyAlignment="1">
      <alignment horizontal="left" vertical="center"/>
    </xf>
    <xf numFmtId="0" fontId="40" fillId="4" borderId="0" xfId="8" applyFont="1" applyAlignment="1">
      <alignment horizontal="right" vertical="center"/>
    </xf>
    <xf numFmtId="0" fontId="67" fillId="4" borderId="0" xfId="0" applyFont="1" applyFill="1"/>
    <xf numFmtId="0" fontId="64" fillId="0" borderId="0" xfId="0" applyFont="1"/>
    <xf numFmtId="0" fontId="64" fillId="0" borderId="0" xfId="7" applyFont="1" applyFill="1">
      <alignment horizontal="left" vertical="center"/>
    </xf>
    <xf numFmtId="0" fontId="64" fillId="4" borderId="0" xfId="0" applyFont="1" applyFill="1"/>
    <xf numFmtId="0" fontId="64" fillId="4" borderId="0" xfId="7" applyFont="1">
      <alignment horizontal="left" vertical="center"/>
    </xf>
    <xf numFmtId="0" fontId="68" fillId="2" borderId="0" xfId="8" applyFont="1" applyFill="1">
      <alignment horizontal="left" vertical="center"/>
    </xf>
    <xf numFmtId="0" fontId="68" fillId="0" borderId="0" xfId="8" applyFont="1" applyFill="1">
      <alignment horizontal="left" vertical="center"/>
    </xf>
    <xf numFmtId="3" fontId="23" fillId="4" borderId="2" xfId="63" applyNumberFormat="1">
      <alignment horizontal="left" vertical="center"/>
    </xf>
    <xf numFmtId="0" fontId="0" fillId="4" borderId="1" xfId="0" applyFill="1" applyBorder="1" applyAlignment="1">
      <alignment vertical="center"/>
    </xf>
    <xf numFmtId="0" fontId="0" fillId="4" borderId="1" xfId="0" applyFill="1" applyBorder="1"/>
    <xf numFmtId="0" fontId="27" fillId="4" borderId="0" xfId="8" applyAlignment="1">
      <alignment horizontal="center" vertical="center"/>
    </xf>
    <xf numFmtId="0" fontId="0" fillId="4" borderId="0" xfId="0" quotePrefix="1" applyFill="1"/>
    <xf numFmtId="0" fontId="69" fillId="4" borderId="1" xfId="0" applyFont="1" applyFill="1" applyBorder="1"/>
    <xf numFmtId="0" fontId="71" fillId="4" borderId="1" xfId="0" applyFont="1" applyFill="1" applyBorder="1"/>
    <xf numFmtId="0" fontId="45" fillId="0" borderId="0" xfId="0" applyFont="1"/>
    <xf numFmtId="0" fontId="72" fillId="0" borderId="0" xfId="69"/>
    <xf numFmtId="0" fontId="72" fillId="4" borderId="0" xfId="69" applyFill="1"/>
    <xf numFmtId="0" fontId="2" fillId="0" borderId="17" xfId="56" applyBorder="1">
      <alignment horizontal="center" vertical="center"/>
    </xf>
    <xf numFmtId="0" fontId="0" fillId="0" borderId="0" xfId="29" applyFont="1" applyFill="1" applyProtection="1">
      <alignment horizontal="center" vertical="center"/>
    </xf>
    <xf numFmtId="0" fontId="73" fillId="4" borderId="0" xfId="70">
      <alignment horizontal="left" vertical="center"/>
    </xf>
    <xf numFmtId="0" fontId="30" fillId="13" borderId="29" xfId="39" applyBorder="1">
      <alignment horizontal="left" vertical="center"/>
    </xf>
    <xf numFmtId="0" fontId="0" fillId="0" borderId="0" xfId="8" applyFont="1" applyFill="1" applyAlignment="1">
      <alignment horizontal="left" vertical="center" wrapText="1"/>
    </xf>
    <xf numFmtId="0" fontId="0" fillId="0" borderId="0" xfId="14" applyFont="1" applyBorder="1">
      <alignment horizontal="center" vertical="center"/>
    </xf>
    <xf numFmtId="4" fontId="0" fillId="0" borderId="0" xfId="17" applyFont="1" applyBorder="1">
      <alignment horizontal="center" vertical="center"/>
    </xf>
    <xf numFmtId="0" fontId="38" fillId="16" borderId="2" xfId="71">
      <alignment horizontal="center" vertical="center"/>
    </xf>
    <xf numFmtId="0" fontId="68" fillId="6" borderId="0" xfId="8" applyFont="1" applyFill="1">
      <alignment horizontal="left" vertical="center"/>
    </xf>
    <xf numFmtId="0" fontId="65" fillId="4" borderId="2" xfId="52" applyFont="1">
      <alignment horizontal="center" vertical="center"/>
    </xf>
    <xf numFmtId="49" fontId="23" fillId="4" borderId="2" xfId="52" applyNumberFormat="1">
      <alignment horizontal="center" vertical="center"/>
    </xf>
    <xf numFmtId="0" fontId="76"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CEEBAE0D-A9F7-4D04-ACAA-1F86E1F6D4B9}"/>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69" xr:uid="{A0A0CFBC-2D70-471E-8523-277156FBA6C9}"/>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4B306265-452C-4234-B9EC-FE0030A8734B}"/>
    <cellStyle name="Variable type other" xfId="64" xr:uid="{105BD9DE-B567-4DA0-87E6-C60A0ECC1C65}"/>
  </cellStyles>
  <dxfs count="42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i val="0"/>
        <strike val="0"/>
        <condense val="0"/>
        <extend val="0"/>
        <outline val="0"/>
        <shadow val="0"/>
        <u val="none"/>
        <vertAlign val="baseline"/>
        <sz val="10"/>
        <color theme="1"/>
        <name val="Arial"/>
        <family val="1"/>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alignment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25"/>
      <tableStyleElement type="headerRow" dxfId="424"/>
      <tableStyleElement type="totalRow" dxfId="423"/>
      <tableStyleElement type="firstColumn" dxfId="422"/>
      <tableStyleElement type="firstRowStripe" dxfId="421"/>
      <tableStyleElement type="secondRowStripe" dxfId="420"/>
    </tableStyle>
    <tableStyle name="Equation table" pivot="0" count="6" xr9:uid="{B247698E-E41D-4CCD-AA0A-C14817E9DE65}">
      <tableStyleElement type="wholeTable" dxfId="419"/>
      <tableStyleElement type="headerRow" dxfId="418"/>
      <tableStyleElement type="totalRow" dxfId="417"/>
      <tableStyleElement type="firstColumn" dxfId="416"/>
      <tableStyleElement type="firstRowStripe" dxfId="415"/>
      <tableStyleElement type="secondRowStripe" dxfId="414"/>
    </tableStyle>
    <tableStyle name="Table Style 1" pivot="0" count="0" xr9:uid="{97B370DB-5463-4A31-9160-5A96BD6A559D}"/>
  </tableStyles>
  <colors>
    <mruColors>
      <color rgb="FFC44340"/>
      <color rgb="FF0C769E"/>
      <color rgb="FFCC660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cat>
            <c:strRef>
              <c:f>'Results - Activity period'!$D$9:$D$24</c:f>
              <c:strCache>
                <c:ptCount val="16"/>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8.1.1.1-2 Transport fuel CO2</c:v>
                </c:pt>
                <c:pt idx="9">
                  <c:v>8.1.1.1-2 Transport fuel CH4</c:v>
                </c:pt>
                <c:pt idx="10">
                  <c:v>8.1.1.1-2 Transport fuel N2O</c:v>
                </c:pt>
                <c:pt idx="11">
                  <c:v>8.2.1.1-2 Stationary fuel CO2</c:v>
                </c:pt>
                <c:pt idx="12">
                  <c:v>8.2.1.1-2 Stationary fuel CH4</c:v>
                </c:pt>
                <c:pt idx="13">
                  <c:v>8.2.1.1-2 Stationary fuel N2O</c:v>
                </c:pt>
                <c:pt idx="14">
                  <c:v>14.1.1-2 Purchased electricity (Location-based)</c:v>
                </c:pt>
                <c:pt idx="15">
                  <c:v>14.1.1-2 Purchased electricity (Market-based)</c:v>
                </c:pt>
              </c:strCache>
            </c:strRef>
          </c:cat>
          <c:val>
            <c:numRef>
              <c:f>'Results - Activity period'!$I$9:$I$24</c:f>
              <c:numCache>
                <c:formatCode>General</c:formatCode>
                <c:ptCount val="16"/>
                <c:pt idx="0">
                  <c:v>2.460182189339152</c:v>
                </c:pt>
                <c:pt idx="1">
                  <c:v>184.92752666666664</c:v>
                </c:pt>
                <c:pt idx="2">
                  <c:v>14.783214285714285</c:v>
                </c:pt>
                <c:pt idx="3">
                  <c:v>758.08333333333326</c:v>
                </c:pt>
                <c:pt idx="4">
                  <c:v>0.43462650000000003</c:v>
                </c:pt>
                <c:pt idx="5">
                  <c:v>20.879811197519995</c:v>
                </c:pt>
                <c:pt idx="6">
                  <c:v>62.358769044000006</c:v>
                </c:pt>
                <c:pt idx="7">
                  <c:v>32.925430055231999</c:v>
                </c:pt>
                <c:pt idx="8">
                  <c:v>83.182000000000002</c:v>
                </c:pt>
                <c:pt idx="9">
                  <c:v>5.5736800000000004</c:v>
                </c:pt>
                <c:pt idx="10">
                  <c:v>154.89250000000001</c:v>
                </c:pt>
                <c:pt idx="11">
                  <c:v>29.070800000000002</c:v>
                </c:pt>
                <c:pt idx="12">
                  <c:v>2.0272000000000001</c:v>
                </c:pt>
                <c:pt idx="13">
                  <c:v>18.921000000000003</c:v>
                </c:pt>
                <c:pt idx="14">
                  <c:v>16.8</c:v>
                </c:pt>
                <c:pt idx="15">
                  <c:v>9.7200000000000006</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period'!$D$38:$D$48</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15.12.1.1 Purchased electricity (Location-based)</c:v>
                </c:pt>
                <c:pt idx="8">
                  <c:v>15.14.1.1 Incoming freight</c:v>
                </c:pt>
                <c:pt idx="9">
                  <c:v>15.13.1.1 Waste sent to treatment facility</c:v>
                </c:pt>
                <c:pt idx="10">
                  <c:v>15.14.1.1 Outgoing freight</c:v>
                </c:pt>
              </c:strCache>
            </c:strRef>
          </c:cat>
          <c:val>
            <c:numRef>
              <c:f>'Results - Activity period'!$I$38:$I$48</c:f>
              <c:numCache>
                <c:formatCode>General</c:formatCode>
                <c:ptCount val="11"/>
                <c:pt idx="0">
                  <c:v>650.23033520000001</c:v>
                </c:pt>
                <c:pt idx="1">
                  <c:v>7.4959999999999996</c:v>
                </c:pt>
                <c:pt idx="2">
                  <c:v>0.14399999999999999</c:v>
                </c:pt>
                <c:pt idx="3">
                  <c:v>1.1000000000000001</c:v>
                </c:pt>
                <c:pt idx="4">
                  <c:v>0.5</c:v>
                </c:pt>
                <c:pt idx="5">
                  <c:v>4000</c:v>
                </c:pt>
                <c:pt idx="6">
                  <c:v>26.794</c:v>
                </c:pt>
                <c:pt idx="7">
                  <c:v>2.7</c:v>
                </c:pt>
                <c:pt idx="8">
                  <c:v>5166.2</c:v>
                </c:pt>
                <c:pt idx="9">
                  <c:v>441.15000000000003</c:v>
                </c:pt>
                <c:pt idx="10">
                  <c:v>676</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0.987919447</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3.960993814</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2">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0.987758981</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2">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3.960350438</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0.987919447</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3.960993814</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55985" cy="254557"/>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4145056"/>
          <a:ext cx="195598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52458" cy="239809"/>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4145056"/>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5</xdr:col>
      <xdr:colOff>180414</xdr:colOff>
      <xdr:row>16</xdr:row>
      <xdr:rowOff>49306</xdr:rowOff>
    </xdr:from>
    <xdr:ext cx="1952458" cy="239809"/>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4145056"/>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6</xdr:col>
      <xdr:colOff>617444</xdr:colOff>
      <xdr:row>16</xdr:row>
      <xdr:rowOff>49306</xdr:rowOff>
    </xdr:from>
    <xdr:ext cx="1952458" cy="239809"/>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4145056"/>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3</xdr:col>
      <xdr:colOff>9525</xdr:colOff>
      <xdr:row>28</xdr:row>
      <xdr:rowOff>38660</xdr:rowOff>
    </xdr:from>
    <xdr:ext cx="1952458" cy="239809"/>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7106210"/>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3</xdr:col>
      <xdr:colOff>2342590</xdr:colOff>
      <xdr:row>28</xdr:row>
      <xdr:rowOff>38660</xdr:rowOff>
    </xdr:from>
    <xdr:ext cx="1952458" cy="239809"/>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7106210"/>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5</xdr:col>
      <xdr:colOff>180414</xdr:colOff>
      <xdr:row>28</xdr:row>
      <xdr:rowOff>38660</xdr:rowOff>
    </xdr:from>
    <xdr:ext cx="1952458" cy="239809"/>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7106210"/>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6</xdr:col>
      <xdr:colOff>617444</xdr:colOff>
      <xdr:row>28</xdr:row>
      <xdr:rowOff>38660</xdr:rowOff>
    </xdr:from>
    <xdr:ext cx="1952458" cy="239809"/>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7106210"/>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twoCellAnchor>
    <xdr:from>
      <xdr:col>3</xdr:col>
      <xdr:colOff>2371165</xdr:colOff>
      <xdr:row>25</xdr:row>
      <xdr:rowOff>155762</xdr:rowOff>
    </xdr:from>
    <xdr:to>
      <xdr:col>4</xdr:col>
      <xdr:colOff>875740</xdr:colOff>
      <xdr:row>28</xdr:row>
      <xdr:rowOff>108696</xdr:rowOff>
    </xdr:to>
    <xdr:sp macro="" textlink="$H$53">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0.987758981</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3">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3.960350438</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0.987919447</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3.960993814</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4">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3.954247326</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4">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15.85427764</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0.98791944687</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3.96099381409</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2030941" cy="239809"/>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4145056"/>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2030941" cy="239809"/>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4145056"/>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11</xdr:col>
      <xdr:colOff>156882</xdr:colOff>
      <xdr:row>16</xdr:row>
      <xdr:rowOff>49306</xdr:rowOff>
    </xdr:from>
    <xdr:ext cx="2030941" cy="239809"/>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4145056"/>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12</xdr:col>
      <xdr:colOff>593912</xdr:colOff>
      <xdr:row>16</xdr:row>
      <xdr:rowOff>49306</xdr:rowOff>
    </xdr:from>
    <xdr:ext cx="2030941" cy="239809"/>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4145056"/>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8</xdr:col>
      <xdr:colOff>619125</xdr:colOff>
      <xdr:row>28</xdr:row>
      <xdr:rowOff>38660</xdr:rowOff>
    </xdr:from>
    <xdr:ext cx="2030941" cy="239809"/>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7106210"/>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9</xdr:col>
      <xdr:colOff>913279</xdr:colOff>
      <xdr:row>28</xdr:row>
      <xdr:rowOff>38660</xdr:rowOff>
    </xdr:from>
    <xdr:ext cx="2030941" cy="239809"/>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7106210"/>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11</xdr:col>
      <xdr:colOff>156882</xdr:colOff>
      <xdr:row>28</xdr:row>
      <xdr:rowOff>38660</xdr:rowOff>
    </xdr:from>
    <xdr:ext cx="2030941" cy="239809"/>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7106210"/>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12</xdr:col>
      <xdr:colOff>660587</xdr:colOff>
      <xdr:row>28</xdr:row>
      <xdr:rowOff>29135</xdr:rowOff>
    </xdr:from>
    <xdr:ext cx="2030941" cy="239809"/>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7096685"/>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twoCellAnchor>
    <xdr:from>
      <xdr:col>9</xdr:col>
      <xdr:colOff>941854</xdr:colOff>
      <xdr:row>25</xdr:row>
      <xdr:rowOff>155762</xdr:rowOff>
    </xdr:from>
    <xdr:to>
      <xdr:col>10</xdr:col>
      <xdr:colOff>852208</xdr:colOff>
      <xdr:row>28</xdr:row>
      <xdr:rowOff>108696</xdr:rowOff>
    </xdr:to>
    <xdr:sp macro="" textlink="$H$55">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3.954247326</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5">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15.85427764</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Cotton lint sold</a:t>
          </a:r>
        </a:p>
      </xdr:txBody>
    </xdr:sp>
    <xdr:clientData/>
  </xdr:twoCellAnchor>
  <xdr:twoCellAnchor editAs="oneCell">
    <xdr:from>
      <xdr:col>3</xdr:col>
      <xdr:colOff>113741</xdr:colOff>
      <xdr:row>4</xdr:row>
      <xdr:rowOff>180975</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15" r="115"/>
        <a:stretch/>
      </xdr:blipFill>
      <xdr:spPr>
        <a:xfrm>
          <a:off x="2790266" y="1304925"/>
          <a:ext cx="841254" cy="841563"/>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Cottonseed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1117" r="11117"/>
        <a:stretch/>
      </xdr:blipFill>
      <xdr:spPr>
        <a:xfrm flipH="1">
          <a:off x="14976136" y="1123950"/>
          <a:ext cx="927642" cy="10701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3F794F6-5E0C-4D8F-9D9E-509052877C0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73F794F6-5E0C-4D8F-9D9E-509052877C0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40B67E0-01BD-43B1-B966-CAAD07354A0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840B67E0-01BD-43B1-B966-CAAD07354A0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DB51CD6-E223-4800-A801-9CFC53D601B4}"/>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8DB51CD6-E223-4800-A801-9CFC53D601B4}"/>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D8BE025-0440-4ED8-9D8D-60C583D65E23}"/>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CD8BE025-0440-4ED8-9D8D-60C583D65E23}"/>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C51A0F4-E251-4C2F-9F6C-9B7A68B51569}"/>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5C51A0F4-E251-4C2F-9F6C-9B7A68B51569}"/>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4758F1F-93EE-42BC-BE42-3156CDCBD3F5}"/>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D4758F1F-93EE-42BC-BE42-3156CDCBD3F5}"/>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7107230-C0DF-4292-BA9C-7D8C35CB9E0E}"/>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67107230-C0DF-4292-BA9C-7D8C35CB9E0E}"/>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600BEB6-AE1B-4434-BAF8-123C2B5D0D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600BEB6-AE1B-4434-BAF8-123C2B5D0D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38BC577-B838-4CD7-8003-E8386B428AB3}"/>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138BC577-B838-4CD7-8003-E8386B428AB3}"/>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53DC4D5-3163-4FF4-9DAB-1ACE825A09C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253DC4D5-3163-4FF4-9DAB-1ACE825A09C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2A97FA9-90BE-41A1-851B-FDBEA65C0A6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92A97FA9-90BE-41A1-851B-FDBEA65C0A6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43A9DC0-2F60-462B-A3C8-50006AE35AE0}"/>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A43A9DC0-2F60-462B-A3C8-50006AE35AE0}"/>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9687C1F-44A3-4B0D-9537-918F2200618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49687C1F-44A3-4B0D-9537-918F2200618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4518C2F-D096-4D6D-8D00-9D7C0FC0E3F1}"/>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4518C2F-D096-4D6D-8D00-9D7C0FC0E3F1}"/>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B5E4022-AAEA-4942-8680-75F937FFE74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AB5E4022-AAEA-4942-8680-75F937FFE74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7F078AB-330D-435A-B886-11284BC917BD}"/>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67F078AB-330D-435A-B886-11284BC917BD}"/>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A9B4446-4054-40D3-8652-79E1182B58D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DA9B4446-4054-40D3-8652-79E1182B58D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78381E8-87CC-424E-B607-487E9D333B7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D78381E8-87CC-424E-B607-487E9D333B7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FAB7A70-B1C1-41D1-B829-16F1388FA5E4}"/>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DFAB7A70-B1C1-41D1-B829-16F1388FA5E4}"/>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12</xdr:col>
      <xdr:colOff>28575</xdr:colOff>
      <xdr:row>7</xdr:row>
      <xdr:rowOff>71437</xdr:rowOff>
    </xdr:from>
    <xdr:ext cx="1604735" cy="35843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1517141-6CCC-4F98-A1BD-68294C87B42D}"/>
                </a:ext>
              </a:extLst>
            </xdr:cNvPr>
            <xdr:cNvSpPr txBox="1"/>
          </xdr:nvSpPr>
          <xdr:spPr>
            <a:xfrm>
              <a:off x="15935325" y="193833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r>
                          <a:rPr lang="en-AU" sz="1000" b="0" i="1">
                            <a:latin typeface="Cambria Math" panose="02040503050406030204" pitchFamily="18" charset="0"/>
                          </a:rPr>
                          <m:t>,</m:t>
                        </m:r>
                        <m:r>
                          <m:rPr>
                            <m:sty m:val="p"/>
                          </m:rPr>
                          <a:rPr lang="en-AU" sz="1000" b="0" i="1">
                            <a:latin typeface="Cambria Math" panose="02040503050406030204" pitchFamily="18" charset="0"/>
                          </a:rPr>
                          <m:t>baled</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𝐵</m:t>
                        </m:r>
                        <m:r>
                          <a:rPr lang="en-AU" sz="1000" i="1">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𝐵</m:t>
                            </m:r>
                          </m:sub>
                        </m:sSub>
                      </m:num>
                      <m:den>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m:t>
                            </m:r>
                            <m:r>
                              <a:rPr lang="en-AU" sz="1000" i="1">
                                <a:latin typeface="Cambria Math" panose="02040503050406030204" pitchFamily="18" charset="0"/>
                              </a:rPr>
                              <m:t>,</m:t>
                            </m:r>
                            <m:r>
                              <a:rPr lang="en-AU" sz="1000" i="1">
                                <a:latin typeface="Cambria Math" panose="02040503050406030204" pitchFamily="18" charset="0"/>
                              </a:rPr>
                              <m:t>𝑐</m:t>
                            </m:r>
                          </m:sub>
                        </m:sSub>
                      </m:den>
                    </m:f>
                    <m:r>
                      <a:rPr lang="en-AU" sz="1000" i="1">
                        <a:latin typeface="Cambria Math" panose="02040503050406030204" pitchFamily="18" charset="0"/>
                      </a:rPr>
                      <m:t> </m:t>
                    </m:r>
                  </m:oMath>
                </m:oMathPara>
              </a14:m>
              <a:endParaRPr lang="en-AU" sz="1000"/>
            </a:p>
          </xdr:txBody>
        </xdr:sp>
      </mc:Choice>
      <mc:Fallback xmlns="">
        <xdr:sp macro="" textlink="">
          <xdr:nvSpPr>
            <xdr:cNvPr id="3" name="TextBox 2">
              <a:extLst>
                <a:ext uri="{FF2B5EF4-FFF2-40B4-BE49-F238E27FC236}">
                  <a16:creationId xmlns:a16="http://schemas.microsoft.com/office/drawing/2014/main" id="{F1517141-6CCC-4F98-A1BD-68294C87B42D}"/>
                </a:ext>
              </a:extLst>
            </xdr:cNvPr>
            <xdr:cNvSpPr txBox="1"/>
          </xdr:nvSpPr>
          <xdr:spPr>
            <a:xfrm>
              <a:off x="15935325" y="193833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𝐹𝐹𝑂𝐷_(𝑐</a:t>
              </a:r>
              <a:r>
                <a:rPr lang="en-AU" sz="1000" b="0" i="0">
                  <a:latin typeface="Cambria Math" panose="02040503050406030204" pitchFamily="18" charset="0"/>
                </a:rPr>
                <a:t>,baled)</a:t>
              </a:r>
              <a:r>
                <a:rPr lang="en-AU" sz="1000" i="0">
                  <a:latin typeface="Cambria Math" panose="02040503050406030204" pitchFamily="18" charset="0"/>
                </a:rPr>
                <a:t>=(𝐵× 𝑀_𝐵)/(𝑃_𝑐× 𝑅_(𝐴𝐺,𝑐) ) </a:t>
              </a:r>
              <a:endParaRPr lang="en-AU" sz="10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86EC465-D391-4548-9E34-8586678516E1}"/>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sub>
                            </m:sSub>
                          </m:e>
                        </m:d>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𝐵𝐺𝑐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𝐵𝐺𝑐</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186EC465-D391-4548-9E34-8586678516E1}"/>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0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A463FED-6A1C-4D28-8D30-C5DC4850AA7F}"/>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sub>
                            </m:sSub>
                          </m:e>
                        </m:d>
                      </m:e>
                    </m:nary>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𝑔</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BA463FED-6A1C-4D28-8D30-C5DC4850AA7F}"/>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𝐸=∑2_𝑐▒(𝑀_𝑐×𝐸𝐹_𝑁 ) ×𝐶_(𝑔,𝑁2𝑂)×10^(−3)</a:t>
              </a:r>
              <a:endParaRPr lang="en-AU" sz="1000"/>
            </a:p>
          </xdr:txBody>
        </xdr:sp>
      </mc:Fallback>
    </mc:AlternateContent>
    <xdr:clientData/>
  </xdr:oneCellAnchor>
  <xdr:oneCellAnchor>
    <xdr:from>
      <xdr:col>11</xdr:col>
      <xdr:colOff>295275</xdr:colOff>
      <xdr:row>26</xdr:row>
      <xdr:rowOff>147637</xdr:rowOff>
    </xdr:from>
    <xdr:ext cx="5559406" cy="16536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84D3A77-0459-45B2-821A-63FC2D4F0BF0}"/>
                </a:ext>
              </a:extLst>
            </xdr:cNvPr>
            <xdr:cNvSpPr txBox="1"/>
          </xdr:nvSpPr>
          <xdr:spPr>
            <a:xfrm>
              <a:off x="15887700" y="67198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sub>
                            </m:sSub>
                          </m:e>
                        </m:d>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𝐵𝐺𝑐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𝐵𝐺𝑐</m:t>
                            </m:r>
                          </m:sub>
                        </m:sSub>
                      </m:e>
                    </m:d>
                  </m:oMath>
                </m:oMathPara>
              </a14:m>
              <a:endParaRPr lang="en-AU" sz="1000"/>
            </a:p>
          </xdr:txBody>
        </xdr:sp>
      </mc:Choice>
      <mc:Fallback xmlns="">
        <xdr:sp macro="" textlink="">
          <xdr:nvSpPr>
            <xdr:cNvPr id="6" name="TextBox 5">
              <a:extLst>
                <a:ext uri="{FF2B5EF4-FFF2-40B4-BE49-F238E27FC236}">
                  <a16:creationId xmlns:a16="http://schemas.microsoft.com/office/drawing/2014/main" id="{784D3A77-0459-45B2-821A-63FC2D4F0BF0}"/>
                </a:ext>
              </a:extLst>
            </xdr:cNvPr>
            <xdr:cNvSpPr txBox="1"/>
          </xdr:nvSpPr>
          <xdr:spPr>
            <a:xfrm>
              <a:off x="15887700" y="67198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000"/>
            </a:p>
          </xdr:txBody>
        </xdr:sp>
      </mc:Fallback>
    </mc:AlternateContent>
    <xdr:clientData/>
  </xdr:oneCellAnchor>
  <xdr:oneCellAnchor>
    <xdr:from>
      <xdr:col>12</xdr:col>
      <xdr:colOff>19050</xdr:colOff>
      <xdr:row>49</xdr:row>
      <xdr:rowOff>28575</xdr:rowOff>
    </xdr:from>
    <xdr:ext cx="2111860"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8E28D98-4DA6-4DEB-AE8E-51AE3D45187D}"/>
                </a:ext>
              </a:extLst>
            </xdr:cNvPr>
            <xdr:cNvSpPr txBox="1"/>
          </xdr:nvSpPr>
          <xdr:spPr>
            <a:xfrm>
              <a:off x="15925800" y="12296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𝑔</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58E28D98-4DA6-4DEB-AE8E-51AE3D45187D}"/>
                </a:ext>
              </a:extLst>
            </xdr:cNvPr>
            <xdr:cNvSpPr txBox="1"/>
          </xdr:nvSpPr>
          <xdr:spPr>
            <a:xfrm>
              <a:off x="15925800" y="12296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𝐸=∑_𝑐▒〖𝑀_𝑐×𝐸𝐹_𝑁×𝐶_(𝑔,𝑁2𝑂)×10^(−3) 〗</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6920FA1-DF1C-4AC5-B08F-9E0085F9C9C3}"/>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76920FA1-DF1C-4AC5-B08F-9E0085F9C9C3}"/>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B68034A-C6C0-4F76-AB88-28E8D79EC20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B68034A-C6C0-4F76-AB88-28E8D79EC20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214E8CF-2873-471B-9FAC-19475A8F87AA}"/>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214E8CF-2873-471B-9FAC-19475A8F87AA}"/>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36C0742-7D7C-40DE-AC20-0FB44505EF99}"/>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36C0742-7D7C-40DE-AC20-0FB44505EF99}"/>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EEDE869-6577-4E79-B0AD-EC864521313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FEEDE869-6577-4E79-B0AD-EC864521313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85E4125-ACF6-448B-ABA2-115D8A3C2EE1}"/>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85E4125-ACF6-448B-ABA2-115D8A3C2EE1}"/>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778B33-8E5A-404C-85D3-EEF50076733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0778B33-8E5A-404C-85D3-EEF50076733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2976457-0A00-41C0-865C-DB46FE63A31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52976457-0A00-41C0-865C-DB46FE63A31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C56E29E-CD0E-4C9B-B824-394D4A424537}"/>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8C56E29E-CD0E-4C9B-B824-394D4A424537}"/>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A8E0E16-4DAF-4B0E-99FD-9BEE6DE39E3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AA8E0E16-4DAF-4B0E-99FD-9BEE6DE39E3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3547B1A-8D6E-40A3-B78E-56C6220403DC}"/>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3547B1A-8D6E-40A3-B78E-56C6220403DC}"/>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EE0E9FF-D433-4F3B-8955-A5996FABBD2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AEE0E9FF-D433-4F3B-8955-A5996FABBD2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54C6B3-CB87-429C-B3B5-6687FF56858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BF54C6B3-CB87-429C-B3B5-6687FF56858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12920C8-9AA3-452D-BF60-1C7332F6BE94}"/>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12920C8-9AA3-452D-BF60-1C7332F6BE94}"/>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0F8365A-911D-4D85-9BCB-F30C303EC303}"/>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A0F8365A-911D-4D85-9BCB-F30C303EC303}"/>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745B695-87BA-430E-A3C6-FBCFE6CE53D5}"/>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7745B695-87BA-430E-A3C6-FBCFE6CE53D5}"/>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9B7C805-032D-49DD-B018-77C217ECA1A6}"/>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29B7C805-032D-49DD-B018-77C217ECA1A6}"/>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C397582-5513-4E8E-B616-00C01EF1CB14}"/>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3C397582-5513-4E8E-B616-00C01EF1CB14}"/>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CABE9FD-978E-4B8D-9074-CDE4848998F1}"/>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3CABE9FD-978E-4B8D-9074-CDE4848998F1}"/>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B575D6AD-1D65-496D-9F0B-FFD32F5B7595}"/>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B575D6AD-1D65-496D-9F0B-FFD32F5B7595}"/>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5138D09E-9103-4CA0-860F-14C60841005C}"/>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5138D09E-9103-4CA0-860F-14C60841005C}"/>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0894BEE-661D-461A-9B11-46FB741A34E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20894BEE-661D-461A-9B11-46FB741A34E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492C379C-C784-4A60-A995-E02394F66CAA}"/>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492C379C-C784-4A60-A995-E02394F66CAA}"/>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F293093D-4798-4376-89AC-F32CD41D757D}"/>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F293093D-4798-4376-89AC-F32CD41D757D}"/>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2E73C39E-E963-49EA-8473-801CD20F915A}"/>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2E73C39E-E963-49EA-8473-801CD20F915A}"/>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60DDD83-82C5-45A8-94D1-EC5F9253171C}"/>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960DDD83-82C5-45A8-94D1-EC5F9253171C}"/>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5777B547-1607-4C10-B85D-CA86A42BACA4}"/>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5777B547-1607-4C10-B85D-CA86A42BACA4}"/>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FBA62476-7B2D-4E2E-9BC2-485D81A4B60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FBA62476-7B2D-4E2E-9BC2-485D81A4B60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E88B9B48-B0B3-4207-9503-A269486F0AD4}"/>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E88B9B48-B0B3-4207-9503-A269486F0AD4}"/>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D3BD5AA1-D8D1-43B2-B6AE-D658087DA2BB}"/>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D3BD5AA1-D8D1-43B2-B6AE-D658087DA2BB}"/>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933E8E88-9A8F-446C-A864-40F939BFD1FC}"/>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933E8E88-9A8F-446C-A864-40F939BFD1FC}"/>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632BFA-E22D-492C-A512-E329C88CD258}"/>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26632BFA-E22D-492C-A512-E329C88CD258}"/>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43939B7E-0D47-4B93-AB2F-173F0D9A1EBA}"/>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43939B7E-0D47-4B93-AB2F-173F0D9A1EBA}"/>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A4C0C5A0-F2B0-4A60-9B89-88106A2F3453}"/>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A4C0C5A0-F2B0-4A60-9B89-88106A2F3453}"/>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D70C0926-AA6D-407F-98F0-68361388A24A}"/>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D70C0926-AA6D-407F-98F0-68361388A24A}"/>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9078D4-8E5A-4B0F-980C-5705307BB17C}" name="Table_Input_InorganicFertiliser_Brands" displayName="Table_Input_InorganicFertiliser_Brands" ref="D11:Z21" headerRowDxfId="400" dataDxfId="399" totalsRowDxfId="398">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06189751-57F2-4C1D-BCBB-9D7BD16276A2}" name="Product (select)" dataDxfId="397" totalsRowDxfId="396" dataCellStyle="Input select"/>
    <tableColumn id="23" xr3:uid="{81D8A22E-BB1C-4703-BC01-A7CF5FCBD42E}" name="Amount applied per hectare" totalsRowFunction="custom" dataDxfId="395" totalsRowDxfId="394">
      <totalsRowFormula>SUM(Table_Input_InorganicFertiliser_Brands[[#Headers],[#Data],[Amount applied per hectare]])</totalsRowFormula>
    </tableColumn>
    <tableColumn id="12" xr3:uid="{AA8D9F8C-BDFA-44F1-8688-BF1957E06A20}" name="Application unit" dataDxfId="393" totalsRowDxfId="392" dataCellStyle="Input number 2 decimal places"/>
    <tableColumn id="6" xr3:uid="{4B437142-0F94-4B8F-B113-75D278104E17}" name="Application area (ha)" dataDxfId="391" totalsRowDxfId="390">
      <calculatedColumnFormula>X_Cell_Fertiliser_AreaUnderCropping</calculatedColumnFormula>
    </tableColumn>
    <tableColumn id="9" xr3:uid="{917136C8-DA90-4BB0-8314-3CA74C3BC627}" name="Density" dataDxfId="389" totalsRowDxfId="388" dataCellStyle="Input number general calculated"/>
    <tableColumn id="1" xr3:uid="{560F84C5-3CD9-436D-BA02-731E9F3B1906}" name="Total applied (kg)" dataDxfId="387" totalsRowDxfId="38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9830ABA-B035-4D21-9AC3-22D81C92168B}" name="Ingredient 1" dataDxfId="385" totalsRowDxfId="384" dataCellStyle="Input number general calculated"/>
    <tableColumn id="4" xr3:uid="{5877B96A-6B11-4C96-ABD2-66E83A6B9C58}" name="Ingredient 1 percent" dataDxfId="383" dataCellStyle="Input number general calculated"/>
    <tableColumn id="7" xr3:uid="{925D6C51-2766-43D9-91EF-300AB7EFA328}" name="Ingredient 2" dataDxfId="382" dataCellStyle="Input number general calculated"/>
    <tableColumn id="8" xr3:uid="{552714E9-770C-45D3-A31E-6940B22AA926}" name="Ingredient 2 percent" dataDxfId="381" totalsRowDxfId="380" dataCellStyle="Input number general calculated"/>
    <tableColumn id="10" xr3:uid="{DA0AB70C-F9D5-4A20-827A-686C603DBCFD}" name="Ingredient 3" dataDxfId="379" totalsRowDxfId="378" dataCellStyle="Input number general calculated"/>
    <tableColumn id="11" xr3:uid="{D392601B-4A00-48DF-9796-C56FA3C501BC}" name="Ingredient 3 percent" dataDxfId="377" totalsRowDxfId="376" dataCellStyle="Input number general calculated"/>
    <tableColumn id="13" xr3:uid="{CC2EDDDC-6377-4BC8-9D0E-93BE2054DB55}" name="Ingredient 4" dataDxfId="375" totalsRowDxfId="374" dataCellStyle="Input number general calculated"/>
    <tableColumn id="14" xr3:uid="{E0AFC458-8573-4DD5-BAEA-DD4899BB0A0B}" name="Ingredient 4 percent" dataDxfId="373" dataCellStyle="Input number general calculated"/>
    <tableColumn id="16" xr3:uid="{2FF6E22A-AA5A-4E7D-AF20-44091B3B522A}" name="Ingredient 5" dataDxfId="372" dataCellStyle="Input number general calculated"/>
    <tableColumn id="17" xr3:uid="{59B84792-31BD-4E58-866D-A3AEDF62DDAB}" name="Ingredient 5 percent" dataDxfId="371" dataCellStyle="Input number general calculated"/>
    <tableColumn id="19" xr3:uid="{0A37A90E-49BD-4F31-9528-366F950ED7D7}" name="Ingredient 6" dataDxfId="370" dataCellStyle="Input number general calculated"/>
    <tableColumn id="20" xr3:uid="{064EF983-1D17-4EF2-8685-560A56284726}" name="Ingredient 6 percent" dataDxfId="369" dataCellStyle="Input number general calculated"/>
    <tableColumn id="21" xr3:uid="{08FCDDF0-EA19-40E7-BF2D-565A7466DD7C}" name="% N (Ingredients)" dataDxfId="368" dataCellStyle="Input number general calculated"/>
    <tableColumn id="22" xr3:uid="{C3138065-F3FB-4CB9-AE85-FAD5F894FD9D}" name="% N (declared)" dataDxfId="367" dataCellStyle="Content normal"/>
    <tableColumn id="5" xr3:uid="{F594534E-98A9-415D-84B5-6437CB346242}" name="N application rate (kg/ha)" dataDxfId="366" totalsRowDxfId="365"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220B07C2-0102-47A6-9123-CE52A9C8ED9D}" name="Urea source" dataDxfId="364" totalsRowDxfId="363" dataCellStyle="Input number general calculated"/>
    <tableColumn id="18" xr3:uid="{21ECFE55-59C1-4924-BFB0-6341125587A9}" name="Ammonia source" dataDxfId="362" totalsRowDxfId="361"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B9F263-EE4D-4B30-BF11-F7B8AB02E8E3}" name="Table_Input_InorganicFertiliser_Custom" displayName="Table_Input_InorganicFertiliser_Custom" ref="D24:R34" totalsRowShown="0" headerRowDxfId="360" dataDxfId="359">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36B2F5-5B15-4E5D-9CF9-7F4ABC59908C}" name="Custom blend name" dataCellStyle="Input text"/>
    <tableColumn id="2" xr3:uid="{92392BBD-07E8-4295-B6EA-104A88324F9C}" name="Amount applied (kg / ha)" dataDxfId="358"/>
    <tableColumn id="3" xr3:uid="{DFBCFC71-A24E-45AD-A337-457846B30197}" name="Application area (ha)" dataDxfId="357" dataCellStyle="Input number 2 decimal places">
      <calculatedColumnFormula>X_Cell_Fertiliser_AreaUnderCropping</calculatedColumnFormula>
    </tableColumn>
    <tableColumn id="4" xr3:uid="{60D18C0A-E02C-4907-A1F1-D5F8C54DFB44}" name="Total applied (kg)" dataDxfId="356" dataCellStyle="Input number general calculated">
      <calculatedColumnFormula>Table_Input_InorganicFertiliser_Custom[[#This Row],[Amount applied (kg / ha)]]*Table_Input_InorganicFertiliser_Custom[[#This Row],[Application area (ha)]]</calculatedColumnFormula>
    </tableColumn>
    <tableColumn id="5" xr3:uid="{304F926B-FD01-4263-AD2C-1E34E539AD91}" name="Ingredient 1 (select)" dataDxfId="355" dataCellStyle="Input select"/>
    <tableColumn id="6" xr3:uid="{AE9E465F-F0D0-4620-B2AD-1F71EF435EC5}" name="Ingredient 1 percent" dataDxfId="354"/>
    <tableColumn id="8" xr3:uid="{F070C869-F667-45C7-98DF-05807A1BE933}" name="Ingredient 2" dataDxfId="353" dataCellStyle="Input select"/>
    <tableColumn id="9" xr3:uid="{C34B11D2-E455-42A9-8DE6-59E8BB6C12F1}" name="Ingredient 2 percent" dataDxfId="352"/>
    <tableColumn id="11" xr3:uid="{2107D117-B177-4C00-A1CF-51A505E54834}" name="Ingredient 3" dataDxfId="351" dataCellStyle="Input select"/>
    <tableColumn id="12" xr3:uid="{68833083-9525-460B-9520-1E78E91417C7}" name="Ingredient 3 percent" dataDxfId="350"/>
    <tableColumn id="14" xr3:uid="{F4B35B93-372F-4ABD-B850-34CBD3EFA5F8}" name="Ingredient 4" dataDxfId="349" dataCellStyle="Input select"/>
    <tableColumn id="15" xr3:uid="{39CEB3E2-4D07-4D8B-AC98-54E7A4054205}" name="Ingredient 4 percent" dataCellStyle="Input percent"/>
    <tableColumn id="7" xr3:uid="{845C592B-720C-4F2A-9AEB-A4C5268921D3}" name="N application rate (kg/ha)" dataDxfId="348" dataCellStyle="Input number general calculated"/>
    <tableColumn id="10" xr3:uid="{16277DB0-740B-4ECF-A37C-67AA0028A0D8}" name="Urea source (Select)" dataCellStyle="Input select"/>
    <tableColumn id="13" xr3:uid="{99DC9DAB-389F-48CC-9566-26AA9BBE801A}"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89D4FA-D089-4CFE-8206-7382B099D936}" name="Table_Input_Lime" displayName="Table_Input_Lime" ref="D41:K44" totalsRowShown="0" headerRowDxfId="347" dataDxfId="346"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7516AEC-AFD0-4EE5-B6DA-C2E39AAD5CA0}" name="Product" dataDxfId="345"/>
    <tableColumn id="2" xr3:uid="{F38A4A60-6215-45E5-A4A9-5482F8DAA2B1}" name="Amount applied (t/hectare)" dataDxfId="344"/>
    <tableColumn id="4" xr3:uid="{5137B4C9-C4A5-491F-8AB7-A32660D9AD72}" name="Application area (ha)" dataDxfId="343" dataCellStyle="Input number 2 decimal places">
      <calculatedColumnFormula>X_Cell_Fertiliser_AreaUnderCropping</calculatedColumnFormula>
    </tableColumn>
    <tableColumn id="3" xr3:uid="{D5F5A86B-2802-4B2B-9307-8B5D7668DC95}" name="Total amount applied (t)" dataDxfId="342" dataCellStyle="Input number general calculated">
      <calculatedColumnFormula>IFERROR(Table_Input_Lime[[#This Row],[Amount applied (t/hectare)]]*Table_Input_Lime[[#This Row],[Application area (ha)]], 0)</calculatedColumnFormula>
    </tableColumn>
    <tableColumn id="6" xr3:uid="{3015F8DE-4A2E-43B5-9936-EE1EF4A0B882}" name="Percent Lime CaCO3" dataDxfId="341"/>
    <tableColumn id="8" xr3:uid="{A5F0C07A-8964-49B8-9148-87CF9CC665F2}" name="Percent Dolomite CaMg(CO3)2" dataDxfId="340"/>
    <tableColumn id="7" xr3:uid="{101C03C4-F7C9-488E-8758-45DA1DD574C9}" name="Percent Gypsum" dataDxfId="339"/>
    <tableColumn id="10" xr3:uid="{413B7A35-8E66-4BAC-8DCF-05BB3F437D08}" name="Total" dataDxfId="338"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392C05C-1C68-444E-88CB-C2F5649A9C39}" name="Table_Input_OrganicFertiliser" displayName="Table_Input_OrganicFertiliser" ref="D53:J56" totalsRowShown="0" headerRowDxfId="337" dataDxfId="336"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1821556-E2C5-4EDD-9485-0357871141CE}" name="Organic fertiliser type (select)" dataDxfId="335" dataCellStyle="Input select"/>
    <tableColumn id="5" xr3:uid="{80100339-4E0E-4413-A66A-AA78A838C691}" name="Percentage of N in fertiliser" dataDxfId="334"/>
    <tableColumn id="2" xr3:uid="{D07B3C55-55F1-47B4-80BB-604F4B45019D}" name="Amount applied (kg/hectare)" dataDxfId="333"/>
    <tableColumn id="11" xr3:uid="{B0ECE2BB-00B6-4411-9103-87E79ACED565}" name="Amount N applied (kg/hectare)" dataDxfId="332" dataCellStyle="Input number general calculated">
      <calculatedColumnFormula>Table_Input_OrganicFertiliser[[#This Row],[Amount applied (kg/hectare)]]*Table_Input_OrganicFertiliser[[#This Row],[Percentage of N in fertiliser]]</calculatedColumnFormula>
    </tableColumn>
    <tableColumn id="4" xr3:uid="{40F634DA-4B30-4A51-A5CC-8F3F9006358A}" name="Application area (ha)" dataDxfId="331" dataCellStyle="Input number 2 decimal places">
      <calculatedColumnFormula>X_Cell_Fertiliser_AreaUnderCropping</calculatedColumnFormula>
    </tableColumn>
    <tableColumn id="7" xr3:uid="{0F415449-1FCB-4A48-8042-BC2E887B51FF}" name="Total organic fertliser applied" dataDxfId="330" dataCellStyle="Input number general calculated">
      <calculatedColumnFormula>Table_Input_OrganicFertiliser[[#This Row],[Amount applied (kg/hectare)]]*Table_Input_OrganicFertiliser[[#This Row],[Application area (ha)]]</calculatedColumnFormula>
    </tableColumn>
    <tableColumn id="3" xr3:uid="{6FE77F49-369A-496D-BF23-19728B38C613}" name="Total nitrogen applied (kg)" dataDxfId="329"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6E83647-A489-403D-A7A5-8588B5EB10CB}" name="Table_Input_Fuel" displayName="Table_Input_Fuel" ref="D16:J21" totalsRowDxfId="328"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22ABA030-5BE8-4B91-8A4A-4DE15928B176}" name="Fuel use (select)" totalsRowFunction="average" totalsRowDxfId="327" dataCellStyle="Input select" totalsRowCellStyle="Input select"/>
    <tableColumn id="3" xr3:uid="{363C6C95-C27B-4B43-9B29-92FC5B9BCD21}" name="Fuel type (select)" totalsRowDxfId="326" dataCellStyle="Input select" totalsRowCellStyle="Input select"/>
    <tableColumn id="4" xr3:uid="{5633CAF8-F2A9-425E-B549-713887714D2E}" name="Amount purchased" totalsRowDxfId="325" totalsRowCellStyle="Content bold"/>
    <tableColumn id="6" xr3:uid="{098F1BC8-E512-40DC-8295-BF560D41D9D8}" name="Amount unit" totalsRowDxfId="324" dataCellStyle="Input number general calculated" totalsRowCellStyle="Input text calculated"/>
    <tableColumn id="5" xr3:uid="{ADF43B3C-0527-4074-B08D-21585CB791BC}" name="Percent consumed" totalsRowDxfId="323" totalsRowCellStyle="Input percent">
      <calculatedColumnFormula>1</calculatedColumnFormula>
    </tableColumn>
    <tableColumn id="1" xr3:uid="{3C0E3383-9479-4B89-AA2B-35B5EA2C24AE}" name="Amount consumed" totalsRowFunction="custom" totalsRowDxfId="322"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49665C62-C3A0-414B-AF5F-AE2F45BC89B3}" name="Amount consumed unit" totalsRowDxfId="321" dataCellStyle="Input number general calculated"/>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8290F4C-8EA0-4F9A-AAC5-3EB609338D45}"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B7EE815A-7A65-41F4-966F-766F2F702E2D}" name="Description"/>
    <tableColumn id="5" xr3:uid="{436428E7-9415-4AB2-A067-3D5D4BCA8714}" name="Source (select)" dataCellStyle="Input select"/>
    <tableColumn id="2" xr3:uid="{7D62D850-A68A-44F6-A1D2-B0D714FC2AD3}" name="Generation date" dataDxfId="320"/>
    <tableColumn id="3" xr3:uid="{026B35AA-8563-404B-A6D4-DEEE22835DA6}" name="Number of certificates"/>
    <tableColumn id="4" xr3:uid="{9759F272-4BE7-499B-BC90-6B86C61CB190}" name="MWh" dataCellStyle="Input number general calculated">
      <calculatedColumnFormula>Table_Input_RECSurrendered[[#This Row],[Number of certificates]]</calculatedColumnFormula>
    </tableColumn>
    <tableColumn id="7" xr3:uid="{6D442344-7A23-4084-BEBE-B264FF22578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0369160-6A19-4A05-9F3A-6E488EB8BA1C}"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2A699171-EADD-40E1-B008-E08AFC7EC975}" name="Description"/>
    <tableColumn id="5" xr3:uid="{75BA258A-D738-47FA-BF52-FCBF068AAAE8}" name="Source" dataCellStyle="Input text calculated">
      <calculatedColumnFormula>"Issued for generated electricity"</calculatedColumnFormula>
    </tableColumn>
    <tableColumn id="2" xr3:uid="{D04A5470-7F37-440A-9431-D84B69625593}" name="Generation date" dataDxfId="319"/>
    <tableColumn id="3" xr3:uid="{CF25BD15-B031-4506-998D-485E4D981263}" name="Number of certificates"/>
    <tableColumn id="4" xr3:uid="{3C62F5B8-7BD0-4398-832F-50F7BC421EF5}" name="MWh" dataCellStyle="Input number general calculated">
      <calculatedColumnFormula>Table_Input_RECConsumedByEntity[[#This Row],[Number of certificates]]</calculatedColumnFormula>
    </tableColumn>
    <tableColumn id="7" xr3:uid="{5F4BCFF5-CC2C-4508-BECD-6ACD5D6F013C}"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3E4DAC53-1337-4D65-B7B8-BEA2BE060C65}"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439408A5-9AF9-4443-935E-823AAD138C8B}" name="Product name" dataCellStyle="Input text"/>
    <tableColumn id="1" xr3:uid="{4142F23B-C37B-45D7-BEA9-B2AE11671CE0}" name="Type (select)" dataCellStyle="Input select"/>
    <tableColumn id="2" xr3:uid="{FD8E8C44-133B-4123-BA8C-680D343A9DEE}" name="Quantity purchased (kg)"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56DFC3A5-4C4C-4D00-A48D-01C348CC9F0D}"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BECA1B5D-9510-4B25-9ACD-B6D2A63397DD}" name="Product / service name" dataCellStyle="Input text"/>
    <tableColumn id="2" xr3:uid="{8A890915-157A-4C8D-AFE9-6DFBBE2C8DAF}" name="Amount" dataCellStyle="Input number general"/>
    <tableColumn id="3" xr3:uid="{FE0062FC-A001-4B7D-8322-6C3AB32850FD}"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138622E0-A8DF-4654-9AB9-C0E20C718816}"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52B6468E-4BCB-4CE6-AD0B-3B7D7E809AAA}" name="Service provider / contractor" dataCellStyle="Input text"/>
    <tableColumn id="4" xr3:uid="{DCBD0AC5-F66F-4371-AA54-CA4E07353DFE}" name="Activity" dataCellStyle="Input text"/>
    <tableColumn id="2" xr3:uid="{BFF8D78A-7005-45FC-BFBD-2E1709B397FD}" name="Total amount" dataCellStyle="Input number general"/>
    <tableColumn id="3" xr3:uid="{56C8AF7B-40AC-41FE-BA45-DB3EC9A42185}"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37AB66D-133C-475D-AB65-C2634ADB280E}" name="Table_Input_Pesticides" displayName="Table_Input_Pesticides" ref="D9:R19" totalsRowShown="0" headerRowDxfId="318">
  <autoFilter ref="D9:R19" xr:uid="{BA52E4BB-C3D1-441A-A568-0AD50449E880}"/>
  <tableColumns count="15">
    <tableColumn id="1" xr3:uid="{05FCAA82-2DDA-4752-AF52-AF7AB30FD03F}" name="Product name"/>
    <tableColumn id="2" xr3:uid="{DAAA3455-E12E-4E3D-B909-F56CCB7CED9D}" name="Amount applied per ha"/>
    <tableColumn id="7" xr3:uid="{84CF38F8-39C8-4BA5-8D27-89605F857415}" name="Application unit (select)" dataCellStyle="Input select"/>
    <tableColumn id="6" xr3:uid="{522C5600-ACDE-4489-A4A8-2168D874149C}" name="Application area (ha)" dataCellStyle="Input number general"/>
    <tableColumn id="3" xr3:uid="{6187067C-7155-4303-91CA-45D8873A69A4}" name="Total applied" dataCellStyle="Input number general calculated">
      <calculatedColumnFormula>Table_Input_Pesticides[[#This Row],[Amount applied per ha]]*Table_Input_Pesticides[[#This Row],[Application area (ha)]]</calculatedColumnFormula>
    </tableColumn>
    <tableColumn id="5" xr3:uid="{AAE6FFCB-4D5B-4D33-B6B2-9D2D4EC2373D}" name="Constituent unit (select)" dataCellStyle="Input select"/>
    <tableColumn id="4" xr3:uid="{F643951C-112F-45B9-BA1A-C33F81C8DDDE}" name="Active ingredient 1 (select)" dataCellStyle="Input select"/>
    <tableColumn id="8" xr3:uid="{EC6048FB-E7AE-48E9-BF9C-AE66C81BD1B1}" name="Active ingredient 1 amount" dataCellStyle="Input number general"/>
    <tableColumn id="16" xr3:uid="{E8BD1ADE-E29F-47DA-AD35-2CAB2182CA67}"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1AA457FA-8E58-47DF-A730-F98022BB3DA5}" name="Active ingredient 2 (select)" dataCellStyle="Input select"/>
    <tableColumn id="11" xr3:uid="{4E63B02C-7C9D-415B-91B2-D95274186DE7}" name="Active ingredient 2 amount" dataCellStyle="Input number general"/>
    <tableColumn id="17" xr3:uid="{DADD4B64-6B5C-46C8-BB9B-EF187F9A3726}"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BECC5079-2342-41B3-AD47-D9E6F3800709}" name="Active ingredient 3 (select)" dataCellStyle="Input select"/>
    <tableColumn id="14" xr3:uid="{022AE497-FE2F-4192-8D87-1B9E7CBC65A3}" name="Active ingredient 3 amount" dataCellStyle="Input number general"/>
    <tableColumn id="18" xr3:uid="{ECD3DFB5-585A-465E-8208-BD200D2283BE}"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C48D6E9-D5B5-4360-AE30-FD680ECC3E1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9F009B6C-750E-4706-8C5A-BF5FB216F6AF}" name="Route name" dataCellStyle="Input text"/>
    <tableColumn id="2" xr3:uid="{86E5D6B6-D0A1-4F13-A3AD-35F8DF2B82D4}" name="Freight type (select)" dataCellStyle="Input select"/>
    <tableColumn id="3" xr3:uid="{18F4468D-5EAD-4779-84B0-5620C88D3191}" name="Route distance (km)"/>
    <tableColumn id="4" xr3:uid="{32E038AA-4DB3-48F0-AF6A-3D053F2E09BA}" name="Average weight of freight per trip (t)"/>
    <tableColumn id="5" xr3:uid="{97CA0F54-8AE7-4785-8B9A-7EA9C128083C}"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84A71867-3D80-4883-BEE4-2D7A0887B4E1}"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2B835BFC-B4B3-41A4-BD65-7EAF8D2FB9A8}" name="Route name" dataCellStyle="Input text"/>
    <tableColumn id="2" xr3:uid="{E1055E60-2B5E-47D0-B46D-CB765B5EE2E0}" name="Freight type (select)" dataCellStyle="Input select"/>
    <tableColumn id="3" xr3:uid="{2843D2FC-1B99-4643-8A12-32C2E256558A}" name="Route distance (km)"/>
    <tableColumn id="4" xr3:uid="{F247020B-5D93-445B-BAC6-F7C1C5B3C53A}" name="Average weight of freight per trip (t)"/>
    <tableColumn id="5" xr3:uid="{1F0FDE35-7857-4CFB-892D-C42D255136CD}" name="Number of trips take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B03FC888-6259-4FA9-891C-F0E191FEF7A1}"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1523AAE1-0BB7-479D-8E8C-FC9C4DB3D115}" name="Description" dataCellStyle="Input text"/>
    <tableColumn id="5" xr3:uid="{FF33B941-EBA0-4809-AC17-BCDE54099D6A}" name="Treatment type (select)" dataCellStyle="Input select"/>
    <tableColumn id="2" xr3:uid="{3B932887-B98F-48D3-AC68-53F7F51F5821}" name="Waste type (select)" dataCellStyle="Input select"/>
    <tableColumn id="3" xr3:uid="{A156027C-FFB0-45CA-A03C-C3D06F220A7C}" name="Treatment location (select)" dataCellStyle="Input select"/>
    <tableColumn id="4" xr3:uid="{70EDF91C-A7FB-40F3-9E30-5CAC397A28C3}" name="Amount" dataCellStyle="Input number general"/>
    <tableColumn id="7" xr3:uid="{F815AB93-085C-41F3-B2FA-F03F43575554}" name="Amount unit (selec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A3F219A-9CFF-477B-ABE7-990F083D75D9}"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2499FBF-E399-4C7D-9DC6-D8F838DFF079}" name="Crop type">
      <calculatedColumnFormula array="1">Common_InputFunctions.Utility_DisplayArrayInTable(Agresidue_SourceData.CropAttributes_Data(),Table_SourceData_CropAttributes[[#Headers],[Crop type]], -1)</calculatedColumnFormula>
    </tableColumn>
    <tableColumn id="2" xr3:uid="{C54021F8-6EE3-4E1D-ABDD-EEBC1EAA0340}" name="Residue: Crop ratio">
      <calculatedColumnFormula array="1">Common_InputFunctions.Utility_DisplayArrayInTable(Agresidue_SourceData.CropAttributes_Data(),Table_SourceData_CropAttributes[[#Headers],[Crop type]], -1)</calculatedColumnFormula>
    </tableColumn>
    <tableColumn id="3" xr3:uid="{5D175E2C-9529-4C5A-986C-E61C441A0A2D}" name="Below-ground: above-ground residue ratio">
      <calculatedColumnFormula array="1">Common_InputFunctions.Utility_DisplayArrayInTable(Agresidue_SourceData.CropAttributes_Data(),Table_SourceData_CropAttributes[[#Headers],[Crop type]], -1)</calculatedColumnFormula>
    </tableColumn>
    <tableColumn id="4" xr3:uid="{B5CDB009-735F-41ED-93B8-95A00EF38CC3}" name="Dry matter content">
      <calculatedColumnFormula array="1">Common_InputFunctions.Utility_DisplayArrayInTable(Agresidue_SourceData.CropAttributes_Data(),Table_SourceData_CropAttributes[[#Headers],[Crop type]], -1)</calculatedColumnFormula>
    </tableColumn>
    <tableColumn id="5" xr3:uid="{C0212E75-830F-4F23-8266-B8BBB9F3630D}" name="Carbon fraction in dry matter">
      <calculatedColumnFormula array="1">Common_InputFunctions.Utility_DisplayArrayInTable(Agresidue_SourceData.CropAttributes_Data(),Table_SourceData_CropAttributes[[#Headers],[Crop type]], -1)</calculatedColumnFormula>
    </tableColumn>
    <tableColumn id="6" xr3:uid="{3817C9D9-6C4C-417D-87A5-6C86492F0CC1}" name="N content above-ground">
      <calculatedColumnFormula array="1">Common_InputFunctions.Utility_DisplayArrayInTable(Agresidue_SourceData.CropAttributes_Data(),Table_SourceData_CropAttributes[[#Headers],[Crop type]], -1)</calculatedColumnFormula>
    </tableColumn>
    <tableColumn id="7" xr3:uid="{67728B60-9855-4819-AEC7-C32EF5F3C624}" name="N content below-ground">
      <calculatedColumnFormula array="1">Common_InputFunctions.Utility_DisplayArrayInTable(Agresidue_SourceData.CropAttributes_Data(),Table_SourceData_CropAttributes[[#Headers],[Crop type]], -1)</calculatedColumnFormula>
    </tableColumn>
    <tableColumn id="8" xr3:uid="{71109A57-38EA-4C2E-A761-91241EB233BA}"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618E9320-7624-4FA4-B545-156FDC8F28E8}"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3A469B9-1F24-43E3-AD62-0345AC26070B}" name="Table76" displayName="Table76" ref="D73:F89" totalsRowShown="0">
  <autoFilter ref="D73:F89" xr:uid="{7CD0B032-9881-4EF1-81E3-483C7C16D9D0}">
    <filterColumn colId="0" hiddenButton="1"/>
    <filterColumn colId="1" hiddenButton="1"/>
    <filterColumn colId="2" hiddenButton="1"/>
  </autoFilter>
  <tableColumns count="3">
    <tableColumn id="1" xr3:uid="{F0A4DA43-88BA-40B3-B16E-FCC43639A332}" name="Crop type c">
      <calculatedColumnFormula array="1">Common_InputFunctions.Utility_DisplayArrayInTable(Agresidue_SourceData.CropFractionRemoved_Data(), Table76[[#Headers],[Crop type c]], 0)</calculatedColumnFormula>
    </tableColumn>
    <tableColumn id="2" xr3:uid="{BDB03B67-D6DB-4432-A0D0-2E4C980AD62A}" name="State" dataDxfId="317">
      <calculatedColumnFormula array="1">Common_InputFunctions.Utility_DisplayArrayInTable(Agresidue_SourceData.CropFractionRemoved_Data(), Table76[[#Headers],[Crop type c]], 0)</calculatedColumnFormula>
    </tableColumn>
    <tableColumn id="3" xr3:uid="{08A6B2F9-0C8D-4E6F-AB34-A4DF5F6C1933}" name="Fraction removed" dataDxfId="316">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2157C7E-29F9-44DC-91BB-3F7AFA5ADACC}" name="Table77" displayName="Table77" ref="D92:F235" totalsRowShown="0">
  <autoFilter ref="D92:F235" xr:uid="{1FA7CC86-1C1E-41FA-9AA1-AAD48AA2EEF0}">
    <filterColumn colId="0" hiddenButton="1"/>
    <filterColumn colId="1" hiddenButton="1"/>
    <filterColumn colId="2" hiddenButton="1"/>
  </autoFilter>
  <tableColumns count="3">
    <tableColumn id="1" xr3:uid="{3853C922-3B36-4787-8C7D-E5CD81AAF5AA}" name="Crop type c">
      <calculatedColumnFormula array="1">Common_InputFunctions.Utility_DisplayArrayInTable(Agresidue_SourceData.CropFractionRemoved_CustomisedData(), Table77[[#Headers],[Crop type c]], 0)</calculatedColumnFormula>
    </tableColumn>
    <tableColumn id="2" xr3:uid="{53B78759-F3F1-4117-8668-D73E5709175C}" name="State" dataDxfId="315">
      <calculatedColumnFormula array="1">Common_InputFunctions.Utility_DisplayArrayInTable(Agresidue_SourceData.CropFractionRemoved_CustomisedData(), Table77[[#Headers],[Crop type c]], 0)</calculatedColumnFormula>
    </tableColumn>
    <tableColumn id="3" xr3:uid="{B60D3807-FEA4-4D80-A16C-3E0FC82A2612}" name="Fraction removed" dataDxfId="314">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DBB2240-74B6-43BC-BEB3-D57951139887}" name="Table_SourceData_N2OEFOrganicFert" displayName="Table_SourceData_N2OEFOrganicFert" ref="D43:E45" totalsRowShown="0" dataDxfId="313" dataCellStyle="Content bold">
  <autoFilter ref="D43:E45" xr:uid="{2270AB6D-D03A-4D71-95C0-00BA6BB02732}">
    <filterColumn colId="0" hiddenButton="1"/>
    <filterColumn colId="1" hiddenButton="1"/>
  </autoFilter>
  <tableColumns count="2">
    <tableColumn id="1" xr3:uid="{CBFF5B34-D071-4311-8C56-9384B63FED49}" name="Climate zone type i" dataDxfId="312" dataCellStyle="Content bold">
      <calculatedColumnFormula array="1">Common_InputFunctions.Utility_DisplayArrayInTable(Agresidue_SourceData.N2OEFOrganicFertiliser_Data(), Table_SourceData_N2OEFOrganicFert[[#Headers],[Climate zone type i]], 0)</calculatedColumnFormula>
    </tableColumn>
    <tableColumn id="2" xr3:uid="{228E7D4A-4D7D-46EF-9936-74A17DEBE74F}" name="EF i N2O" dataDxfId="311"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81E4B966-A704-4ED8-8D30-2D8E311C1C9E}" name="Table_SourceData_PastureAttributes" displayName="Table_SourceData_PastureAttributes" ref="D51:I56" totalsRowShown="0" dataDxfId="310"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2AF15A0-B8B3-4429-9F0B-470B86B845D6}" name="Pasture type" dataDxfId="309" dataCellStyle="Content normal">
      <calculatedColumnFormula array="1">Common_InputFunctions.Utility_DisplayArrayInTable(Agresidue_SourceData.PastureAttributes_Data(), Table_SourceData_PastureAttributes[[#Headers],[Pasture type]], 0)</calculatedColumnFormula>
    </tableColumn>
    <tableColumn id="2" xr3:uid="{1C29AEB2-F92D-4FC1-BF5C-3B5AC3A87F27}" name="Average Yield (t DM ha) Yp" dataDxfId="308" dataCellStyle="Content normal">
      <calculatedColumnFormula array="1">Common_InputFunctions.Utility_DisplayArrayInTable(Agresidue_SourceData.PastureAttributes_Data(), Table_SourceData_PastureAttributes[[#Headers],[Pasture type]], 0)</calculatedColumnFormula>
    </tableColumn>
    <tableColumn id="3" xr3:uid="{215D4A5C-F3CD-40C0-804D-748BE7BED53B}" name="Below-ground: above-ground residue ratio RBGp" dataDxfId="307" dataCellStyle="Content normal">
      <calculatedColumnFormula array="1">Common_InputFunctions.Utility_DisplayArrayInTable(Agresidue_SourceData.PastureAttributes_Data(), Table_SourceData_PastureAttributes[[#Headers],[Pasture type]], 0)</calculatedColumnFormula>
    </tableColumn>
    <tableColumn id="4" xr3:uid="{3FA247C1-ED1E-4065-AF91-28C1DEECC8D1}" name="N content Above-ground NCAGp" dataDxfId="306" dataCellStyle="Content normal">
      <calculatedColumnFormula array="1">Common_InputFunctions.Utility_DisplayArrayInTable(Agresidue_SourceData.PastureAttributes_Data(), Table_SourceData_PastureAttributes[[#Headers],[Pasture type]], 0)</calculatedColumnFormula>
    </tableColumn>
    <tableColumn id="5" xr3:uid="{FF2654D0-129B-40B2-8211-D18959431C8B}" name="N content Below-ground NCBGp" dataDxfId="305" dataCellStyle="Content normal">
      <calculatedColumnFormula array="1">Common_InputFunctions.Utility_DisplayArrayInTable(Agresidue_SourceData.PastureAttributes_Data(), Table_SourceData_PastureAttributes[[#Headers],[Pasture type]], 0)</calculatedColumnFormula>
    </tableColumn>
    <tableColumn id="6" xr3:uid="{75E50708-5BB5-46AB-802F-97869A9FBFA2}" name="Fraction of pasture yield that is removed FFODp" dataDxfId="304"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B9B6C925-2132-419E-9EFE-1DF9B148F3FA}"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71903893-AAFE-4A57-8CC4-334F4EACB214}" name="Gas species">
      <calculatedColumnFormula array="1">Common_InputFunctions.Utility_DisplayArrayInTable(AgResidues_SourceData.BurningOfAgriculturalResiduesEFs_Data(), Table_SourceData_BurningResidueEFs[[#Headers],[Gas species]], 0)</calculatedColumnFormula>
    </tableColumn>
    <tableColumn id="2" xr3:uid="{3772FFD8-6AF2-45AC-99B8-60EF9EB9019A}" name="Emission factor EFg (Gg element in species/ Gg element in fuel burnt)" dataDxfId="303" dataCellStyle="Content normal">
      <calculatedColumnFormula array="1">Common_InputFunctions.Utility_DisplayArrayInTable(AgResidues_SourceData.BurningOfAgriculturalResiduesEFs_Data(), Table_SourceData_BurningResidueEFs[[#Headers],[Gas species]], 0)</calculatedColumnFormula>
    </tableColumn>
    <tableColumn id="3" xr3:uid="{D1C844BD-2C9E-4CF1-ABC5-924C5FC30A23}" name="Elemental to molecular mass conversion factor (Cg)" dataDxfId="302"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7733C77E-9698-4EA9-B93F-87A00613F816}" name="Table_SourceData_CropPurposeAndYields" displayName="Table_SourceData_CropPurposeAndYields" ref="D7:K10" totalsRowShown="0" headerRowDxfId="301">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C774C57-9504-4B8D-978A-E7C12DC50AB0}" name="Purpose">
      <calculatedColumnFormula array="1">Common_InputFunctions.Utility_DisplayArrayInTable(Agresidue_SourceData.CropPurposeAndYield_Data(), Table_SourceData_CropPurposeAndYields[[#Headers],[Purpose]], 0)</calculatedColumnFormula>
    </tableColumn>
    <tableColumn id="2" xr3:uid="{EF593A0F-784E-48E8-AE53-A9CC7F62E058}" name="Per hectare unit">
      <calculatedColumnFormula array="1">Common_InputFunctions.Utility_DisplayArrayInTable(Agresidue_SourceData.CropPurposeAndYield_Data(), Table_SourceData_CropPurposeAndYields[[#Headers],[Purpose]], 0)</calculatedColumnFormula>
    </tableColumn>
    <tableColumn id="3" xr3:uid="{FD3D5B1A-2652-409A-85B7-431B26B87C1A}" name="harvest term">
      <calculatedColumnFormula array="1">Common_InputFunctions.Utility_DisplayArrayInTable(Agresidue_SourceData.CropPurposeAndYield_Data(), Table_SourceData_CropPurposeAndYields[[#Headers],[Purpose]], 0)</calculatedColumnFormula>
    </tableColumn>
    <tableColumn id="4" xr3:uid="{EA0D4E12-8C1A-4DA1-BFC5-73554EFA35D4}" name="harvest endpoint">
      <calculatedColumnFormula array="1">Common_InputFunctions.Utility_DisplayArrayInTable(Agresidue_SourceData.CropPurposeAndYield_Data(), Table_SourceData_CropPurposeAndYields[[#Headers],[Purpose]], 0)</calculatedColumnFormula>
    </tableColumn>
    <tableColumn id="5" xr3:uid="{B30F9CAD-2B66-431B-AD98-94E1C53F84A5}" name="Harvest uit">
      <calculatedColumnFormula array="1">Common_InputFunctions.Utility_DisplayArrayInTable(Agresidue_SourceData.CropPurposeAndYield_Data(), Table_SourceData_CropPurposeAndYields[[#Headers],[Purpose]], 0)</calculatedColumnFormula>
    </tableColumn>
    <tableColumn id="6" xr3:uid="{3A3F68C6-D597-4251-8570-76838F51D9EA}" name="Yield note">
      <calculatedColumnFormula array="1">Common_InputFunctions.Utility_DisplayArrayInTable(Agresidue_SourceData.CropPurposeAndYield_Data(), Table_SourceData_CropPurposeAndYields[[#Headers],[Purpose]], 0)</calculatedColumnFormula>
    </tableColumn>
    <tableColumn id="8" xr3:uid="{0F80E601-B83B-4CA2-B8D4-187552004BA3}" name="Residue crop ratio note">
      <calculatedColumnFormula array="1">Common_InputFunctions.Utility_DisplayArrayInTable(Agresidue_SourceData.CropPurposeAndYield_Data(), Table_SourceData_CropPurposeAndYields[[#Headers],[Purpose]], 0)</calculatedColumnFormula>
    </tableColumn>
    <tableColumn id="9" xr3:uid="{822FA347-7935-4732-AC70-885BE40B8D48}"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C0307AF1-C624-4ADE-9243-27BF0C9F93FF}" name="Table_SourceData_Fertiliser_IrrigationMethods71" displayName="Table_SourceData_Fertiliser_IrrigationMethods71" ref="N21:N26" totalsRowShown="0">
  <autoFilter ref="N21:N26" xr:uid="{1AC5909E-E06C-4A79-81E9-C25A0B6D9E90}">
    <filterColumn colId="0" hiddenButton="1"/>
  </autoFilter>
  <tableColumns count="1">
    <tableColumn id="1" xr3:uid="{D28911E4-EC32-482B-B832-E54FC5D7CECF}" name="Irrigation method"/>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3F4DA2D-4B76-48E0-9068-3134F142D44D}" name="Table_SourceData_ElectricityEFs" displayName="Table_SourceData_ElectricityEFs" ref="D9:F19" totalsRowShown="0" headerRowDxfId="300">
  <autoFilter ref="D9:F19" xr:uid="{3144A982-7A4D-4CF2-8790-1A30DAE3E0A4}">
    <filterColumn colId="0" hiddenButton="1"/>
    <filterColumn colId="1" hiddenButton="1"/>
    <filterColumn colId="2" hiddenButton="1"/>
  </autoFilter>
  <tableColumns count="3">
    <tableColumn id="1" xr3:uid="{FDF08ACC-77A9-4A24-8B9A-C9BFB59A9634}"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ADC28F27-CC1B-46DA-BAA0-BBDDB7B339F8}"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CD213912-0989-4A35-8518-04EDF2CDB740}"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57EF9356-21A5-430B-8DD2-2BBF425E1A6F}"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1BE54D83-398B-4DD5-9BAB-256528FFCE74}"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74D9CE6-714F-457E-BCEE-065DFD4672F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00DA913-61CB-4A66-8FDD-254253A720B4}"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11CFDB3F-23A7-41E9-B2BD-67597D9845C8}"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5F71A9F8-A958-4A69-90EF-AC187FD1BDA8}"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3011133-5EDD-40B8-B85E-A59160F7609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6401F135-B2AA-4438-A709-2952A6938FE8}"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83C5581C-5B01-43D8-AE52-C632B8A858A9}" name="FNinorganic f">
      <calculatedColumnFormula array="1">Common_InputFunctions.Utility_DisplayArrayInTable(Fertiliser_SourceData.Fertiliser_ChemicalCompoundElements_Data(),Table_Fertiliser_ChemicalCompounds[[#Headers],[Fertiliser type f]], 0)</calculatedColumnFormula>
    </tableColumn>
    <tableColumn id="3" xr3:uid="{D492A20B-E7BC-42FA-A912-ED5EEA428AB4}" name="FU f">
      <calculatedColumnFormula array="1">Common_InputFunctions.Utility_DisplayArrayInTable(Fertiliser_SourceData.Fertiliser_ChemicalCompoundElements_Data(),Table_Fertiliser_ChemicalCompounds[[#Headers],[Fertiliser type f]], 0)</calculatedColumnFormula>
    </tableColumn>
    <tableColumn id="4" xr3:uid="{B94035ED-A040-44A1-829C-F1D7003ABB16}" name="Basis">
      <calculatedColumnFormula array="1">Common_InputFunctions.Utility_DisplayArrayInTable(Fertiliser_SourceData.Fertiliser_ChemicalCompoundElements_Data(),Table_Fertiliser_ChemicalCompounds[[#Headers],[Fertiliser type f]], 0)</calculatedColumnFormula>
    </tableColumn>
    <tableColumn id="5" xr3:uid="{F72A7AFF-DBAB-47DC-AE54-34F6A708D19F}"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EA9FD0DF-F651-4BED-AE15-B6C3882463E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228F298-E27F-439D-A32F-26C158A136BF}"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EF3A82C-5AD3-4AFB-B886-1BEEA44D3336}" name="Company" totalsRowFunction="custom" totalsRowDxfId="29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546D42A7-55CB-491A-AB6D-3C9754FC871F}"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74095C09-FC18-48D9-820E-8F16ECAE5A93}"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65AB26E1-079A-4EF1-86A5-1742357466C8}"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5BF5CB55-E8A7-46AF-83F3-889AAD28A45A}"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5906D825-D7AA-4742-840B-A12DA1E732B5}"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9F56F6B5-89BA-47AC-86A6-F29DB2466970}"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197EDD03-1C41-468B-985C-4EA0B9FAF8A5}"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1EE4C126-FBB4-4FA2-B3F9-37EC0B52ED88}"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7A873137-3664-43F6-BB49-A50E4690F783}"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3202BA6D-1839-4944-9C43-51890E78239E}"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09EA969C-49FF-4B49-9442-256AFC5971AE}" name="Ingredient 1" totalsRowFunction="custom" totalsRowCellStyle="Content normal">
      <totalsRowFormula array="1">Common_InputFunctions.Utility_DisplayArrayInTable(Fertiliser_SourceData.Fertiliser_Products_Data3(), FertiliserProducts[[#Headers],[Company]],61)</totalsRowFormula>
    </tableColumn>
    <tableColumn id="22" xr3:uid="{AE8601B4-FA28-4961-B2B2-08147E154E59}"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743FA025-3621-412B-9EF7-3655BDB9B548}"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3C21CB0E-449C-4DAD-9457-8A872CAD09F3}"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23AAFFF1-A5B8-49AA-AE46-320EB063132F}"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D0064778-4AED-4927-8DBD-B4FD850BB491}"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1CF9DCC4-6256-448B-B094-958CE3BAA34E}"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DB3643AF-8A08-470F-BAD0-071181826607}"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9A0F07FE-CDFB-4CA0-9459-C3181F432BC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8DD29B0A-2E26-4B84-9E09-D70B1B4943CC}"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06B70C6F-363E-4270-B689-8A6E6B589488}"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1F675D25-5A99-4116-9B10-C14EF68A2BEA}"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A9594195-5D56-4DF4-8876-B12EDF0725D0}"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79373D2-8E65-45F0-99DD-8042D1E2CD40}"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80F1BD7A-0DA1-48DB-83C7-C18BB90546FC}"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F2FC0C31-2C5C-49A6-80A8-68E4FBA5F3B0}"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FFD9602C-0ECB-4A26-AD68-9B21A89CFE6B}"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5C5974AE-D375-4CED-A660-ADA4C8D95AA1}"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ACC0CF9A-01D6-4B16-8CB0-863CAC72538D}"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EBA2A247-2133-4278-AC1B-7FDC38B9C5B4}" name="Ingredient 10 percent" totalsRowCellStyle="Content normal"/>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92EB9D2-B039-492E-8E82-C10663E22727}"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47227484-7BFB-4AE6-AA83-583469CEA2C5}" name="Fertiliser type f">
      <calculatedColumnFormula array="1">Common_InputFunctions.Utility_DisplayArrayInTable(Fertiliser_SourceData.Fertiliser_FracGASF_Data(), Table_SourceData_Fertiliser_FracGASF[[#Headers],[Fertiliser type f]], 0)</calculatedColumnFormula>
    </tableColumn>
    <tableColumn id="2" xr3:uid="{6DF28A8F-9677-41DC-8FEE-CEFBA55C5283}" name="FracGASF f" dataDxfId="29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D776593-EA82-4107-885C-83421931D537}" name="Table_SourceData_Fertiliser_CropProdSystems" displayName="Table_SourceData_Fertiliser_CropProdSystems" ref="D41:D43" totalsRowShown="0">
  <autoFilter ref="D41:D43" xr:uid="{24F3A11E-40F5-4BB9-BFF4-A71FA2ADA0EF}">
    <filterColumn colId="0" hiddenButton="1"/>
  </autoFilter>
  <tableColumns count="1">
    <tableColumn id="1" xr3:uid="{F7BAB474-319B-4822-9750-63B8120313B6}" name="Production system">
      <calculatedColumnFormula>#REF!</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4367A27-321D-49FF-98A5-8870A5B562EE}"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297D395E-3AFE-4B24-AEA8-E113D0F88BD7}" name="Irrigation method"/>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57BD58B-B9B2-4FD6-947C-390921852B27}" name="Table_SourceData_Fertiliser_CropTypes" displayName="Table_SourceData_Fertiliser_CropTypes" ref="F41:F45" totalsRowShown="0">
  <autoFilter ref="F41:F45" xr:uid="{CB5044B5-FA3C-4AA2-B1AB-72F7E61D072F}">
    <filterColumn colId="0" hiddenButton="1"/>
  </autoFilter>
  <tableColumns count="1">
    <tableColumn id="1" xr3:uid="{1815968D-7998-460D-A3D5-F91AE73A7ED1}" name="Production system"/>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8B48BC4-E791-435A-8C41-73FE04893488}" name="Table_SourceData_OrganicFertiliserTypes" displayName="Table_SourceData_OrganicFertiliserTypes" ref="J41:J46" totalsRowShown="0">
  <autoFilter ref="J41:J46" xr:uid="{B44627B1-537E-4ABC-92C3-57282CEE5B40}">
    <filterColumn colId="0" hiddenButton="1"/>
  </autoFilter>
  <tableColumns count="1">
    <tableColumn id="1" xr3:uid="{3C1C9998-E087-4F86-9751-DF4B238CC9E3}" name="Organic fertiliser type"/>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904412A-33E0-4441-88DC-B9B854188CA3}"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EF432A3-C4F1-483E-9984-EE579B7A5EE1}" name="Element">
      <calculatedColumnFormula array="1">Common_InputFunctions.Utility_DisplayArrayInTable(Fertiliser_SourceData.Fertiliser_LimeDolomiteGypsumConstants_Data(), Table_SourceData_Fertiliser_LimeDolomiteConstants[[#Headers],[Element]], 0)</calculatedColumnFormula>
    </tableColumn>
    <tableColumn id="2" xr3:uid="{8EC36A2C-B1EE-4C52-B019-C6B10FD9075D}" name="P" dataDxfId="29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AC6099B6-B3F5-441E-94BF-E405922D5443}" name="EF" dataDxfId="29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C840B25-C695-4374-8FBF-CDF3CD3C45E5}" name="Table2" displayName="Table2" ref="K19:L28" totalsRowShown="0" dataDxfId="295" dataCellStyle="Content normal">
  <autoFilter ref="K19:L28" xr:uid="{27B93029-EB1F-4C4A-A946-CD673A8A6C46}">
    <filterColumn colId="0" hiddenButton="1"/>
    <filterColumn colId="1" hiddenButton="1"/>
  </autoFilter>
  <tableColumns count="2">
    <tableColumn id="1" xr3:uid="{BF18638C-1451-4602-8A89-C1480128CECD}" name="Fertiliser type f" dataDxfId="294" dataCellStyle="Content normal">
      <calculatedColumnFormula array="1">Common_InputFunctions.Utility_DisplayArrayInTable(Fertiliser_SourceData.Fertiliser_FractionNCommonFertilisers_Data(), Table2[[#Headers],[Fertiliser type f]], 0)</calculatedColumnFormula>
    </tableColumn>
    <tableColumn id="2" xr3:uid="{1E01B706-CA5A-41A5-AE8F-FDE5BAF1CF8E}" name="FNinorganic f" dataDxfId="29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22787E9-4164-422D-9956-ECCBEBAA99B5}" name="Table28" displayName="Table28" ref="Q19:R28" totalsRowShown="0" dataDxfId="292" dataCellStyle="Content normal">
  <autoFilter ref="Q19:R28" xr:uid="{791CEA59-796C-47AB-86BC-41E8F699030C}">
    <filterColumn colId="0" hiddenButton="1"/>
    <filterColumn colId="1" hiddenButton="1"/>
  </autoFilter>
  <tableColumns count="2">
    <tableColumn id="1" xr3:uid="{059C929E-A7B8-43F2-8B6C-39D9105CFB85}" name="Fertiliser type f" dataDxfId="291" dataCellStyle="Content normal">
      <calculatedColumnFormula array="1">Common_InputFunctions.Utility_DisplayArrayInTable(Fertiliser_SourceData.Fertiliser_FractionUreaCommonFertilisers_Data(), Table28[[#Headers],[Fertiliser type f]], 0)</calculatedColumnFormula>
    </tableColumn>
    <tableColumn id="2" xr3:uid="{59CC621F-F77D-4BF0-B3FA-DCD4BF9A90D6}" name="FNinorganic f" dataDxfId="29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7FDED66-94B7-4FC9-9B97-AE23F935C000}"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1092EA9A-CC37-45DA-A2C4-91D52C04669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8D51C6B-81CA-412F-B2BD-2782D6ADDE46}" name="Table_Fuel_EFs_StationaryLiquid" displayName="Table_Fuel_EFs_StationaryLiquid" ref="D53:K77" totalsRowShown="0" headerRowDxfId="289" dataDxfId="28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3BF3551-2E29-465A-8FFF-7FB24A7BD84C}" name="Fuel combusted" dataDxfId="287">
      <calculatedColumnFormula array="1">Common_InputFunctions.Utility_DisplayArrayInTable(Fuel_SourceData.Fuel_Scope1Scope3EmissionFactorsStationaryLiquid_Data(), Table_Fuel_EFs_StationaryLiquid[[#Headers],[Fuel combusted]],0)</calculatedColumnFormula>
    </tableColumn>
    <tableColumn id="2" xr3:uid="{ABFA5DC0-A265-4239-9FCC-99A6B2B48776}" name="Energy Content Factor (GJ per unit of fuel)" dataDxfId="286">
      <calculatedColumnFormula array="1">Common_InputFunctions.Utility_DisplayArrayInTable(Fuel_SourceData.Fuel_Scope1Scope3EmissionFactorsStationaryLiquid_Data(), Table_Fuel_EFs_StationaryLiquid[[#Headers],[Fuel combusted]],0)</calculatedColumnFormula>
    </tableColumn>
    <tableColumn id="3" xr3:uid="{EB95196E-6503-4275-A18D-A20BFEA8D6CC}" name="Fuel unit" dataDxfId="285">
      <calculatedColumnFormula array="1">Common_InputFunctions.Utility_DisplayArrayInTable(Fuel_SourceData.Fuel_Scope1Scope3EmissionFactorsStationaryLiquid_Data(), Table_Fuel_EFs_StationaryLiquid[[#Headers],[Fuel combusted]],0)</calculatedColumnFormula>
    </tableColumn>
    <tableColumn id="4" xr3:uid="{BA159AC0-AE5C-4C55-A926-EB3D8A8BF021}" name="Scope 1 Emission Factor (kg CO2 - e / GJ) CO2" dataDxfId="284">
      <calculatedColumnFormula array="1">Common_InputFunctions.Utility_DisplayArrayInTable(Fuel_SourceData.Fuel_Scope1Scope3EmissionFactorsStationaryLiquid_Data(), Table_Fuel_EFs_StationaryLiquid[[#Headers],[Fuel combusted]],0)</calculatedColumnFormula>
    </tableColumn>
    <tableColumn id="5" xr3:uid="{F17042A4-4D2F-43FB-B5D5-C5C100B6BFBE}" name="Scope 1 Emission Factor (kg CO2 - e / GJ) CH4" dataDxfId="283">
      <calculatedColumnFormula array="1">Common_InputFunctions.Utility_DisplayArrayInTable(Fuel_SourceData.Fuel_Scope1Scope3EmissionFactorsStationaryLiquid_Data(), Table_Fuel_EFs_StationaryLiquid[[#Headers],[Fuel combusted]],0)</calculatedColumnFormula>
    </tableColumn>
    <tableColumn id="6" xr3:uid="{6DB59EE8-A274-42F4-BEFA-FED62F803D48}" name="Scope 1 Emission Factor (kg CO2 - e / GJ) N2O" dataDxfId="282">
      <calculatedColumnFormula array="1">Common_InputFunctions.Utility_DisplayArrayInTable(Fuel_SourceData.Fuel_Scope1Scope3EmissionFactorsStationaryLiquid_Data(), Table_Fuel_EFs_StationaryLiquid[[#Headers],[Fuel combusted]],0)</calculatedColumnFormula>
    </tableColumn>
    <tableColumn id="7" xr3:uid="{AF4BEB74-4F04-4EA8-B04A-5DF5C1E0C99F}" name="Scope 1 Emission Factor (kg CO2 - e / GJ) Combined gases" dataDxfId="281">
      <calculatedColumnFormula array="1">Common_InputFunctions.Utility_DisplayArrayInTable(Fuel_SourceData.Fuel_Scope1Scope3EmissionFactorsStationaryLiquid_Data(), Table_Fuel_EFs_StationaryLiquid[[#Headers],[Fuel combusted]],0)</calculatedColumnFormula>
    </tableColumn>
    <tableColumn id="8" xr3:uid="{4C1688C8-659D-4E39-8DDE-0C1F3012D6AE}" name="Scope 3 Emission Factor (kg CO2 - e / GJ)" dataDxfId="28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44D513A5-5130-4715-89A0-9057934704D7}" name="Table_Fuel_EFs_Transport" displayName="Table_Fuel_EFs_Transport" ref="D9:L34" totalsRowShown="0" headerRowDxfId="279" dataDxfId="27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8894D6E-FE94-403D-993F-852D3BF3886F}" name="Transport type" dataDxfId="277">
      <calculatedColumnFormula array="1">Common_InputFunctions.Utility_DisplayArrayInTable(Fuel_SourceData.Fuel_Scope1Scope3EmissionFactorsTransport_Data(), Table_Fuel_EFs_Transport[[#Headers],[Transport type]], 0)</calculatedColumnFormula>
    </tableColumn>
    <tableColumn id="2" xr3:uid="{1C5F0474-6363-4936-A081-8C789CBAC0B6}" name="Fuel combusted" dataDxfId="276">
      <calculatedColumnFormula array="1">Common_InputFunctions.Utility_DisplayArrayInTable(Fuel_SourceData.Fuel_Scope1Scope3EmissionFactorsTransport_Data(), Table_Fuel_EFs_Transport[[#Headers],[Transport type]], 0)</calculatedColumnFormula>
    </tableColumn>
    <tableColumn id="3" xr3:uid="{1DBFF479-CA6A-4104-A192-9FB9BCED51E0}" name="Energy Content Factor (GJ per unit of fuel)" dataDxfId="275">
      <calculatedColumnFormula array="1">Common_InputFunctions.Utility_DisplayArrayInTable(Fuel_SourceData.Fuel_Scope1Scope3EmissionFactorsTransport_Data(), Table_Fuel_EFs_Transport[[#Headers],[Transport type]], 0)</calculatedColumnFormula>
    </tableColumn>
    <tableColumn id="4" xr3:uid="{0815037A-C88E-45E0-9025-E2717D9F1AD0}" name="Fuel unit" dataDxfId="274">
      <calculatedColumnFormula array="1">Common_InputFunctions.Utility_DisplayArrayInTable(Fuel_SourceData.Fuel_Scope1Scope3EmissionFactorsTransport_Data(), Table_Fuel_EFs_Transport[[#Headers],[Transport type]], 0)</calculatedColumnFormula>
    </tableColumn>
    <tableColumn id="8" xr3:uid="{1071B5B2-716D-4C5E-A83A-B95A26F1B3A3}" name="Scope 1 Emission Factor (kg CO2 - e / GJ) CO2" dataDxfId="273">
      <calculatedColumnFormula array="1">Common_InputFunctions.Utility_DisplayArrayInTable(Fuel_SourceData.Fuel_Scope1Scope3EmissionFactorsTransport_Data(), Table_Fuel_EFs_Transport[[#Headers],[Transport type]], 0)</calculatedColumnFormula>
    </tableColumn>
    <tableColumn id="9" xr3:uid="{357BEDD4-F333-4C8E-8A59-87693D821CE6}" name="Scope 1 Emission Factor (kg CO2 - e / GJ) CH4" dataDxfId="272">
      <calculatedColumnFormula array="1">Common_InputFunctions.Utility_DisplayArrayInTable(Fuel_SourceData.Fuel_Scope1Scope3EmissionFactorsTransport_Data(), Table_Fuel_EFs_Transport[[#Headers],[Transport type]], 0)</calculatedColumnFormula>
    </tableColumn>
    <tableColumn id="10" xr3:uid="{535EA5EB-F536-4CBE-B480-2A8C73F3FD2F}" name="Scope 1 Emission Factor (kg CO2 - e / GJ) N2O" dataDxfId="271">
      <calculatedColumnFormula array="1">Common_InputFunctions.Utility_DisplayArrayInTable(Fuel_SourceData.Fuel_Scope1Scope3EmissionFactorsTransport_Data(), Table_Fuel_EFs_Transport[[#Headers],[Transport type]], 0)</calculatedColumnFormula>
    </tableColumn>
    <tableColumn id="11" xr3:uid="{1DA463E6-A2E1-4D85-9B01-549EE8AFB361}" name="Scope 1 Emission Factor (kg CO2 - e / GJ) Combined gases" dataDxfId="270">
      <calculatedColumnFormula array="1">Common_InputFunctions.Utility_DisplayArrayInTable(Fuel_SourceData.Fuel_Scope1Scope3EmissionFactorsTransport_Data(), Table_Fuel_EFs_Transport[[#Headers],[Transport type]], 0)</calculatedColumnFormula>
    </tableColumn>
    <tableColumn id="12" xr3:uid="{D2C4B536-0573-478B-BF33-E6F059A7CF5D}" name="Scope 3 Emission Factor (kg CO2 - e / GJ)" dataDxfId="26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CCAE42E1-DBBC-4537-8DEB-53676EF5B222}" name="Table_FuelTypesPerUse" displayName="Table_FuelTypesPerUse" ref="D130:I139" totalsRowShown="0" headerRowDxfId="268" dataDxfId="26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37544C09-8ED7-4836-A0BA-6F854A57ED32}" name="Generators" dataDxfId="266"/>
    <tableColumn id="2" xr3:uid="{19FA3572-5096-482C-BCAD-B924BA3C9109}" name="Power standalone machinery or heating" dataDxfId="265"/>
    <tableColumn id="3" xr3:uid="{68013B94-77EC-4257-A4E0-A75907E534D7}" name="Aviation" dataDxfId="264"/>
    <tableColumn id="5" xr3:uid="{7E4CB3DB-9D17-4B40-9DE6-A3AF9641BE24}" name="Cars and light commercial vehicles" dataDxfId="263"/>
    <tableColumn id="7" xr3:uid="{9DFBE3C4-3C2C-4C51-8499-7E79BC3E7803}" name="Off-road Agriculture and forestry equipment" dataDxfId="262" dataCellStyle="Content bold"/>
    <tableColumn id="8" xr3:uid="{9F2F49DB-9680-4E3C-98CD-D6099E8609F0}" name="Vessels" dataDxfId="261" dataCellStyle="Content bold"/>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D2A38F3-988C-486F-8621-8D55AA31C788}" name="Table_Fuel_EFs_StationaryGaseous" displayName="Table_Fuel_EFs_StationaryGaseous" ref="D86:J104" totalsRowShown="0" headerRowDxfId="260" dataDxfId="25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AC7F501-1651-4044-B3CA-27238C1392FA}" name="Fuel combusted" dataDxfId="258">
      <calculatedColumnFormula array="1">Common_InputFunctions.Utility_DisplayArrayInTable(Fuel_SourceData.Fuel_Scope1EmissionFactorsStationaryGaseous_Data(), Table_Fuel_EFs_StationaryGaseous[[#Headers],[Fuel combusted]],0)</calculatedColumnFormula>
    </tableColumn>
    <tableColumn id="2" xr3:uid="{BA096F2D-8DE5-4BB0-8DEC-B2DD66C77BFD}" name="Energy Content Factor (GJ per unit of fuel)" dataDxfId="257">
      <calculatedColumnFormula array="1">Common_InputFunctions.Utility_DisplayArrayInTable(Fuel_SourceData.Fuel_Scope1EmissionFactorsStationaryGaseous_Data(), Table_Fuel_EFs_StationaryGaseous[[#Headers],[Fuel combusted]],0)</calculatedColumnFormula>
    </tableColumn>
    <tableColumn id="3" xr3:uid="{8944D676-2287-4070-8F0B-220794629235}" name="Fuel unit" dataDxfId="256">
      <calculatedColumnFormula array="1">Common_InputFunctions.Utility_DisplayArrayInTable(Fuel_SourceData.Fuel_Scope1EmissionFactorsStationaryGaseous_Data(), Table_Fuel_EFs_StationaryGaseous[[#Headers],[Fuel combusted]],0)</calculatedColumnFormula>
    </tableColumn>
    <tableColumn id="4" xr3:uid="{4FBC6202-F508-4AC6-B234-95216E6A6BE4}" name="Scope 1 Emission Factor (kg CO2 - e / GJ) CO2" dataDxfId="255">
      <calculatedColumnFormula array="1">Common_InputFunctions.Utility_DisplayArrayInTable(Fuel_SourceData.Fuel_Scope1EmissionFactorsStationaryGaseous_Data(), Table_Fuel_EFs_StationaryGaseous[[#Headers],[Fuel combusted]],0)</calculatedColumnFormula>
    </tableColumn>
    <tableColumn id="5" xr3:uid="{8D133506-46B0-4E7F-A042-869FC6C7AAC8}" name="Scope 1 Emission Factor (kg CO2 - e / GJ) CH4" dataDxfId="254">
      <calculatedColumnFormula array="1">Common_InputFunctions.Utility_DisplayArrayInTable(Fuel_SourceData.Fuel_Scope1EmissionFactorsStationaryGaseous_Data(), Table_Fuel_EFs_StationaryGaseous[[#Headers],[Fuel combusted]],0)</calculatedColumnFormula>
    </tableColumn>
    <tableColumn id="6" xr3:uid="{8ACC2A70-45A7-4B48-AB4B-0B64DBC085FD}" name="Scope 1 Emission Factor (kg CO2 - e / GJ) N2O" dataDxfId="253">
      <calculatedColumnFormula array="1">Common_InputFunctions.Utility_DisplayArrayInTable(Fuel_SourceData.Fuel_Scope1EmissionFactorsStationaryGaseous_Data(), Table_Fuel_EFs_StationaryGaseous[[#Headers],[Fuel combusted]],0)</calculatedColumnFormula>
    </tableColumn>
    <tableColumn id="7" xr3:uid="{3A682CC7-F9B3-4DA7-9ADF-8D3F10C92B36}" name="Scope 1 Emission Factor (kg CO2 - e / GJ) Combined gases" dataDxfId="25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F53A2E4-D6B0-41A4-AFD8-18EBE06D84A2}" name="Table_Fuel_EFs_StationaryGaseous34" displayName="Table_Fuel_EFs_StationaryGaseous34" ref="D112:F120" headerRowDxfId="251" totalsRowDxfId="250">
  <autoFilter ref="D112:F120" xr:uid="{7D6CE29D-2354-4FAC-9965-9A66FFA42416}">
    <filterColumn colId="0" hiddenButton="1"/>
    <filterColumn colId="1" hiddenButton="1"/>
    <filterColumn colId="2" hiddenButton="1"/>
  </autoFilter>
  <tableColumns count="3">
    <tableColumn id="1" xr3:uid="{1A8C8EEE-225B-4C1F-83D5-8E9AAF4C4EC8}" name="State or territory" totalsRowDxfId="249">
      <calculatedColumnFormula array="1">Common_InputFunctions.Utility_DisplayArrayInTable(Fuel_SourceData.Fuel_Scope3EmissionFactorsStationaryGaseous_Data(), Table_Fuel_EFs_StationaryGaseous34[[#Headers],[State or territory]],0)</calculatedColumnFormula>
    </tableColumn>
    <tableColumn id="2" xr3:uid="{3A947265-70F2-4176-8754-486A15C58570}" name="Metro" totalsRowDxfId="248">
      <calculatedColumnFormula array="1">Common_InputFunctions.Utility_DisplayArrayInTable(Fuel_SourceData.Fuel_Scope3EmissionFactorsStationaryGaseous_Data(), Table_Fuel_EFs_StationaryGaseous34[[#Headers],[State or territory]],0)</calculatedColumnFormula>
    </tableColumn>
    <tableColumn id="3" xr3:uid="{03275A8B-3429-409C-A631-3E36DCE7ABB7}" name="Non-metro" totalsRowDxfId="24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3E8B736B-C259-44B9-8079-8541163637D7}"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7B18106-0BC6-4B52-94CA-C87E705BBD4F}" name="Fuel type"/>
    <tableColumn id="2" xr3:uid="{16CDACCC-59A1-4CDC-8FA2-3EF1AEC0D0C5}" name="Unit"/>
    <tableColumn id="3" xr3:uid="{9F7F78B3-950A-4916-97E6-FF8E4FC9B32E}" name="Input Unit" dataDxfId="246"/>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6140B344-BBC4-4DEE-B6DA-48733377E63B}"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8DA4EAD-66F8-4B30-A26C-4E6DECD72753}"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19A70410-9745-4EBA-8A7F-394E8ED7C479}" name="Fuel type q" dataDxfId="2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63C9063B-918A-4819-AC89-2DF9D1C5F5A7}" name="ECTrans,q (GJ/kL)" dataDxfId="2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ED8673F0-966E-418B-B5AD-E53D8BEA1F47}" name="Scope 1 CO2 EFTran,1,tqg (kg CO2-e/GJ)" dataDxfId="2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08362F06-953D-4AC7-826F-FEF8727C660A}" name="Scope 1 CH4 EFTran,1,tgg (kg CO2-e/GJ)" dataDxfId="2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BE6DFA71-53C7-4823-8C22-0A6FE6BED148}" name="Scope 1 N2O EFTran,1,tgg (kg CO2-e/GJ)" dataDxfId="24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1B0621C1-18AA-4067-A156-7B037EECEF7A}" name="Scope 3 EFTrans,3,q (kg CO2-e/GJ)" dataDxfId="24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A493EB64-E97E-4730-BE8F-AB864E1F3481}"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29F16D2-2AFA-4A08-A472-0412DEE249E5}" name="Category" dataDxfId="239" dataCellStyle="Content normal">
      <calculatedColumnFormula array="1">Common_InputFunctions.Utility_DisplayArrayInTable(Scope3_SourceData.Scope3_Livestock_Data(), Table_SourceData_Scope3_Animals[[#Headers],[Category]], 0, 2)</calculatedColumnFormula>
    </tableColumn>
    <tableColumn id="2" xr3:uid="{DF74C7F5-FFD3-4968-900D-9EA9A8AB22F5}" name="Product" dataDxfId="238" dataCellStyle="Content normal">
      <calculatedColumnFormula array="1">Common_InputFunctions.Utility_DisplayArrayInTable(Scope3_SourceData.Scope3_Livestock_Data(), Table_SourceData_Scope3_Animals[[#Headers],[Category]], 0, 2)</calculatedColumnFormula>
    </tableColumn>
    <tableColumn id="3" xr3:uid="{695A55EB-721D-46E7-8116-708954CF5AAE}" name="Region of origin" dataDxfId="237" dataCellStyle="Content normal">
      <calculatedColumnFormula array="1">Common_InputFunctions.Utility_DisplayArrayInTable(Scope3_SourceData.Scope3_Livestock_Data(), Table_SourceData_Scope3_Animals[[#Headers],[Category]], 0, 2)</calculatedColumnFormula>
    </tableColumn>
    <tableColumn id="8" xr3:uid="{A3FBAA1E-8EE6-4C16-A366-7D4E9E8B7126}" name="Quantity Unit" dataDxfId="236" dataCellStyle="Content normal">
      <calculatedColumnFormula array="1">Common_InputFunctions.Utility_DisplayArrayInTable(Scope3_SourceData.Scope3_Livestock_Data(), Table_SourceData_Scope3_Animals[[#Headers],[Category]], 0, 2)</calculatedColumnFormula>
    </tableColumn>
    <tableColumn id="9" xr3:uid="{59C97A3A-832C-4F30-8B00-BA891690E520}" name="Emissions intensity" dataDxfId="235" dataCellStyle="Content normal">
      <calculatedColumnFormula array="1">Common_InputFunctions.Utility_DisplayArrayInTable(Scope3_SourceData.Scope3_Livestock_Data(), Table_SourceData_Scope3_Animals[[#Headers],[Category]], 0, 2)</calculatedColumnFormula>
    </tableColumn>
    <tableColumn id="10" xr3:uid="{E437FE0E-6F1A-405C-A052-1FBF482D5BB6}" name="System boundary" dataDxfId="234" dataCellStyle="Content normal">
      <calculatedColumnFormula array="1">Common_InputFunctions.Utility_DisplayArrayInTable(Scope3_SourceData.Scope3_Livestock_Data(), Table_SourceData_Scope3_Animals[[#Headers],[Category]], 0, 2)</calculatedColumnFormula>
    </tableColumn>
    <tableColumn id="4" xr3:uid="{CB17A470-5910-44D4-9B4A-B0DEA9C99DFF}" name="Source" dataDxfId="233" dataCellStyle="Content normal"/>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4D4CCDF-7E78-46D9-A17C-E6DFDAB129AE}"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941E291-E3DB-43C8-8D1A-21071163B662}" name="Category" dataDxfId="232" dataCellStyle="Content normal">
      <calculatedColumnFormula array="1">Common_InputFunctions.Utility_DisplayArrayInTable(Scope3_SourceData.Scope3_Chemicals_Data(), Table_SourceData_Scope3_ChemicalsCleaning[[#Headers],[Category]], 0, 2)</calculatedColumnFormula>
    </tableColumn>
    <tableColumn id="2" xr3:uid="{08D8A85E-DA0E-42CA-B628-49C8780743CD}" name="Product" dataDxfId="231" dataCellStyle="Content normal">
      <calculatedColumnFormula array="1">Common_InputFunctions.Utility_DisplayArrayInTable(Scope3_SourceData.Scope3_Chemicals_Data(), Table_SourceData_Scope3_ChemicalsCleaning[[#Headers],[Category]], 0, 2)</calculatedColumnFormula>
    </tableColumn>
    <tableColumn id="3" xr3:uid="{6D8ED271-101F-4CF5-B8CF-C11D88ED6C00}" name="Region of origin" dataDxfId="230" dataCellStyle="Content normal">
      <calculatedColumnFormula array="1">Common_InputFunctions.Utility_DisplayArrayInTable(Scope3_SourceData.Scope3_Chemicals_Data(), Table_SourceData_Scope3_ChemicalsCleaning[[#Headers],[Category]], 0, 2)</calculatedColumnFormula>
    </tableColumn>
    <tableColumn id="8" xr3:uid="{FE2EFA42-2AEA-4484-93E9-88A182A2EF05}" name="Quantity Unit" dataDxfId="229" dataCellStyle="Content normal">
      <calculatedColumnFormula array="1">Common_InputFunctions.Utility_DisplayArrayInTable(Scope3_SourceData.Scope3_Chemicals_Data(), Table_SourceData_Scope3_ChemicalsCleaning[[#Headers],[Category]], 0, 2)</calculatedColumnFormula>
    </tableColumn>
    <tableColumn id="9" xr3:uid="{F7C15A79-9CBB-41CC-AE22-69E7BA273807}" name="Emissions intensity" dataDxfId="228" dataCellStyle="Content normal">
      <calculatedColumnFormula array="1">Common_InputFunctions.Utility_DisplayArrayInTable(Scope3_SourceData.Scope3_Chemicals_Data(), Table_SourceData_Scope3_ChemicalsCleaning[[#Headers],[Category]], 0, 2)</calculatedColumnFormula>
    </tableColumn>
    <tableColumn id="10" xr3:uid="{1FD9886A-6401-4B3A-9D4B-02E23A47EABB}" name="System boundary" dataDxfId="227" dataCellStyle="Content normal">
      <calculatedColumnFormula array="1">Common_InputFunctions.Utility_DisplayArrayInTable(Scope3_SourceData.Scope3_Chemicals_Data(), Table_SourceData_Scope3_ChemicalsCleaning[[#Headers],[Category]], 0, 2)</calculatedColumnFormula>
    </tableColumn>
    <tableColumn id="4" xr3:uid="{84127C1F-8649-476C-9CBE-C8C600AF6258}" name="Source" dataDxfId="226" dataCellStyle="Content normal"/>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5BEB7B2-C902-4C8B-9C9D-EBEF60AFA3F5}" name="Table_SourceData_Scope3_Feed" displayName="Table_SourceData_Scope3_Feed" ref="D89:J158" dataDxfId="22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7933639-F965-4866-A769-E4A67630302D}" name="Category"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9ED97208-250D-4DBB-9EB7-861AF1A3A7DE}" name="Product"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A0829703-87CA-4BFC-A81B-02D75EE17E0E}" name="Region of origin" totalsRowFunction="custom" dataDxfId="220" totalsRowDxfId="21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3A6D95C0-380B-4DD8-9169-BCC24E736C36}" name="Quantity Unit" totalsRowFunction="custom" dataDxfId="218" totalsRowDxfId="21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39665F36-EF95-4237-90B6-96C0DA881058}" name="Emissions intensity" totalsRowFunction="custom" dataDxfId="216" totalsRowDxfId="21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8AA2DE8C-686E-4B27-AEE7-DC01880011B7}" name="System boundary" totalsRowFunction="custom" dataDxfId="214" totalsRowDxfId="21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973DE3CF-06C6-42C4-94D0-3671AC36784B}" name="Source" totalsRowLabel="GHGEI-MIAFF" dataDxfId="212" totalsRowDxfId="211" dataCellStyle="Content normal"/>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2647C32A-DE2A-4796-814D-6F1ACDDA2E36}"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12EA959-5090-4163-9967-1753683F2320}" name="Category">
      <calculatedColumnFormula array="1">Common_InputFunctions.Utility_DisplayArrayInTable(Scope3_SourceData.Scope3_InorganicFertilisers_Data(), Table_SourceData_Scope3_InorganicFertiliser[[#Headers],[Category]], 0, 2)</calculatedColumnFormula>
    </tableColumn>
    <tableColumn id="2" xr3:uid="{0D815725-4EFB-4C23-A3EE-96E9317F418C}" name="Product">
      <calculatedColumnFormula array="1">Common_InputFunctions.Utility_DisplayArrayInTable(Scope3_SourceData.Scope3_InorganicFertilisers_Data(), Table_SourceData_Scope3_InorganicFertiliser[[#Headers],[Category]], 0, 2)</calculatedColumnFormula>
    </tableColumn>
    <tableColumn id="3" xr3:uid="{6CB85A8E-28FE-4780-9810-1B03653BE4CF}" name="Region of origin">
      <calculatedColumnFormula array="1">Common_InputFunctions.Utility_DisplayArrayInTable(Scope3_SourceData.Scope3_InorganicFertilisers_Data(), Table_SourceData_Scope3_InorganicFertiliser[[#Headers],[Category]], 0, 2)</calculatedColumnFormula>
    </tableColumn>
    <tableColumn id="4" xr3:uid="{D82E190E-F60D-44B8-9A01-B53AD808F372}" name="Chemical compound"/>
    <tableColumn id="5" xr3:uid="{8259CACA-C915-4C7D-B887-0BA417798A75}" name="Urea source"/>
    <tableColumn id="6" xr3:uid="{873562FC-B4EB-40D1-9507-91804AB0D209}" name="Ammonia source"/>
    <tableColumn id="7" xr3:uid="{946D753F-35F0-4056-927E-8C70A3CD45CA}" name="Quantity"/>
    <tableColumn id="8" xr3:uid="{E7FFCDD1-E988-4C90-A9BC-ACDF9CD182AC}" name="Quantity Unit">
      <calculatedColumnFormula array="1">Common_InputFunctions.Utility_DisplayArrayInTable(Scope3_SourceData.Scope3_InorganicFertilisers_Data(), Table_SourceData_Scope3_InorganicFertiliser[[#Headers],[Category]], 0, -2)</calculatedColumnFormula>
    </tableColumn>
    <tableColumn id="9" xr3:uid="{D97925D9-6EC2-43D4-A157-EE5C935BBF15}" name="Emissions intensity">
      <calculatedColumnFormula array="1">Common_InputFunctions.Utility_DisplayArrayInTable(Scope3_SourceData.Scope3_InorganicFertilisers_Data(), Table_SourceData_Scope3_InorganicFertiliser[[#Headers],[Category]], 0, -2)</calculatedColumnFormula>
    </tableColumn>
    <tableColumn id="10" xr3:uid="{40340E86-2A3E-4E67-B137-90BC1D4B09BC}" name="System boundary" dataDxfId="210" dataCellStyle="Content normal">
      <calculatedColumnFormula array="1">Common_InputFunctions.Utility_DisplayArrayInTable(Scope3_SourceData.Scope3_InorganicFertilisers_Data(), Table_SourceData_Scope3_InorganicFertiliser[[#Headers],[Category]], 0, -2)</calculatedColumnFormula>
    </tableColumn>
    <tableColumn id="11" xr3:uid="{11C8346A-9EA4-4816-9CE2-E2D2E6703879}" name="Source" dataDxfId="209" dataCellStyle="Content normal"/>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84647322-93F7-4A64-89E8-1AA15DDEFCEC}" name="Table_SourceData_Scope3_Other" displayName="Table_SourceData_Scope3_Other" ref="D201:J209" totalsRowShown="0" dataDxfId="20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711F8E-4F35-48A5-BED7-C02FAB9C4900}" name="Category" dataDxfId="207" dataCellStyle="Content normal">
      <calculatedColumnFormula array="1">Common_InputFunctions.Utility_DisplayArrayInTable(Scope3_SourceData.Scope3_Other_Data(), Table_SourceData_Scope3_Other[[#Headers],[Category]], 0, 2)</calculatedColumnFormula>
    </tableColumn>
    <tableColumn id="2" xr3:uid="{496C24F8-3849-44AF-A631-CFEFE26B87CF}" name="Product" dataDxfId="206" dataCellStyle="Content normal">
      <calculatedColumnFormula array="1">Common_InputFunctions.Utility_DisplayArrayInTable(Scope3_SourceData.Scope3_Other_Data(), Table_SourceData_Scope3_Other[[#Headers],[Category]], 0, 2)</calculatedColumnFormula>
    </tableColumn>
    <tableColumn id="3" xr3:uid="{C5E9E362-D29D-4867-839F-CE39C692F487}" name="Region of origin" dataDxfId="205" dataCellStyle="Content normal">
      <calculatedColumnFormula array="1">Common_InputFunctions.Utility_DisplayArrayInTable(Scope3_SourceData.Scope3_Other_Data(), Table_SourceData_Scope3_Other[[#Headers],[Category]], 0, 2)</calculatedColumnFormula>
    </tableColumn>
    <tableColumn id="8" xr3:uid="{893FFF4B-D981-44AA-8C77-B3948E554B3A}" name="Quantity Unit" dataDxfId="204" dataCellStyle="Content normal">
      <calculatedColumnFormula array="1">Common_InputFunctions.Utility_DisplayArrayInTable(Scope3_SourceData.Scope3_Other_Data(), Table_SourceData_Scope3_Other[[#Headers],[Category]], 0, 2)</calculatedColumnFormula>
    </tableColumn>
    <tableColumn id="9" xr3:uid="{CFCE72B0-FFCA-4FB3-BAA0-114E2B0DB7DE}" name="Emissions intensity" dataDxfId="203" dataCellStyle="Content normal">
      <calculatedColumnFormula array="1">Common_InputFunctions.Utility_DisplayArrayInTable(Scope3_SourceData.Scope3_Other_Data(), Table_SourceData_Scope3_Other[[#Headers],[Category]], 0, 2)</calculatedColumnFormula>
    </tableColumn>
    <tableColumn id="10" xr3:uid="{C994A50B-8E06-4EE6-A0D9-2FA2A56BE0D4}" name="System boundary" dataDxfId="202" dataCellStyle="Content normal">
      <calculatedColumnFormula array="1">Common_InputFunctions.Utility_DisplayArrayInTable(Scope3_SourceData.Scope3_Other_Data(), Table_SourceData_Scope3_Other[[#Headers],[Category]], 0, 2)</calculatedColumnFormula>
    </tableColumn>
    <tableColumn id="4" xr3:uid="{B9BEC03C-4E51-41B2-A4C8-AA88D7FABE1F}" name="Source" dataDxfId="201" dataCellStyle="Content normal"/>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5BE24C7F-2392-47CB-B0BF-E2801080EC0F}" name="Table_SourceData_Scope3_Packaging" displayName="Table_SourceData_Scope3_Packaging" ref="D212:J216" totalsRowShown="0" dataDxfId="20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C88BBBC-E48D-4E24-A1EC-A27F6F0DAD4F}" name="Category" dataDxfId="199" dataCellStyle="Content normal">
      <calculatedColumnFormula array="1">Common_InputFunctions.Utility_DisplayArrayInTable(Scope3_SourceData.Scope3_Packaging_Data(), Table_SourceData_Scope3_Packaging[[#Headers],[Category]], 0, 2)</calculatedColumnFormula>
    </tableColumn>
    <tableColumn id="2" xr3:uid="{3E423100-6E63-4898-9A01-BBB6612191A4}" name="Product" dataDxfId="198" dataCellStyle="Content normal">
      <calculatedColumnFormula array="1">Common_InputFunctions.Utility_DisplayArrayInTable(Scope3_SourceData.Scope3_Packaging_Data(), Table_SourceData_Scope3_Packaging[[#Headers],[Category]], 0, 2)</calculatedColumnFormula>
    </tableColumn>
    <tableColumn id="3" xr3:uid="{65BD3476-EE10-49DC-9F77-989BC45CAACD}" name="Region of origin" dataDxfId="197" dataCellStyle="Content normal">
      <calculatedColumnFormula array="1">Common_InputFunctions.Utility_DisplayArrayInTable(Scope3_SourceData.Scope3_Packaging_Data(), Table_SourceData_Scope3_Packaging[[#Headers],[Category]], 0, 2)</calculatedColumnFormula>
    </tableColumn>
    <tableColumn id="8" xr3:uid="{26FCD840-F307-4491-8D90-7D3B8E14169D}" name="Quantity Unit" dataDxfId="196" dataCellStyle="Content normal">
      <calculatedColumnFormula array="1">Common_InputFunctions.Utility_DisplayArrayInTable(Scope3_SourceData.Scope3_Packaging_Data(), Table_SourceData_Scope3_Packaging[[#Headers],[Category]], 0, 2)</calculatedColumnFormula>
    </tableColumn>
    <tableColumn id="9" xr3:uid="{07412E2B-61DC-4D82-935C-E39A68A5384B}" name="Emissions intensity" dataDxfId="195" dataCellStyle="Content normal">
      <calculatedColumnFormula array="1">Common_InputFunctions.Utility_DisplayArrayInTable(Scope3_SourceData.Scope3_Packaging_Data(), Table_SourceData_Scope3_Packaging[[#Headers],[Category]], 0, 2)</calculatedColumnFormula>
    </tableColumn>
    <tableColumn id="10" xr3:uid="{35BE95E7-1B96-4318-8A6B-F7554E7C33DD}" name="System boundary" dataDxfId="194" dataCellStyle="Content normal">
      <calculatedColumnFormula array="1">Common_InputFunctions.Utility_DisplayArrayInTable(Scope3_SourceData.Scope3_Packaging_Data(), Table_SourceData_Scope3_Packaging[[#Headers],[Category]], 0, 2)</calculatedColumnFormula>
    </tableColumn>
    <tableColumn id="4" xr3:uid="{D5064094-3640-4375-9B2D-D2742D42D029}" name="Source" dataDxfId="193" dataCellStyle="Content normal"/>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E11C14C8-B3EC-4C0C-9889-AE866041B721}" name="Table_SourceData_Scope3_Pesticides" displayName="Table_SourceData_Scope3_Pesticides" ref="D219:J231" totalsRowShown="0" dataDxfId="19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3B97234-C52E-49CC-A083-02C167CF14B6}" name="Category" dataDxfId="191" dataCellStyle="Content normal">
      <calculatedColumnFormula array="1">Common_InputFunctions.Utility_DisplayArrayInTable(Scope3_SourceData.Scope3_Pesticides_Data(), Table_SourceData_Scope3_Pesticides[[#Headers],[Category]], 0, 2)</calculatedColumnFormula>
    </tableColumn>
    <tableColumn id="2" xr3:uid="{22951889-B418-43E4-96CF-7E7A9FF898C1}" name="Product" dataDxfId="190" dataCellStyle="Content normal">
      <calculatedColumnFormula array="1">Common_InputFunctions.Utility_DisplayArrayInTable(Scope3_SourceData.Scope3_Pesticides_Data(), Table_SourceData_Scope3_Pesticides[[#Headers],[Category]], 0, 2)</calculatedColumnFormula>
    </tableColumn>
    <tableColumn id="3" xr3:uid="{D412655F-93B4-4F2F-B673-66880075339D}" name="Region of origin" dataDxfId="189" dataCellStyle="Content normal">
      <calculatedColumnFormula array="1">Common_InputFunctions.Utility_DisplayArrayInTable(Scope3_SourceData.Scope3_Pesticides_Data(), Table_SourceData_Scope3_Pesticides[[#Headers],[Category]], 0, 2)</calculatedColumnFormula>
    </tableColumn>
    <tableColumn id="8" xr3:uid="{293D811D-6A34-4DBB-A12C-6B3C1C5E5E02}" name="Quantity Unit" dataDxfId="188" dataCellStyle="Content normal">
      <calculatedColumnFormula array="1">Common_InputFunctions.Utility_DisplayArrayInTable(Scope3_SourceData.Scope3_Pesticides_Data(), Table_SourceData_Scope3_Pesticides[[#Headers],[Category]], 0, 2)</calculatedColumnFormula>
    </tableColumn>
    <tableColumn id="9" xr3:uid="{3EFAAC17-AC66-4784-AEA5-DDD6D4E3381C}" name="Emissions intensity" dataDxfId="187" dataCellStyle="Content normal">
      <calculatedColumnFormula array="1">Common_InputFunctions.Utility_DisplayArrayInTable(Scope3_SourceData.Scope3_Pesticides_Data(), Table_SourceData_Scope3_Pesticides[[#Headers],[Category]], 0, 2)</calculatedColumnFormula>
    </tableColumn>
    <tableColumn id="10" xr3:uid="{A26E2A44-52D8-4BA7-9E94-9DF5456E2420}" name="System boundary" dataDxfId="186" dataCellStyle="Content normal">
      <calculatedColumnFormula array="1">Common_InputFunctions.Utility_DisplayArrayInTable(Scope3_SourceData.Scope3_Pesticides_Data(), Table_SourceData_Scope3_Pesticides[[#Headers],[Category]], 0, 2)</calculatedColumnFormula>
    </tableColumn>
    <tableColumn id="4" xr3:uid="{61EFE132-4752-476E-9167-066D623C42CD}" name="Source" dataDxfId="185" dataCellStyle="Content normal"/>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BB2E1B92-A3C2-48DE-A6CF-C83D4E50DDF0}" name="Table_SourceData_Scope3_SoilAmeliorants" displayName="Table_SourceData_Scope3_SoilAmeliorants" ref="D234:J237" totalsRowShown="0" dataDxfId="18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706E9BA-C9F8-4693-A872-C130E06C2A67}" name="Category" dataDxfId="183" dataCellStyle="Content normal">
      <calculatedColumnFormula array="1">Common_InputFunctions.Utility_DisplayArrayInTable(Scope3_SourceData.Scope3_SoilAmendments_Data(), Table_SourceData_Scope3_SoilAmeliorants[[#Headers],[Category]], 0, 2)</calculatedColumnFormula>
    </tableColumn>
    <tableColumn id="2" xr3:uid="{6EF61583-95E0-4758-A42D-0B72E3C90197}" name="Product" dataDxfId="182" dataCellStyle="Content normal">
      <calculatedColumnFormula array="1">Common_InputFunctions.Utility_DisplayArrayInTable(Scope3_SourceData.Scope3_SoilAmendments_Data(), Table_SourceData_Scope3_SoilAmeliorants[[#Headers],[Category]], 0, 2)</calculatedColumnFormula>
    </tableColumn>
    <tableColumn id="3" xr3:uid="{7B8CBC2A-A346-4D3F-93DE-70BEEBBB0B79}" name="Region of origin" dataDxfId="181" dataCellStyle="Content normal">
      <calculatedColumnFormula array="1">Common_InputFunctions.Utility_DisplayArrayInTable(Scope3_SourceData.Scope3_SoilAmendments_Data(), Table_SourceData_Scope3_SoilAmeliorants[[#Headers],[Category]], 0, 2)</calculatedColumnFormula>
    </tableColumn>
    <tableColumn id="8" xr3:uid="{9B43246E-61C5-46A1-A083-F0B92C253840}" name="Quantity Unit" dataDxfId="180" dataCellStyle="Content normal">
      <calculatedColumnFormula array="1">Common_InputFunctions.Utility_DisplayArrayInTable(Scope3_SourceData.Scope3_SoilAmendments_Data(), Table_SourceData_Scope3_SoilAmeliorants[[#Headers],[Category]], 0, 2)</calculatedColumnFormula>
    </tableColumn>
    <tableColumn id="9" xr3:uid="{4E36C134-4C09-4C60-8EE1-B07B77D0BCD9}" name="Emissions intensity" dataDxfId="179" dataCellStyle="Content normal">
      <calculatedColumnFormula array="1">Common_InputFunctions.Utility_DisplayArrayInTable(Scope3_SourceData.Scope3_SoilAmendments_Data(), Table_SourceData_Scope3_SoilAmeliorants[[#Headers],[Category]], 0, 2)</calculatedColumnFormula>
    </tableColumn>
    <tableColumn id="10" xr3:uid="{FEBB4DC3-515E-4897-9C28-7CB11CB3B3A8}" name="System boundary" dataDxfId="178" dataCellStyle="Content normal">
      <calculatedColumnFormula array="1">Common_InputFunctions.Utility_DisplayArrayInTable(Scope3_SourceData.Scope3_SoilAmendments_Data(), Table_SourceData_Scope3_SoilAmeliorants[[#Headers],[Category]], 0, 2)</calculatedColumnFormula>
    </tableColumn>
    <tableColumn id="4" xr3:uid="{0BBED6DB-48F7-44A3-B706-A9BC5678DED7}" name="Source" dataDxfId="177" dataCellStyle="Content normal"/>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3DE98FCE-A873-4D2E-8BF2-A24844022EEA}" name="Table_SourceData_Scope3_ChemicalsPharmacy" displayName="Table_SourceData_Scope3_ChemicalsPharmacy" ref="D82:J86" totalsRowShown="0" dataDxfId="17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E333E10-8FE2-4CC6-9382-3EE2C72B3897}" name="Category" dataDxfId="175" dataCellStyle="Content normal">
      <calculatedColumnFormula array="1">Common_InputFunctions.Utility_DisplayArrayInTable(Scope3_SourceData.Scope3_Chemicals_Data(), Table_SourceData_Scope3_ChemicalsPharmacy[[#Headers],[Category]], -3, 2)</calculatedColumnFormula>
    </tableColumn>
    <tableColumn id="2" xr3:uid="{5C762B7F-FF84-4AC1-AF02-C81D1AFE8D64}" name="Product" dataDxfId="174" dataCellStyle="Content normal">
      <calculatedColumnFormula array="1">Common_InputFunctions.Utility_DisplayArrayInTable(Scope3_SourceData.Scope3_Chemicals_Data(), Table_SourceData_Scope3_ChemicalsPharmacy[[#Headers],[Category]], -3, 2)</calculatedColumnFormula>
    </tableColumn>
    <tableColumn id="3" xr3:uid="{3C360A5C-C970-4ED9-BF53-76CFFFD4336E}" name="Region of origin" dataDxfId="173" dataCellStyle="Content normal">
      <calculatedColumnFormula array="1">Common_InputFunctions.Utility_DisplayArrayInTable(Scope3_SourceData.Scope3_Chemicals_Data(), Table_SourceData_Scope3_ChemicalsPharmacy[[#Headers],[Category]], -3, 2)</calculatedColumnFormula>
    </tableColumn>
    <tableColumn id="8" xr3:uid="{A53BA996-2EC0-467B-B66C-B5E4030FC2D5}" name="Quantity Unit" dataDxfId="172" dataCellStyle="Content normal">
      <calculatedColumnFormula array="1">Common_InputFunctions.Utility_DisplayArrayInTable(Scope3_SourceData.Scope3_Chemicals_Data(), Table_SourceData_Scope3_ChemicalsPharmacy[[#Headers],[Category]], -3, 2)</calculatedColumnFormula>
    </tableColumn>
    <tableColumn id="9" xr3:uid="{8A60C94B-38B9-475F-A31C-028AF59ED377}" name="Emissions intensity" dataDxfId="171" dataCellStyle="Content normal">
      <calculatedColumnFormula array="1">Common_InputFunctions.Utility_DisplayArrayInTable(Scope3_SourceData.Scope3_Chemicals_Data(), Table_SourceData_Scope3_ChemicalsPharmacy[[#Headers],[Category]], -3, 2)</calculatedColumnFormula>
    </tableColumn>
    <tableColumn id="10" xr3:uid="{55E08140-60EC-458C-B2C7-AE6C8CA04805}" name="System boundary" dataDxfId="170" dataCellStyle="Content normal">
      <calculatedColumnFormula array="1">Common_InputFunctions.Utility_DisplayArrayInTable(Scope3_SourceData.Scope3_Chemicals_Data(), Table_SourceData_Scope3_ChemicalsPharmacy[[#Headers],[Category]], -3, 2)</calculatedColumnFormula>
    </tableColumn>
    <tableColumn id="4" xr3:uid="{37FDD1D1-F6FC-482B-9E09-F524E4837FAD}" name="Source" dataDxfId="169" dataCellStyle="Content normal"/>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D7B72789-0366-4FEA-82AD-BCF9E6FDD3E6}" name="Table_SourceData_Scope3_LickBlocks" displayName="Table_SourceData_Scope3_LickBlocks" ref="D167:J170" totalsRowShown="0" headerRowDxfId="16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BB891E5-4FF4-4668-AA7E-F3A64EFE9249}" name="Category" dataDxfId="167" dataCellStyle="Content normal">
      <calculatedColumnFormula array="1">Common_InputFunctions.Utility_DisplayArrayInTable(Scope3_SourceData.Scope3_Feed_Data(), Table_SourceData_Scope3_LickBlocks[[#Headers],[Category]], -73, 2)</calculatedColumnFormula>
    </tableColumn>
    <tableColumn id="2" xr3:uid="{4B3DC12A-85E7-42FA-AAD0-B113AFF047AC}" name="Product" dataDxfId="166" dataCellStyle="Content normal">
      <calculatedColumnFormula array="1">Common_InputFunctions.Utility_DisplayArrayInTable(Scope3_SourceData.Scope3_Feed_Data(), Table_SourceData_Scope3_LickBlocks[[#Headers],[Category]], -73, 2)</calculatedColumnFormula>
    </tableColumn>
    <tableColumn id="3" xr3:uid="{103EC1ED-6BE5-4888-8767-5A9C75123E41}" name="Region of origin" dataDxfId="165" dataCellStyle="Content normal">
      <calculatedColumnFormula array="1">Common_InputFunctions.Utility_DisplayArrayInTable(Scope3_SourceData.Scope3_Feed_Data(), Table_SourceData_Scope3_LickBlocks[[#Headers],[Category]], -73, 2)</calculatedColumnFormula>
    </tableColumn>
    <tableColumn id="4" xr3:uid="{51DC9EFD-5E58-42E0-88CD-A2F3213DAAF4}" name="Quantity Unit" dataDxfId="164" dataCellStyle="Content normal">
      <calculatedColumnFormula array="1">Common_InputFunctions.Utility_DisplayArrayInTable(Scope3_SourceData.Scope3_Feed_Data(), Table_SourceData_Scope3_LickBlocks[[#Headers],[Category]], -73, 2)</calculatedColumnFormula>
    </tableColumn>
    <tableColumn id="5" xr3:uid="{F18928B2-18D8-4D8D-8F46-89D489856BD0}" name="Emissions intensity" dataDxfId="163" dataCellStyle="Content normal">
      <calculatedColumnFormula array="1">Common_InputFunctions.Utility_DisplayArrayInTable(Scope3_SourceData.Scope3_Feed_Data(), Table_SourceData_Scope3_LickBlocks[[#Headers],[Category]], -73, 2)</calculatedColumnFormula>
    </tableColumn>
    <tableColumn id="6" xr3:uid="{CE19477F-BCAC-4F04-A794-0C43012A20CF}" name="System boundary" dataDxfId="162" dataCellStyle="Content normal">
      <calculatedColumnFormula array="1">Common_InputFunctions.Utility_DisplayArrayInTable(Scope3_SourceData.Scope3_Feed_Data(), Table_SourceData_Scope3_LickBlocks[[#Headers],[Category]], -73, 2)</calculatedColumnFormula>
    </tableColumn>
    <tableColumn id="7" xr3:uid="{D262C5B2-B386-4507-AE62-A2E7B55B834C}" name="Source" dataDxfId="161"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8706464B-C3C9-4F68-9399-7A7EC9B8596D}" name="Table_SourceData_Scope3_MixedRations" displayName="Table_SourceData_Scope3_MixedRations" ref="D161:J165" totalsRowShown="0" headerRowDxfId="16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04F4533-6813-46FF-B5AE-428F144D4625}" name="Category" dataDxfId="159" dataCellStyle="Content normal">
      <calculatedColumnFormula array="1">Common_InputFunctions.Utility_DisplayArrayInTable(Scope3_SourceData.Scope3_Feed_Data(), Table_SourceData_Scope3_MixedRations[[#Headers],[Category]], -66, 2)</calculatedColumnFormula>
    </tableColumn>
    <tableColumn id="2" xr3:uid="{EDC0C7C8-4B41-4E81-BD45-F04A0F2BCC4C}" name="Product" dataDxfId="158" dataCellStyle="Content normal">
      <calculatedColumnFormula array="1">Common_InputFunctions.Utility_DisplayArrayInTable(Scope3_SourceData.Scope3_Feed_Data(), Table_SourceData_Scope3_MixedRations[[#Headers],[Category]], -66, 2)</calculatedColumnFormula>
    </tableColumn>
    <tableColumn id="3" xr3:uid="{C06C477E-7EA4-48D8-84AB-8D1EE4D3A034}" name="Region of origin" dataDxfId="157" dataCellStyle="Content normal">
      <calculatedColumnFormula array="1">Common_InputFunctions.Utility_DisplayArrayInTable(Scope3_SourceData.Scope3_Feed_Data(), Table_SourceData_Scope3_MixedRations[[#Headers],[Category]], -66, 2)</calculatedColumnFormula>
    </tableColumn>
    <tableColumn id="4" xr3:uid="{1A74D792-352D-4EED-B751-564101D90836}" name="Quantity Unit" dataDxfId="156" dataCellStyle="Content normal">
      <calculatedColumnFormula array="1">Common_InputFunctions.Utility_DisplayArrayInTable(Scope3_SourceData.Scope3_Feed_Data(), Table_SourceData_Scope3_MixedRations[[#Headers],[Category]], -66, 2)</calculatedColumnFormula>
    </tableColumn>
    <tableColumn id="5" xr3:uid="{2B270A42-FAFD-4962-9845-F3FF4EE07083}" name="Emissions intensity" dataDxfId="155" dataCellStyle="Content normal">
      <calculatedColumnFormula array="1">Common_InputFunctions.Utility_DisplayArrayInTable(Scope3_SourceData.Scope3_Feed_Data(), Table_SourceData_Scope3_MixedRations[[#Headers],[Category]], -66, 2)</calculatedColumnFormula>
    </tableColumn>
    <tableColumn id="6" xr3:uid="{D8FE7987-9C34-448C-AAA1-81CAC092CF15}" name="System boundary" dataDxfId="154" dataCellStyle="Content normal">
      <calculatedColumnFormula array="1">Common_InputFunctions.Utility_DisplayArrayInTable(Scope3_SourceData.Scope3_Feed_Data(), Table_SourceData_Scope3_MixedRations[[#Headers],[Category]], -66, 2)</calculatedColumnFormula>
    </tableColumn>
    <tableColumn id="7" xr3:uid="{4BE23353-F615-4742-8580-6F4C146A52BD}" name="Source" dataDxfId="153" dataCellStyle="Content normal"/>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82F2CD17-0719-4F9A-A102-DA8DD80E52E5}"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542F23D6-5215-43CC-974C-D63647BB43BD}" name="Product">
      <calculatedColumnFormula>Table_SourceData_Scope3_FishFeedAndBait[[#This Row],[Product]]</calculatedColumnFormula>
    </tableColumn>
    <tableColumn id="2" xr3:uid="{A17A05E4-BFF2-4396-ACCA-95A25D1EE077}"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3E1043F7-29DC-4ECB-9B20-13017B1DB51B}"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C9097CE5-EF5E-4055-8689-F6B4401F94B9}" name="Product">
      <calculatedColumnFormula>Table_SourceData_Scope3_Feed[[#This Row],[Product]]</calculatedColumnFormula>
    </tableColumn>
    <tableColumn id="2" xr3:uid="{91C1F4E5-115F-4DD8-8F64-718B683E5911}" name="Region">
      <calculatedColumnFormula>Table_SourceData_Scope3_Feed[[#This Row],[Region of origin]]</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335C10A-1C70-4065-848A-5E188559DDA3}" name="Table_ProductRegions_Maizegrain" displayName="Table_ProductRegions_Maizegrain" ref="L97:M104" totalsRowShown="0" headerRowDxfId="152" headerRowCellStyle="Content normal">
  <autoFilter ref="L97:M104" xr:uid="{70F320A7-5DBE-4A83-91E4-C9B3BDA564BD}">
    <filterColumn colId="0" hiddenButton="1"/>
    <filterColumn colId="1" hiddenButton="1"/>
  </autoFilter>
  <tableColumns count="2">
    <tableColumn id="1" xr3:uid="{219972E7-EC4A-458C-A0A8-8F9CC8D68226}" name="Product">
      <calculatedColumnFormula>Table_SourceData_Scope3_Feed[[#This Row],[Product]]</calculatedColumnFormula>
    </tableColumn>
    <tableColumn id="2" xr3:uid="{DA328922-DAF8-458D-A77C-B57AE932D038}" name="Region">
      <calculatedColumnFormula>Table_SourceData_Scope3_Feed[[#This Row],[Region of origin]]</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1BA72D9-6656-491E-AC21-6DDB7F118A14}" name="Table_ProductRegions_Sorghumgrain" displayName="Table_ProductRegions_Sorghumgrain" ref="O104:P109" totalsRowShown="0" headerRowDxfId="151" headerRowCellStyle="Content normal">
  <autoFilter ref="O104:P109" xr:uid="{90205417-8A77-41A3-A4E2-624BD92B7269}">
    <filterColumn colId="0" hiddenButton="1"/>
    <filterColumn colId="1" hiddenButton="1"/>
  </autoFilter>
  <tableColumns count="2">
    <tableColumn id="1" xr3:uid="{5B61356F-235C-4A3A-AD3D-5F5EEDD0E92C}" name="Product">
      <calculatedColumnFormula>Table_SourceData_Scope3_Feed[[#This Row],[Product]]</calculatedColumnFormula>
    </tableColumn>
    <tableColumn id="2" xr3:uid="{FD5B25FD-B366-4F1D-B6CF-3CE08E7D8D32}" name="Region">
      <calculatedColumnFormula>Table_SourceData_Scope3_Feed[[#This Row],[Region of origin]]</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9CD17C6-3B12-4A12-8249-549EC0EAA3A4}" name="Table_ProductRegions_Wheatgrain" displayName="Table_ProductRegions_Wheatgrain" ref="L109:M117" totalsRowShown="0" headerRowDxfId="150" headerRowCellStyle="Content normal">
  <autoFilter ref="L109:M117" xr:uid="{9DD7D3AD-59A1-48FC-B80D-99C25A2A79F5}">
    <filterColumn colId="0" hiddenButton="1"/>
    <filterColumn colId="1" hiddenButton="1"/>
  </autoFilter>
  <tableColumns count="2">
    <tableColumn id="1" xr3:uid="{A3720BDD-69EC-40CD-A080-04260D77B559}" name="Product">
      <calculatedColumnFormula>Table_SourceData_Scope3_Feed[[#This Row],[Product]]</calculatedColumnFormula>
    </tableColumn>
    <tableColumn id="2" xr3:uid="{0E0005EC-7E7C-4CDC-97DC-05879CAC2EED}" name="Region">
      <calculatedColumnFormula>Table_SourceData_Scope3_Feed[[#This Row],[Region of origin]]</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A5AD1F03-1DD2-49E8-96B3-04705E4BBB09}"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C59BCB05-A1AF-4FF5-8DBD-6510BE2BD37B}" name="Product">
      <calculatedColumnFormula>Table_SourceData_Scope3_Feed[[#This Row],[Product]]</calculatedColumnFormula>
    </tableColumn>
    <tableColumn id="2" xr3:uid="{FAD31794-B54D-457F-9F2C-338C47DE560B}" name="Region">
      <calculatedColumnFormula>Table_SourceData_Scope3_Feed[[#This Row],[Region of origin]]</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7CC4FF0-5113-4CF7-9274-F700059096A2}"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45EBADCA-F718-4607-BE8E-5E43A93362AD}" name="Product">
      <calculatedColumnFormula>Table_SourceData_Scope3_Feed[[#This Row],[Product]]</calculatedColumnFormula>
    </tableColumn>
    <tableColumn id="2" xr3:uid="{7A72B512-45D7-4281-9761-FD0F98C01160}" name="Region">
      <calculatedColumnFormula>Table_SourceData_Scope3_Feed[[#This Row],[Region of origin]]</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3DB366C9-EA0B-4ECD-9094-89FF21CAEE24}"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4DEC4DD4-08FE-47D4-BEF9-922D1173727A}" name="Product">
      <calculatedColumnFormula>Table_SourceData_Scope3_Feed[[#This Row],[Product]]</calculatedColumnFormula>
    </tableColumn>
    <tableColumn id="2" xr3:uid="{3E832E7A-C535-4F99-853B-24128C769A7C}" name="Region">
      <calculatedColumnFormula>Table_SourceData_Scope3_Feed[[#This Row],[Region of origin]]</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9012885D-4B69-47C9-9756-D43E3003834F}"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1560E3D8-3D51-44E7-8450-62351AD7FD57}" name="Product">
      <calculatedColumnFormula>Table_SourceData_Scope3_Feed[[#This Row],[Product]]</calculatedColumnFormula>
    </tableColumn>
    <tableColumn id="2" xr3:uid="{F2765852-3969-413F-98D1-EA53BECF6132}" name="Region">
      <calculatedColumnFormula>Table_SourceData_Scope3_Feed[[#This Row],[Region of origin]]</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6C697E2A-5A9F-4109-A4AB-87E06696C51A}"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971DD574-4581-4551-9E70-E3D6A2593624}" name="Product">
      <calculatedColumnFormula>Table_SourceData_Scope3_Feed[[#This Row],[Product]]</calculatedColumnFormula>
    </tableColumn>
    <tableColumn id="2" xr3:uid="{708AA25B-6B95-4C7A-992F-4EBD2CEB494F}" name="Region">
      <calculatedColumnFormula>Table_SourceData_Scope3_Feed[[#This Row],[Region of origin]]</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99BABBE-4F99-42D7-BF4C-747F29041780}" name="Table_ProductRegions_Canolameal" displayName="Table_ProductRegions_Canolameal" ref="L150:M151" totalsRowShown="0" headerRowDxfId="149" headerRowCellStyle="Content normal" dataCellStyle="Content normal">
  <autoFilter ref="L150:M151" xr:uid="{58F78B6F-294E-4D4E-8E3B-BFE4FA85583E}">
    <filterColumn colId="0" hiddenButton="1"/>
    <filterColumn colId="1" hiddenButton="1"/>
  </autoFilter>
  <tableColumns count="2">
    <tableColumn id="1" xr3:uid="{490AA51B-316C-4DC8-B94B-4BB16E1C77A9}" name="Product" dataCellStyle="Content normal">
      <calculatedColumnFormula>Table_SourceData_Scope3_Feed[[#This Row],[Product]]</calculatedColumnFormula>
    </tableColumn>
    <tableColumn id="2" xr3:uid="{D4B54B69-9BEC-4813-8FDC-CDBF37DC651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BBFEB5CB-047C-4CF2-A0EB-203E95C3B8B2}"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85D28550-58AA-4644-A31E-AD59FECF4AE1}" name="Product">
      <calculatedColumnFormula>Table_SourceData_Scope3_Feed[[#This Row],[Product]]</calculatedColumnFormula>
    </tableColumn>
    <tableColumn id="2" xr3:uid="{C9845BD1-0AA3-4E45-A2B8-36DC055E82FE}"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44E626F-B720-4164-AC9B-782EC1159869}"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8FC4AE7F-4C6A-49A5-8450-7A92EF569E0D}" name="Product">
      <calculatedColumnFormula>Table_SourceData_Scope3_Feed[[#This Row],[Product]]</calculatedColumnFormula>
    </tableColumn>
    <tableColumn id="2" xr3:uid="{372C3973-B957-42A3-B7E8-AC0F48A7EFDC}"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EDF6D5C-8D1E-4F8A-B6AE-034C3B828403}"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C2B9A780-D936-4C7F-970D-0431CEB8F81B}" name="Product">
      <calculatedColumnFormula>Table_SourceData_Scope3_Feed[[#This Row],[Product]]</calculatedColumnFormula>
    </tableColumn>
    <tableColumn id="2" xr3:uid="{CC65B1E7-F542-4EBF-8741-FBAE53AC22A6}"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FF17792-501B-4F4F-BC7B-1A8AE43EBD22}"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89410E11-A92B-40B4-8D3B-04E2A85FC7B6}" name="Product">
      <calculatedColumnFormula>Table_SourceData_Scope3_Feed[[#This Row],[Product]]</calculatedColumnFormula>
    </tableColumn>
    <tableColumn id="2" xr3:uid="{56C62EA2-F359-497C-B0C5-F66A51101793}"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6FDDB922-AC46-4B7D-8AC9-56693B93AA2B}"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97451C5A-8A3C-4AF0-95B6-44907220B085}" name="Product">
      <calculatedColumnFormula>Table_SourceData_Scope3_Feed[[#This Row],[Product]]</calculatedColumnFormula>
    </tableColumn>
    <tableColumn id="2" xr3:uid="{0D362B6E-BE77-4800-B82C-7FBD874CAB3A}"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E9D894B4-E9AF-426A-8291-0141172DF33B}"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EEABC815-4BAF-4FDD-A639-6FBDDAB69A88}" name="Product">
      <calculatedColumnFormula>Table_SourceData_Scope3_Feed[[#This Row],[Product]]</calculatedColumnFormula>
    </tableColumn>
    <tableColumn id="2" xr3:uid="{0AB23298-16F0-4C75-A250-FFE1D9A6A352}"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F7E023A1-62EE-45B9-8B17-2A66F21759DA}"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701A7F43-6A26-47AC-B40C-85ECC956B0CA}" name="Product">
      <calculatedColumnFormula>Table_SourceData_Scope3_Feed[[#This Row],[Product]]</calculatedColumnFormula>
    </tableColumn>
    <tableColumn id="2" xr3:uid="{B53330A5-B327-4EC3-B890-69007EF15074}"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9976C8E-9128-44A2-BB70-1C167ED9B967}"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B16F57A7-6EC8-4218-963D-AAEFFA6F61F2}" name="Region"/>
    <tableColumn id="2" xr3:uid="{980036CE-DC03-44B5-9657-ED0ACAA62F18}" name="Scope3 regio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F78FA424-ACE9-4A51-881A-BB9B7D0EE9A5}" name="Table_SourceData_Scope3_FishFeedAndBait" displayName="Table_SourceData_Scope3_FishFeedAndBait" ref="D241:J247" totalsRowShown="0" dataDxfId="14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29576EAB-6674-4602-BA17-B164F7B5B5D9}" name="Category" dataDxfId="147" dataCellStyle="Content normal">
      <calculatedColumnFormula array="1">Common_InputFunctions.Utility_DisplayArrayInTable(Scope3_SourceData.Scope3_FishFeedAndBait_Data(), Table_SourceData_Scope3_FishFeedAndBait[[#Headers],[Category]], 0, 1)</calculatedColumnFormula>
    </tableColumn>
    <tableColumn id="1" xr3:uid="{0D8798B4-4219-4DB8-8848-E48187124699}" name="Product" dataDxfId="146" dataCellStyle="Content normal">
      <calculatedColumnFormula array="1">Common_InputFunctions.Utility_DisplayArrayInTable(Scope3_SourceData.Scope3_FishFeedAndBait_Data(), Table_SourceData_Scope3_FishFeedAndBait[[#Headers],[Category]], 0, 1)</calculatedColumnFormula>
    </tableColumn>
    <tableColumn id="2" xr3:uid="{D7AC1040-6EB3-4595-AEF2-6C6F828C5EF8}" name="Region of origin" dataDxfId="145" dataCellStyle="Content normal">
      <calculatedColumnFormula array="1">Common_InputFunctions.Utility_DisplayArrayInTable(Scope3_SourceData.Scope3_FishFeedAndBait_Data(), Table_SourceData_Scope3_FishFeedAndBait[[#Headers],[Category]], 0, 1)</calculatedColumnFormula>
    </tableColumn>
    <tableColumn id="3" xr3:uid="{1F150F09-7A85-47B7-8450-FF114C1C8862}" name="Quantity Unit" dataDxfId="144" dataCellStyle="Content normal">
      <calculatedColumnFormula array="1">Common_InputFunctions.Utility_DisplayArrayInTable(Scope3_SourceData.Scope3_FishFeedAndBait_Data(), Table_SourceData_Scope3_FishFeedAndBait[[#Headers],[Category]], 0, 1)</calculatedColumnFormula>
    </tableColumn>
    <tableColumn id="4" xr3:uid="{76D0738D-E3A0-4255-ACFB-B4FE02A52825}" name="Emissions intensity" dataDxfId="143" dataCellStyle="Content normal">
      <calculatedColumnFormula array="1">Common_InputFunctions.Utility_DisplayArrayInTable(Scope3_SourceData.Scope3_FishFeedAndBait_Data(), Table_SourceData_Scope3_FishFeedAndBait[[#Headers],[Category]], 0, 1)</calculatedColumnFormula>
    </tableColumn>
    <tableColumn id="5" xr3:uid="{0E8EDACA-8870-47EA-B58A-E1646A7ADAF2}" name="System boundary" dataDxfId="142" dataCellStyle="Content normal">
      <calculatedColumnFormula array="1">Common_InputFunctions.Utility_DisplayArrayInTable(Scope3_SourceData.Scope3_FishFeedAndBait_Data(), Table_SourceData_Scope3_FishFeedAndBait[[#Headers],[Category]], 0, 1)</calculatedColumnFormula>
    </tableColumn>
    <tableColumn id="8" xr3:uid="{11C9DBBD-0E2E-422C-B30A-E7BDA4CFF44F}" name="Source" dataDxfId="141" dataCellStyle="Content normal"/>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D6DCFCA9-5B7F-49B8-9D99-417274E5DCD1}"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7F17AC98-0D08-42C7-806C-E8C690EDC6D5}"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C256943-F114-4908-88BA-F77B057FC35F}" name="Waste type w" dataDxfId="14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29EB0C1-5D57-4CC0-A6F0-472E9AC1A7BB}" name="EFwt" dataDxfId="13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B1E3F878-777D-4CE0-9CAE-AF8F8489E901}" name="EF source" dataDxfId="13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1184A48-065B-4088-9896-CA27B0C1F40E}"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5223B370-0F93-4B90-AE4E-A0D95428C0F3}"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CEC9A14D-ED0F-4957-B664-F6A0D64F5A34}" name="VTMw" dataDxfId="13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F7BCB4A9-B90E-4C59-8A8D-982F19AF6AB1}" name="Table_WasteTypes_Landfill" displayName="Table_WasteTypes_Landfill" ref="I16:I27" totalsRowShown="0">
  <autoFilter ref="I16:I27" xr:uid="{99B942E3-1D24-4166-921C-DCC10960718D}">
    <filterColumn colId="0" hiddenButton="1"/>
  </autoFilter>
  <tableColumns count="1">
    <tableColumn id="1" xr3:uid="{F5385981-A231-4974-B746-EF7D34E5CDF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ACCC056D-6434-4EF0-9ACF-AD2F9DDCD0E5}" name="Table_WasteTypes_Incineration" displayName="Table_WasteTypes_Incineration" ref="K16:K26" totalsRowShown="0" headerRowDxfId="136" headerRowCellStyle="Content normal" dataCellStyle="Content normal">
  <autoFilter ref="K16:K26" xr:uid="{9A900595-7035-4239-9059-ACC16835BF72}">
    <filterColumn colId="0" hiddenButton="1"/>
  </autoFilter>
  <tableColumns count="1">
    <tableColumn id="1" xr3:uid="{386F7B89-A054-419E-9AC0-FD760456C33C}" name="Waste type w" dataCellStyle="Content normal">
      <calculatedColumnFormula>E29</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2C5742E-D40B-4A80-AF63-6D08CD5D2FC4}" name="Table_WasteTypes_Composting" displayName="Table_WasteTypes_Composting" ref="M16:M21" totalsRowShown="0" headerRowDxfId="135" headerRowCellStyle="Content normal" dataCellStyle="Content normal">
  <autoFilter ref="M16:M21" xr:uid="{5C8D39D3-1330-49EB-B431-1B2B8C8238DC}">
    <filterColumn colId="0" hiddenButton="1"/>
  </autoFilter>
  <tableColumns count="1">
    <tableColumn id="1" xr3:uid="{9130933F-1A1D-492E-9F48-DCD61E4AF303}" name="Waste type w" totalsRowDxfId="134" dataCellStyle="Content normal">
      <calculatedColumnFormula>E40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5C34060-84EC-4E99-8842-211DD1DDB0E5}" name="Table_WasteTypes_Anaerobicdigestion" displayName="Table_WasteTypes_Anaerobicdigestion" ref="O16:O21" totalsRowShown="0" headerRowDxfId="133" headerRowCellStyle="Content normal" dataCellStyle="Content normal">
  <autoFilter ref="O16:O21" xr:uid="{331EC43E-DF68-429F-A2A4-58BFE6216EC3}">
    <filterColumn colId="0" hiddenButton="1"/>
  </autoFilter>
  <tableColumns count="1">
    <tableColumn id="1" xr3:uid="{12D55ED2-4741-4F86-9F69-CE0B12C44BDB}" name="Waste type w" totalsRowDxfId="132" dataCellStyle="Content normal">
      <calculatedColumnFormula>E46</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11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11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11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11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11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11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9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95" dataCellStyle="Content normal"/>
    <tableColumn id="2" xr3:uid="{A467D3D2-FAE8-4B4F-AD2F-273B449008EF}" name="Description" dataDxfId="94"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93"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92"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91"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4" totalsRowShown="0" headerRowCellStyle="Input table column header">
  <autoFilter ref="D7:J14"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90"/>
    <tableColumn id="6" xr3:uid="{1219F6AC-7C79-4EDD-8C55-F7A78277AE3F}" name="Evidence files" dataDxfId="89"/>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9:J25" totalsRowShown="0" headerRowCellStyle="Input table column header">
  <autoFilter ref="D19:J25"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88"/>
    <tableColumn id="6" xr3:uid="{73F97399-8A3B-4EFB-9481-CBD7CB1C44EB}" name="Evidence files" dataDxfId="87"/>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30:J33" totalsRowShown="0" headerRowCellStyle="Input table column header">
  <autoFilter ref="D30: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86"/>
    <tableColumn id="6" xr3:uid="{865FA280-4A36-4101-BD09-20356916B4D5}" name="Evidence files" dataDxfId="85"/>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84"/>
    <tableColumn id="6" xr3:uid="{410620E5-5948-4B74-B5C6-B017CD8C09FE}" name="Evidence files" dataDxfId="83"/>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82"/>
    <tableColumn id="6" xr3:uid="{690D112F-6792-478E-99EE-B77B520B2164}" name="Evidence files" dataDxfId="81"/>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1" totalsRowShown="0" headerRowCellStyle="Input table column header">
  <autoFilter ref="D57:J61"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80"/>
    <tableColumn id="6" xr3:uid="{16D79CDB-80AA-4F28-B5E0-282205F97C41}" name="Evidence files" dataDxfId="79"/>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77585709-5BB6-4072-BB7C-78917C6CF572}"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AD6CC58C-7A1A-42E0-8838-D40113A9774C}" name="Symbol">
      <calculatedColumnFormula array="1">Common_InputFunctions.Utility_DisplayArrayInTable(CommonLivestock_SourceData.SourceData_Livestock_Common_SymbolsMMS_Data(), Table_Data_MMSSymbols[[#Headers],[Symbol]], 0)</calculatedColumnFormula>
    </tableColumn>
    <tableColumn id="2" xr3:uid="{72A1C4FD-09DE-4422-A489-40AAE9E918B6}" name="Manure management system">
      <calculatedColumnFormula array="1">Common_InputFunctions.Utility_DisplayArrayInTable(CommonLivestock_SourceData.SourceData_Livestock_Common_SymbolsMMS_Data(), Table_Data_MMSSymbols[[#Headers],[Symbol]], 0)</calculatedColumnFormula>
    </tableColumn>
    <tableColumn id="3" xr3:uid="{BC5550D9-A435-4B76-9987-E652C90EABA5}"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196A8EA1-E969-4941-AF40-9DB5549CF0A5}" name="Table_SourceData_LivestockProduct_Beefcattle" displayName="Table_SourceData_LivestockProduct_Beefcattle" ref="D31:E39" totalsRowShown="0">
  <autoFilter ref="D31:E39" xr:uid="{953E8E36-CE90-4001-9CFA-9307A0C836A9}"/>
  <tableColumns count="2">
    <tableColumn id="1" xr3:uid="{EDCC9A48-9928-4F2E-85F2-9876E455CD99}" name="Product">
      <calculatedColumnFormula array="1">Common_InputFunctions.Utility_DisplayArrayInTable(CommonLivestock_SourceData.SourceData_Livestock_Product_BeefCattle_Data(),Table_SourceData_LivestockProduct_Beefcattle[[#Headers],[Product]],0)</calculatedColumnFormula>
    </tableColumn>
    <tableColumn id="2" xr3:uid="{AEE9AA20-575E-4BC6-B5AE-99FC1E42C839}" name="Source region" dataDxfId="413"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B47692E7-617D-403B-AB85-32CD66FEB014}" name="Table_SourceData_LivestockProduct_Sheep" displayName="Table_SourceData_LivestockProduct_Sheep" ref="D43:E50" totalsRowShown="0" dataDxfId="412" dataCellStyle="Content normal">
  <autoFilter ref="D43:E50" xr:uid="{995536B5-6CA5-4D7D-A704-9B6B595C2491}"/>
  <tableColumns count="2">
    <tableColumn id="1" xr3:uid="{31DDA056-F6DB-4E3E-8227-479715E276D6}" name="Product" dataDxfId="411"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91E39965-D069-496A-81B2-D5C84F477720}" name="Source region" dataDxfId="410"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A9441C97-99FE-46A9-899C-6ABAD7528734}" name="Table_SourceData_LivestockProduct_Chickens" displayName="Table_SourceData_LivestockProduct_Chickens" ref="D54:E55" totalsRowShown="0" dataDxfId="409" dataCellStyle="Content normal">
  <autoFilter ref="D54:E55" xr:uid="{257D8456-031C-4EEF-A8C4-474F215C3208}"/>
  <tableColumns count="2">
    <tableColumn id="1" xr3:uid="{22C9FA7D-1E5E-4AFB-A7A7-1CD8B72E0844}" name="Product" dataDxfId="40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D2CD3EEC-8A92-4E25-A9EF-A4B535DFF4C7}" name="Source region" dataDxfId="407"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DAA3066C-E885-4F61-8D46-6341358B44D1}" name="Table_SourceData_LivestockProduct_Dairycattle" displayName="Table_SourceData_LivestockProduct_Dairycattle" ref="D59:E60" totalsRowShown="0" dataDxfId="406" dataCellStyle="Content normal">
  <autoFilter ref="D59:E60" xr:uid="{71833C62-BA2B-4519-92E0-B189E393D12F}"/>
  <tableColumns count="2">
    <tableColumn id="1" xr3:uid="{4A71259D-F1D4-47F4-8A33-EC9882E77B66}" name="Product" dataDxfId="40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5B8344B-9AB0-4823-A7B4-9FE46F82D3C6}" name="Source region" dataDxfId="40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02C59C9-FFD6-42A9-BCFD-AA40B9042012}" name="Table_SourceData_LivestockProduct_Pigs" displayName="Table_SourceData_LivestockProduct_Pigs" ref="D64:E65" totalsRowShown="0" dataDxfId="403" dataCellStyle="Content normal">
  <autoFilter ref="D64:E65" xr:uid="{65FF5EF6-2A75-4137-9345-8328E2DA8F9C}"/>
  <tableColumns count="2">
    <tableColumn id="1" xr3:uid="{4FBB35AE-5271-4B1E-BF1B-387C61AD2A74}" name="Product" dataDxfId="402"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8B876330-94A1-4F83-B498-22E303457BD6}" name="Source region" dataDxfId="401"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5.bin"/><Relationship Id="rId4"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2" Type="http://schemas.openxmlformats.org/officeDocument/2006/relationships/table" Target="../tables/table16.xml"/><Relationship Id="rId1" Type="http://schemas.openxmlformats.org/officeDocument/2006/relationships/printerSettings" Target="../printerSettings/printerSettings19.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 Id="rId9" Type="http://schemas.openxmlformats.org/officeDocument/2006/relationships/table" Target="../tables/table23.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32.xml"/><Relationship Id="rId3" Type="http://schemas.openxmlformats.org/officeDocument/2006/relationships/table" Target="../tables/table27.xml"/><Relationship Id="rId7" Type="http://schemas.openxmlformats.org/officeDocument/2006/relationships/table" Target="../tables/table31.xml"/><Relationship Id="rId12" Type="http://schemas.openxmlformats.org/officeDocument/2006/relationships/table" Target="../tables/table36.xml"/><Relationship Id="rId2" Type="http://schemas.openxmlformats.org/officeDocument/2006/relationships/table" Target="../tables/table26.xml"/><Relationship Id="rId1" Type="http://schemas.openxmlformats.org/officeDocument/2006/relationships/printerSettings" Target="../printerSettings/printerSettings20.bin"/><Relationship Id="rId6" Type="http://schemas.openxmlformats.org/officeDocument/2006/relationships/table" Target="../tables/table30.xml"/><Relationship Id="rId11" Type="http://schemas.openxmlformats.org/officeDocument/2006/relationships/table" Target="../tables/table35.xml"/><Relationship Id="rId5" Type="http://schemas.openxmlformats.org/officeDocument/2006/relationships/table" Target="../tables/table29.xml"/><Relationship Id="rId10" Type="http://schemas.openxmlformats.org/officeDocument/2006/relationships/table" Target="../tables/table34.xml"/><Relationship Id="rId4" Type="http://schemas.openxmlformats.org/officeDocument/2006/relationships/table" Target="../tables/table28.xml"/><Relationship Id="rId9" Type="http://schemas.openxmlformats.org/officeDocument/2006/relationships/table" Target="../tables/table3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39.xml"/><Relationship Id="rId7" Type="http://schemas.openxmlformats.org/officeDocument/2006/relationships/table" Target="../tables/table43.xml"/><Relationship Id="rId2" Type="http://schemas.openxmlformats.org/officeDocument/2006/relationships/table" Target="../tables/table38.xml"/><Relationship Id="rId1" Type="http://schemas.openxmlformats.org/officeDocument/2006/relationships/table" Target="../tables/table37.xml"/><Relationship Id="rId6" Type="http://schemas.openxmlformats.org/officeDocument/2006/relationships/table" Target="../tables/table42.xml"/><Relationship Id="rId5" Type="http://schemas.openxmlformats.org/officeDocument/2006/relationships/table" Target="../tables/table41.xml"/><Relationship Id="rId4" Type="http://schemas.openxmlformats.org/officeDocument/2006/relationships/table" Target="../tables/table40.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51.xml"/><Relationship Id="rId13" Type="http://schemas.openxmlformats.org/officeDocument/2006/relationships/table" Target="../tables/table56.xml"/><Relationship Id="rId18" Type="http://schemas.openxmlformats.org/officeDocument/2006/relationships/table" Target="../tables/table61.xml"/><Relationship Id="rId26" Type="http://schemas.openxmlformats.org/officeDocument/2006/relationships/table" Target="../tables/table69.xml"/><Relationship Id="rId3" Type="http://schemas.openxmlformats.org/officeDocument/2006/relationships/table" Target="../tables/table46.xml"/><Relationship Id="rId21" Type="http://schemas.openxmlformats.org/officeDocument/2006/relationships/table" Target="../tables/table64.xml"/><Relationship Id="rId7" Type="http://schemas.openxmlformats.org/officeDocument/2006/relationships/table" Target="../tables/table50.xml"/><Relationship Id="rId12" Type="http://schemas.openxmlformats.org/officeDocument/2006/relationships/table" Target="../tables/table55.xml"/><Relationship Id="rId17" Type="http://schemas.openxmlformats.org/officeDocument/2006/relationships/table" Target="../tables/table60.xml"/><Relationship Id="rId25" Type="http://schemas.openxmlformats.org/officeDocument/2006/relationships/table" Target="../tables/table68.xml"/><Relationship Id="rId2" Type="http://schemas.openxmlformats.org/officeDocument/2006/relationships/table" Target="../tables/table45.xml"/><Relationship Id="rId16" Type="http://schemas.openxmlformats.org/officeDocument/2006/relationships/table" Target="../tables/table59.xml"/><Relationship Id="rId20" Type="http://schemas.openxmlformats.org/officeDocument/2006/relationships/table" Target="../tables/table63.xml"/><Relationship Id="rId29" Type="http://schemas.openxmlformats.org/officeDocument/2006/relationships/table" Target="../tables/table72.xml"/><Relationship Id="rId1" Type="http://schemas.openxmlformats.org/officeDocument/2006/relationships/table" Target="../tables/table44.xml"/><Relationship Id="rId6" Type="http://schemas.openxmlformats.org/officeDocument/2006/relationships/table" Target="../tables/table49.xml"/><Relationship Id="rId11" Type="http://schemas.openxmlformats.org/officeDocument/2006/relationships/table" Target="../tables/table54.xml"/><Relationship Id="rId24" Type="http://schemas.openxmlformats.org/officeDocument/2006/relationships/table" Target="../tables/table67.xml"/><Relationship Id="rId5" Type="http://schemas.openxmlformats.org/officeDocument/2006/relationships/table" Target="../tables/table48.xml"/><Relationship Id="rId15" Type="http://schemas.openxmlformats.org/officeDocument/2006/relationships/table" Target="../tables/table58.xml"/><Relationship Id="rId23" Type="http://schemas.openxmlformats.org/officeDocument/2006/relationships/table" Target="../tables/table66.xml"/><Relationship Id="rId28" Type="http://schemas.openxmlformats.org/officeDocument/2006/relationships/table" Target="../tables/table71.xml"/><Relationship Id="rId10" Type="http://schemas.openxmlformats.org/officeDocument/2006/relationships/table" Target="../tables/table53.xml"/><Relationship Id="rId19" Type="http://schemas.openxmlformats.org/officeDocument/2006/relationships/table" Target="../tables/table62.xml"/><Relationship Id="rId31" Type="http://schemas.openxmlformats.org/officeDocument/2006/relationships/table" Target="../tables/table74.xml"/><Relationship Id="rId4" Type="http://schemas.openxmlformats.org/officeDocument/2006/relationships/table" Target="../tables/table47.xml"/><Relationship Id="rId9" Type="http://schemas.openxmlformats.org/officeDocument/2006/relationships/table" Target="../tables/table52.xml"/><Relationship Id="rId14" Type="http://schemas.openxmlformats.org/officeDocument/2006/relationships/table" Target="../tables/table57.xml"/><Relationship Id="rId22" Type="http://schemas.openxmlformats.org/officeDocument/2006/relationships/table" Target="../tables/table65.xml"/><Relationship Id="rId27" Type="http://schemas.openxmlformats.org/officeDocument/2006/relationships/table" Target="../tables/table70.xml"/><Relationship Id="rId30" Type="http://schemas.openxmlformats.org/officeDocument/2006/relationships/table" Target="../tables/table73.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76.xml"/><Relationship Id="rId7" Type="http://schemas.openxmlformats.org/officeDocument/2006/relationships/table" Target="../tables/table80.xml"/><Relationship Id="rId2" Type="http://schemas.openxmlformats.org/officeDocument/2006/relationships/table" Target="../tables/table75.xml"/><Relationship Id="rId1" Type="http://schemas.openxmlformats.org/officeDocument/2006/relationships/printerSettings" Target="../printerSettings/printerSettings21.bin"/><Relationship Id="rId6" Type="http://schemas.openxmlformats.org/officeDocument/2006/relationships/table" Target="../tables/table79.xml"/><Relationship Id="rId5" Type="http://schemas.openxmlformats.org/officeDocument/2006/relationships/table" Target="../tables/table78.xml"/><Relationship Id="rId4" Type="http://schemas.openxmlformats.org/officeDocument/2006/relationships/table" Target="../tables/table77.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87.xml"/><Relationship Id="rId13" Type="http://schemas.openxmlformats.org/officeDocument/2006/relationships/table" Target="../tables/table92.xml"/><Relationship Id="rId18" Type="http://schemas.openxmlformats.org/officeDocument/2006/relationships/table" Target="../tables/table97.xml"/><Relationship Id="rId3" Type="http://schemas.openxmlformats.org/officeDocument/2006/relationships/table" Target="../tables/table82.xml"/><Relationship Id="rId21" Type="http://schemas.openxmlformats.org/officeDocument/2006/relationships/table" Target="../tables/table100.xml"/><Relationship Id="rId7" Type="http://schemas.openxmlformats.org/officeDocument/2006/relationships/table" Target="../tables/table86.xml"/><Relationship Id="rId12" Type="http://schemas.openxmlformats.org/officeDocument/2006/relationships/table" Target="../tables/table91.xml"/><Relationship Id="rId17" Type="http://schemas.openxmlformats.org/officeDocument/2006/relationships/table" Target="../tables/table96.xml"/><Relationship Id="rId2" Type="http://schemas.openxmlformats.org/officeDocument/2006/relationships/table" Target="../tables/table81.xml"/><Relationship Id="rId16" Type="http://schemas.openxmlformats.org/officeDocument/2006/relationships/table" Target="../tables/table95.xml"/><Relationship Id="rId20" Type="http://schemas.openxmlformats.org/officeDocument/2006/relationships/table" Target="../tables/table99.xml"/><Relationship Id="rId1" Type="http://schemas.openxmlformats.org/officeDocument/2006/relationships/printerSettings" Target="../printerSettings/printerSettings22.bin"/><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5" Type="http://schemas.openxmlformats.org/officeDocument/2006/relationships/table" Target="../tables/table94.xml"/><Relationship Id="rId10" Type="http://schemas.openxmlformats.org/officeDocument/2006/relationships/table" Target="../tables/table89.xml"/><Relationship Id="rId19" Type="http://schemas.openxmlformats.org/officeDocument/2006/relationships/table" Target="../tables/table98.xml"/><Relationship Id="rId4" Type="http://schemas.openxmlformats.org/officeDocument/2006/relationships/table" Target="../tables/table83.xml"/><Relationship Id="rId9" Type="http://schemas.openxmlformats.org/officeDocument/2006/relationships/table" Target="../tables/table88.xml"/><Relationship Id="rId14" Type="http://schemas.openxmlformats.org/officeDocument/2006/relationships/table" Target="../tables/table93.xml"/><Relationship Id="rId22" Type="http://schemas.openxmlformats.org/officeDocument/2006/relationships/table" Target="../tables/table101.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104.xml"/><Relationship Id="rId2" Type="http://schemas.openxmlformats.org/officeDocument/2006/relationships/table" Target="../tables/table103.xml"/><Relationship Id="rId1" Type="http://schemas.openxmlformats.org/officeDocument/2006/relationships/table" Target="../tables/table102.xml"/><Relationship Id="rId6" Type="http://schemas.openxmlformats.org/officeDocument/2006/relationships/table" Target="../tables/table107.xml"/><Relationship Id="rId5" Type="http://schemas.openxmlformats.org/officeDocument/2006/relationships/table" Target="../tables/table106.xml"/><Relationship Id="rId4" Type="http://schemas.openxmlformats.org/officeDocument/2006/relationships/table" Target="../tables/table105.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109.xml"/><Relationship Id="rId7" Type="http://schemas.openxmlformats.org/officeDocument/2006/relationships/table" Target="../tables/table113.xml"/><Relationship Id="rId2" Type="http://schemas.openxmlformats.org/officeDocument/2006/relationships/table" Target="../tables/table108.xml"/><Relationship Id="rId1" Type="http://schemas.openxmlformats.org/officeDocument/2006/relationships/printerSettings" Target="../printerSettings/printerSettings23.bin"/><Relationship Id="rId6" Type="http://schemas.openxmlformats.org/officeDocument/2006/relationships/table" Target="../tables/table112.xml"/><Relationship Id="rId5" Type="http://schemas.openxmlformats.org/officeDocument/2006/relationships/table" Target="../tables/table111.xml"/><Relationship Id="rId4" Type="http://schemas.openxmlformats.org/officeDocument/2006/relationships/table" Target="../tables/table1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47"/>
  <sheetViews>
    <sheetView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46"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EI")</f>
        <v>Results - Product EI</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Crop'!A1", "Crop")</f>
        <v>Crop</v>
      </c>
    </row>
    <row r="12" spans="1:1" ht="20.100000000000001" customHeight="1" x14ac:dyDescent="0.2">
      <c r="A12" s="5" t="str">
        <f>HYPERLINK("#'Input - Fert Prod System'!A1", "Fert Prod System")</f>
        <v>Fert Prod System</v>
      </c>
    </row>
    <row r="13" spans="1:1" ht="20.100000000000001" customHeight="1" x14ac:dyDescent="0.2">
      <c r="A13" s="5" t="str">
        <f>HYPERLINK("#'Input - Fertiliser'!A1", "Fertiliser")</f>
        <v>Fertiliser</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Crop pasture farm input'!A1", "Crop pasture farm input")</f>
        <v>Crop pasture farm input</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Data quality'!A1", "Data quality")</f>
        <v>Data quality</v>
      </c>
    </row>
    <row r="23" spans="1:1" ht="20.100000000000001" customHeight="1" x14ac:dyDescent="0.2">
      <c r="A23" s="6" t="s">
        <v>2</v>
      </c>
    </row>
    <row r="24" spans="1:1" ht="20.100000000000001" customHeight="1" x14ac:dyDescent="0.2">
      <c r="A24" s="5" t="str">
        <f>HYPERLINK("#'5.1.1.1-2 Inorganic fert N2O'!A1", "5.1.1.1-2 Inorganic fert N2O")</f>
        <v>5.1.1.1-2 Inorganic fert N2O</v>
      </c>
    </row>
    <row r="25" spans="1:1" ht="20.100000000000001" customHeight="1" x14ac:dyDescent="0.2">
      <c r="A25" s="5" t="str">
        <f>HYPERLINK("#'5.1.1.3-4 Inorganic fert CO2'!A1", "5.1.1.3-4 Inorganic fert CO2")</f>
        <v>5.1.1.3-4 Inorganic fert CO2</v>
      </c>
    </row>
    <row r="26" spans="1:1" ht="20.100000000000001" customHeight="1" x14ac:dyDescent="0.2">
      <c r="A26" s="5" t="str">
        <f>HYPERLINK("#'5.2.1.1-2 Organic Fert N2O'!A1", "5.2.1.1-2 Organic fert N2O")</f>
        <v>5.2.1.1-2 Organic fert N2O</v>
      </c>
    </row>
    <row r="27" spans="1:1" ht="20.100000000000001" customHeight="1" x14ac:dyDescent="0.2">
      <c r="A27" s="5" t="str">
        <f>HYPERLINK("#'5.3.1.1-2 Lime CO2'!A1", "5.3.1.1-2 Lime CO2")</f>
        <v>5.3.1.1-2 Lime CO2</v>
      </c>
    </row>
    <row r="28" spans="1:1" ht="20.100000000000001" customHeight="1" x14ac:dyDescent="0.2">
      <c r="A28" s="5" t="str">
        <f>HYPERLINK("#'5.4.1.1-4 Atmos deposition'!A1", "5.4.1.1-4 Atmos. deposition")</f>
        <v>5.4.1.1-4 Atmos. deposition</v>
      </c>
    </row>
    <row r="29" spans="1:1" ht="20.100000000000001" customHeight="1" x14ac:dyDescent="0.2">
      <c r="A29" s="5" t="str">
        <f>HYPERLINK("#'5.5.1.1-2 Leaching and runoff'!A1", "5.5.1.1-2 Leaching &amp; runoff")</f>
        <v>5.5.1.1-2 Leaching &amp; runoff</v>
      </c>
    </row>
    <row r="30" spans="1:1" ht="20.100000000000001" customHeight="1" x14ac:dyDescent="0.2">
      <c r="A30" s="5" t="str">
        <f>HYPERLINK("#'6.1.1.1-2 Crop residue N2O'!A1", "6.1.1.1-2 Crop residue N2O")</f>
        <v>6.1.1.1-2 Crop residue N2O</v>
      </c>
    </row>
    <row r="31" spans="1:1" ht="20.100000000000001" customHeight="1" x14ac:dyDescent="0.2">
      <c r="A31" s="5" t="str">
        <f>HYPERLINK("#'6.3.1.1-2 Leach runoff crop'!A1", "6.3.1.1-2 Leach &amp; runoff (crop)")</f>
        <v>6.3.1.1-2 Leach &amp; runoff (crop)</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5"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61"/>
  <sheetViews>
    <sheetView showGridLines="0" tabSelected="1" zoomScaleNormal="100" workbookViewId="0">
      <pane xSplit="1" topLeftCell="B1" activePane="topRight" state="frozenSplit"/>
      <selection pane="topRight"/>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92" t="s">
        <v>279</v>
      </c>
      <c r="D1" s="92"/>
      <c r="E1" s="92"/>
      <c r="F1" s="92"/>
      <c r="G1" s="92"/>
      <c r="H1" s="92"/>
      <c r="I1" s="92"/>
      <c r="J1" s="92"/>
      <c r="K1" s="92"/>
    </row>
    <row r="2" spans="1:11" ht="20.100000000000001" customHeight="1" x14ac:dyDescent="0.2">
      <c r="C2" s="3"/>
      <c r="D2" s="3"/>
      <c r="E2" s="3"/>
      <c r="F2" s="3"/>
      <c r="G2" s="3"/>
      <c r="H2" s="3"/>
      <c r="I2" s="3"/>
      <c r="J2" s="3"/>
      <c r="K2" s="3"/>
    </row>
    <row r="3" spans="1:11" ht="20.100000000000001" customHeight="1" x14ac:dyDescent="0.2">
      <c r="A3" s="5" t="str">
        <f>HYPERLINK("#'Home'!A1", "Home")</f>
        <v>Home</v>
      </c>
      <c r="C3" s="93"/>
      <c r="D3" s="93"/>
      <c r="E3" s="93"/>
      <c r="F3" s="93"/>
      <c r="G3" s="93"/>
      <c r="H3" s="93"/>
      <c r="I3" s="93"/>
      <c r="J3" s="93"/>
      <c r="K3" s="93"/>
    </row>
    <row r="4" spans="1:11" ht="20.100000000000001" customHeight="1" x14ac:dyDescent="0.2">
      <c r="A4" s="246"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
      <c r="A5" s="5" t="str">
        <f>HYPERLINK("#'Results - Product EI'!A1", "Results - Product EI")</f>
        <v>Results - Product EI</v>
      </c>
    </row>
    <row r="6" spans="1:11" ht="20.100000000000001" customHeight="1" x14ac:dyDescent="0.2">
      <c r="D6" s="79" t="s">
        <v>255</v>
      </c>
    </row>
    <row r="8" spans="1:11" ht="20.100000000000001" customHeight="1" x14ac:dyDescent="0.2">
      <c r="A8" s="7" t="s">
        <v>0</v>
      </c>
      <c r="D8" s="11" t="s">
        <v>3</v>
      </c>
      <c r="E8" s="11" t="s">
        <v>8</v>
      </c>
      <c r="F8" s="11" t="s">
        <v>9</v>
      </c>
      <c r="G8" s="11" t="s">
        <v>5</v>
      </c>
      <c r="H8" s="11" t="s">
        <v>10</v>
      </c>
      <c r="I8" s="11" t="s">
        <v>11</v>
      </c>
      <c r="J8" s="11"/>
    </row>
    <row r="9" spans="1:11" ht="20.100000000000001" customHeight="1" x14ac:dyDescent="0.2">
      <c r="A9" s="5" t="str">
        <f>HYPERLINK("#'Input - Enterprise'!A1", "Enterprise")</f>
        <v>Enterprise</v>
      </c>
      <c r="D9" s="1" t="s">
        <v>131</v>
      </c>
      <c r="E9" s="1" cm="1">
        <f t="array" ref="E9">VEERG_5_1_1_1__1_InorganicFertiliserApplicationN2OEmissions_Result_Method1</f>
        <v>2.0110749340000003</v>
      </c>
      <c r="F9" s="1" cm="1">
        <f t="array" ref="F9">VEERG_5_1_1_1__1_InorganicFertiliserApplicationN2OEmissions_Result_Method2</f>
        <v>9.2837063748647253E-3</v>
      </c>
      <c r="G9" s="9" t="s">
        <v>12</v>
      </c>
      <c r="H9" s="1" cm="1">
        <f t="array" ref="H9">Common_Equations.Common_ConvertN2OToCO2e(E9,_xlfn.XLOOKUP("N2O", Table_GWPData[Gas],Table_GWPData[CO2-e factor]))</f>
        <v>532.93485751000003</v>
      </c>
      <c r="I9" s="1" cm="1">
        <f t="array" ref="I9">Common_Equations.Common_ConvertN2OToCO2e(F9,_xlfn.XLOOKUP("N2O", Table_GWPData[Gas],Table_GWPData[CO2-e factor]))</f>
        <v>2.460182189339152</v>
      </c>
      <c r="J9" s="9" t="s">
        <v>7</v>
      </c>
    </row>
    <row r="10" spans="1:11" ht="20.100000000000001" customHeight="1" x14ac:dyDescent="0.2">
      <c r="A10" s="5" t="str">
        <f>HYPERLINK("#'Input - Site'!A1", "Site")</f>
        <v>Site</v>
      </c>
      <c r="D10" s="1" t="s">
        <v>132</v>
      </c>
      <c r="E10" s="1" cm="1">
        <f t="array" ref="E10">VEERG_5_1_1_3__1_InorganicFertiliserApplicationCO2Emissions_Result_Method1</f>
        <v>184.92752666666664</v>
      </c>
      <c r="F10" s="1">
        <f>E10</f>
        <v>184.92752666666664</v>
      </c>
      <c r="G10" s="9" t="s">
        <v>125</v>
      </c>
      <c r="H10" s="1">
        <f>E10</f>
        <v>184.92752666666664</v>
      </c>
      <c r="I10" s="1">
        <f>F10</f>
        <v>184.92752666666664</v>
      </c>
      <c r="J10" s="9" t="s">
        <v>7</v>
      </c>
    </row>
    <row r="11" spans="1:11" ht="20.100000000000001" customHeight="1" x14ac:dyDescent="0.2">
      <c r="A11" s="5" t="str">
        <f>HYPERLINK("#'Input - Crop'!A1", "Crop")</f>
        <v>Crop</v>
      </c>
      <c r="D11" s="1" t="s">
        <v>133</v>
      </c>
      <c r="E11" s="1" cm="1">
        <f t="array" ref="E11">VEERG_5_2_1_1__2_MassOfNitrogenInOrganicFertiliser_Result_Method1</f>
        <v>5.5785714285714286E-2</v>
      </c>
      <c r="F11" s="1">
        <f>E11</f>
        <v>5.5785714285714286E-2</v>
      </c>
      <c r="G11" s="9" t="s">
        <v>12</v>
      </c>
      <c r="H11" s="1" cm="1">
        <f t="array" ref="H11">Common_Equations.Common_ConvertN2OToCO2e(E11,_xlfn.XLOOKUP("N2O", Table_GWPData[Gas],Table_GWPData[CO2-e factor]))</f>
        <v>14.783214285714285</v>
      </c>
      <c r="I11" s="1" cm="1">
        <f t="array" ref="I11">Common_Equations.Common_ConvertN2OToCO2e(F11,_xlfn.XLOOKUP("N2O", Table_GWPData[Gas],Table_GWPData[CO2-e factor]))</f>
        <v>14.783214285714285</v>
      </c>
      <c r="J11" s="9" t="s">
        <v>7</v>
      </c>
    </row>
    <row r="12" spans="1:11" ht="20.100000000000001" customHeight="1" x14ac:dyDescent="0.2">
      <c r="A12" s="5" t="str">
        <f>HYPERLINK("#'Input - Fert Prod System'!A1", "Fert Prod System")</f>
        <v>Fert Prod System</v>
      </c>
      <c r="D12" s="1" t="s">
        <v>134</v>
      </c>
      <c r="E12" s="1" cm="1">
        <f t="array" ref="E12">VEERG_5_3_1_1__1_LimeApplicationCO2Emissions_Result_Method1</f>
        <v>758.08333333333326</v>
      </c>
      <c r="F12" s="1">
        <f>E12</f>
        <v>758.08333333333326</v>
      </c>
      <c r="G12" s="9" t="s">
        <v>125</v>
      </c>
      <c r="H12" s="1">
        <f>E12</f>
        <v>758.08333333333326</v>
      </c>
      <c r="I12" s="1">
        <f>F12</f>
        <v>758.08333333333326</v>
      </c>
      <c r="J12" s="9" t="s">
        <v>7</v>
      </c>
    </row>
    <row r="13" spans="1:11" ht="20.100000000000001" customHeight="1" x14ac:dyDescent="0.2">
      <c r="A13" s="5" t="str">
        <f>HYPERLINK("#'Input - Fertiliser'!A1", "Fertiliser")</f>
        <v>Fertiliser</v>
      </c>
      <c r="D13" s="1" t="s">
        <v>135</v>
      </c>
      <c r="E13" s="1">
        <v>1.6401E-3</v>
      </c>
      <c r="F13" s="1">
        <f>E13</f>
        <v>1.6401E-3</v>
      </c>
      <c r="G13" s="9" t="s">
        <v>12</v>
      </c>
      <c r="H13" s="1" cm="1">
        <f t="array" ref="H13">Common_Equations.Common_ConvertN2OToCO2e(E13,_xlfn.XLOOKUP("N2O", Table_GWPData[Gas],Table_GWPData[CO2-e factor]))</f>
        <v>0.43462650000000003</v>
      </c>
      <c r="I13" s="1" cm="1">
        <f t="array" ref="I13">Common_Equations.Common_ConvertN2OToCO2e(F13,_xlfn.XLOOKUP("N2O", Table_GWPData[Gas],Table_GWPData[CO2-e factor]))</f>
        <v>0.43462650000000003</v>
      </c>
      <c r="J13" s="9" t="s">
        <v>7</v>
      </c>
    </row>
    <row r="14" spans="1:11" ht="20.100000000000001" customHeight="1" x14ac:dyDescent="0.2">
      <c r="A14" s="5" t="str">
        <f>HYPERLINK("#'Input - Fuel'!A1", "Fuel")</f>
        <v>Fuel</v>
      </c>
      <c r="D14" s="1" t="s">
        <v>136</v>
      </c>
      <c r="E14" s="1">
        <v>7.8791740367999977E-2</v>
      </c>
      <c r="F14" s="1">
        <f>E14</f>
        <v>7.8791740367999977E-2</v>
      </c>
      <c r="G14" s="9" t="s">
        <v>12</v>
      </c>
      <c r="H14" s="1" cm="1">
        <f t="array" ref="H14">Common_Equations.Common_ConvertN2OToCO2e(E14,_xlfn.XLOOKUP("N2O", Table_GWPData[Gas],Table_GWPData[CO2-e factor]))</f>
        <v>20.879811197519995</v>
      </c>
      <c r="I14" s="1" cm="1">
        <f t="array" ref="I14">Common_Equations.Common_ConvertN2OToCO2e(F14,_xlfn.XLOOKUP("N2O", Table_GWPData[Gas],Table_GWPData[CO2-e factor]))</f>
        <v>20.879811197519995</v>
      </c>
      <c r="J14" s="9" t="s">
        <v>7</v>
      </c>
    </row>
    <row r="15" spans="1:11" ht="20.100000000000001" customHeight="1" x14ac:dyDescent="0.2">
      <c r="A15" s="5" t="str">
        <f>HYPERLINK("#'Input - Electricity'!A1", "Electricity")</f>
        <v>Electricity</v>
      </c>
      <c r="D15" s="1" t="s">
        <v>159</v>
      </c>
      <c r="E15" s="1" cm="1">
        <f t="array" aca="1" ref="E15" ca="1">VEERG_6_1_1_1__1__NitrousOxideEmissionsFromCropResidues_Result_Method1</f>
        <v>0.23531610960000002</v>
      </c>
      <c r="F15" s="1" cm="1">
        <f t="array" aca="1" ref="F15" ca="1">VEERG_6_1_1_1__1__NitrousOxideEmissionsFromCropResidues_Result_Method2</f>
        <v>0.23531610960000002</v>
      </c>
      <c r="G15" s="9" t="s">
        <v>12</v>
      </c>
      <c r="H15" s="1" cm="1">
        <f t="array" aca="1" ref="H15" ca="1">Common_Equations.Common_ConvertN2OToCO2e(E15,_xlfn.XLOOKUP("N2O", Table_GWPData[Gas],Table_GWPData[CO2-e factor]))</f>
        <v>62.358769044000006</v>
      </c>
      <c r="I15" s="1" cm="1">
        <f t="array" aca="1" ref="I15" ca="1">Common_Equations.Common_ConvertN2OToCO2e(F15,_xlfn.XLOOKUP("N2O", Table_GWPData[Gas],Table_GWPData[CO2-e factor]))</f>
        <v>62.358769044000006</v>
      </c>
      <c r="J15" s="9" t="s">
        <v>7</v>
      </c>
    </row>
    <row r="16" spans="1:11" ht="20.100000000000001" customHeight="1" x14ac:dyDescent="0.2">
      <c r="A16" s="5" t="str">
        <f>HYPERLINK("#'Input - Common farm inputs'!A1", "Common farm inputs")</f>
        <v>Common farm inputs</v>
      </c>
      <c r="D16" s="1" t="s">
        <v>158</v>
      </c>
      <c r="E16" s="1" cm="1">
        <f t="array" aca="1" ref="E16" ca="1">VEERG_6_3_1_1__1__LeachingAndRunoffEmissionsCropAndPastureResidue_CropOnly_Result_Method1</f>
        <v>0.12424690586879999</v>
      </c>
      <c r="F16" s="1" cm="1">
        <f t="array" aca="1" ref="F16" ca="1">VEERG_6_3_1_1__1__LeachingAndRunoffEmissionsCropAndPastureResidue_CropOnly_Result_Method2</f>
        <v>0.12424690586879999</v>
      </c>
      <c r="G16" s="9" t="s">
        <v>12</v>
      </c>
      <c r="H16" s="1" cm="1">
        <f t="array" aca="1" ref="H16" ca="1">Common_Equations.Common_ConvertN2OToCO2e(E16,_xlfn.XLOOKUP("N2O", Table_GWPData[Gas],Table_GWPData[CO2-e factor]))</f>
        <v>32.925430055231999</v>
      </c>
      <c r="I16" s="1" cm="1">
        <f t="array" aca="1" ref="I16" ca="1">Common_Equations.Common_ConvertN2OToCO2e(F16,_xlfn.XLOOKUP("N2O", Table_GWPData[Gas],Table_GWPData[CO2-e factor]))</f>
        <v>32.925430055231999</v>
      </c>
      <c r="J16" s="9" t="s">
        <v>7</v>
      </c>
    </row>
    <row r="17" spans="1:10" ht="20.100000000000001" customHeight="1" x14ac:dyDescent="0.2">
      <c r="A17" s="5" t="str">
        <f>HYPERLINK("#'Input - Crop pasture farm input'!A1", "Crop pasture farm input")</f>
        <v>Crop pasture farm input</v>
      </c>
      <c r="D17" s="1" t="s">
        <v>137</v>
      </c>
      <c r="E17" s="1" cm="1">
        <f t="array" ref="E17">VEERG_8_1_1_1__1_FuelCombustionTransport_Result_CO2</f>
        <v>83.182000000000002</v>
      </c>
      <c r="F17" s="1">
        <f>E17</f>
        <v>83.182000000000002</v>
      </c>
      <c r="G17" s="9" t="s">
        <v>125</v>
      </c>
      <c r="H17" s="1">
        <f>E17</f>
        <v>83.182000000000002</v>
      </c>
      <c r="I17" s="1">
        <f>F17</f>
        <v>83.182000000000002</v>
      </c>
      <c r="J17" s="9" t="s">
        <v>7</v>
      </c>
    </row>
    <row r="18" spans="1:10" ht="20.100000000000001" customHeight="1" x14ac:dyDescent="0.2">
      <c r="A18" s="5" t="str">
        <f>HYPERLINK("#'Input - Freight'!A1", "Freight")</f>
        <v>Freight</v>
      </c>
      <c r="D18" s="1" t="s">
        <v>139</v>
      </c>
      <c r="E18" s="1" cm="1">
        <f t="array" ref="E18">VEERG_8_1_1_1__1_FuelCombustionTransport_Result_CH4</f>
        <v>0.19906000000000001</v>
      </c>
      <c r="F18" s="1">
        <f>E18</f>
        <v>0.19906000000000001</v>
      </c>
      <c r="G18" s="9" t="s">
        <v>6</v>
      </c>
      <c r="H18" s="1" cm="1">
        <f t="array" ref="H18">Common_Equations.Common_ConvertCH4ToCO2e(E18,_xlfn.XLOOKUP("CH4", Table_GWPData[Gas],Table_GWPData[CO2-e factor]))</f>
        <v>5.5736800000000004</v>
      </c>
      <c r="I18" s="1" cm="1">
        <f t="array" ref="I18">Common_Equations.Common_ConvertCH4ToCO2e(F18,_xlfn.XLOOKUP("CH4", Table_GWPData[Gas],Table_GWPData[CO2-e factor]))</f>
        <v>5.5736800000000004</v>
      </c>
      <c r="J18" s="9" t="s">
        <v>7</v>
      </c>
    </row>
    <row r="19" spans="1:10" ht="20.100000000000001" customHeight="1" x14ac:dyDescent="0.2">
      <c r="A19" s="5" t="str">
        <f>HYPERLINK("#'Input - Solid waste'!A1", "Solid waste")</f>
        <v>Solid waste</v>
      </c>
      <c r="D19" s="1" t="s">
        <v>138</v>
      </c>
      <c r="E19" s="1" cm="1">
        <f t="array" ref="E19">VEERG_8_1_1_1__1_FuelCombustionTransport_Result_N2O</f>
        <v>0.58450000000000002</v>
      </c>
      <c r="F19" s="1">
        <f>E19</f>
        <v>0.58450000000000002</v>
      </c>
      <c r="G19" s="9" t="s">
        <v>12</v>
      </c>
      <c r="H19" s="1" cm="1">
        <f t="array" ref="H19">Common_Equations.Common_ConvertN2OToCO2e(E19,_xlfn.XLOOKUP("N2O", Table_GWPData[Gas],Table_GWPData[CO2-e factor]))</f>
        <v>154.89250000000001</v>
      </c>
      <c r="I19" s="1" cm="1">
        <f t="array" ref="I19">Common_Equations.Common_ConvertN2OToCO2e(F19,_xlfn.XLOOKUP("N2O", Table_GWPData[Gas],Table_GWPData[CO2-e factor]))</f>
        <v>154.89250000000001</v>
      </c>
      <c r="J19" s="9" t="s">
        <v>7</v>
      </c>
    </row>
    <row r="20" spans="1:10" ht="20.100000000000001" customHeight="1" x14ac:dyDescent="0.2">
      <c r="A20" s="5" t="str">
        <f>HYPERLINK("#'Input - Data quality'!A1", "Data quality")</f>
        <v>Data quality</v>
      </c>
      <c r="D20" s="1" t="s">
        <v>140</v>
      </c>
      <c r="E20" s="1" cm="1">
        <f t="array" ref="E20">VEERG_8_2_1_1__1_FuelCombustionStationary_Result_CO2</f>
        <v>29.070800000000002</v>
      </c>
      <c r="F20" s="1">
        <f>E20</f>
        <v>29.070800000000002</v>
      </c>
      <c r="G20" s="9" t="s">
        <v>125</v>
      </c>
      <c r="H20" s="1">
        <f>E20</f>
        <v>29.070800000000002</v>
      </c>
      <c r="I20" s="1">
        <f>F20</f>
        <v>29.070800000000002</v>
      </c>
      <c r="J20" s="9" t="s">
        <v>7</v>
      </c>
    </row>
    <row r="21" spans="1:10" ht="20.100000000000001" customHeight="1" x14ac:dyDescent="0.2">
      <c r="D21" s="1" t="s">
        <v>141</v>
      </c>
      <c r="E21" s="1" cm="1">
        <f t="array" ref="E21">VEERG_8_2_1_1__1_FuelCombustionStationary_Result_CH4</f>
        <v>7.2400000000000006E-2</v>
      </c>
      <c r="F21" s="1">
        <f t="shared" ref="F21:F24" si="0">E21</f>
        <v>7.2400000000000006E-2</v>
      </c>
      <c r="G21" s="9" t="s">
        <v>6</v>
      </c>
      <c r="H21" s="1" cm="1">
        <f t="array" ref="H21">Common_Equations.Common_ConvertCH4ToCO2e(E21,_xlfn.XLOOKUP("CH4", Table_GWPData[Gas],Table_GWPData[CO2-e factor]))</f>
        <v>2.0272000000000001</v>
      </c>
      <c r="I21" s="1" cm="1">
        <f t="array" ref="I21">Common_Equations.Common_ConvertCH4ToCO2e(F21,_xlfn.XLOOKUP("CH4", Table_GWPData[Gas],Table_GWPData[CO2-e factor]))</f>
        <v>2.0272000000000001</v>
      </c>
      <c r="J21" s="9" t="s">
        <v>7</v>
      </c>
    </row>
    <row r="22" spans="1:10" ht="20.100000000000001" customHeight="1" x14ac:dyDescent="0.2">
      <c r="D22" s="1" t="s">
        <v>142</v>
      </c>
      <c r="E22" s="1" cm="1">
        <f t="array" ref="E22">VEERG_8_2_1_1__1_FuelCombustionStationary_Result_N2O</f>
        <v>7.1400000000000005E-2</v>
      </c>
      <c r="F22" s="1">
        <f t="shared" si="0"/>
        <v>7.1400000000000005E-2</v>
      </c>
      <c r="G22" s="9" t="s">
        <v>12</v>
      </c>
      <c r="H22" s="1" cm="1">
        <f t="array" ref="H22">Common_Equations.Common_ConvertN2OToCO2e(E22,_xlfn.XLOOKUP("N2O", Table_GWPData[Gas],Table_GWPData[CO2-e factor]))</f>
        <v>18.921000000000003</v>
      </c>
      <c r="I22" s="1" cm="1">
        <f t="array" ref="I22">Common_Equations.Common_ConvertN2OToCO2e(F22,_xlfn.XLOOKUP("N2O", Table_GWPData[Gas],Table_GWPData[CO2-e factor]))</f>
        <v>18.921000000000003</v>
      </c>
      <c r="J22" s="9" t="s">
        <v>7</v>
      </c>
    </row>
    <row r="23" spans="1:10" ht="20.100000000000001" customHeight="1" x14ac:dyDescent="0.2">
      <c r="A23" s="6" t="s">
        <v>2</v>
      </c>
      <c r="D23" s="1" t="s">
        <v>143</v>
      </c>
      <c r="E23" s="1" cm="1">
        <f t="array" ref="E23">VEERG_14_1_1__1_LocationBasedScopeElectricityEmissions_Result_Method1</f>
        <v>16.8</v>
      </c>
      <c r="F23" s="1">
        <f t="shared" si="0"/>
        <v>16.8</v>
      </c>
      <c r="G23" s="9" t="s">
        <v>7</v>
      </c>
      <c r="H23" s="1">
        <f>E23</f>
        <v>16.8</v>
      </c>
      <c r="I23" s="1">
        <f>F23</f>
        <v>16.8</v>
      </c>
      <c r="J23" s="9" t="s">
        <v>7</v>
      </c>
    </row>
    <row r="24" spans="1:10" ht="20.100000000000001" customHeight="1" x14ac:dyDescent="0.2">
      <c r="A24" s="5" t="str">
        <f>HYPERLINK("#'5.1.1.1-2 Inorganic fert N2O'!A1", "5.1.1.1-2 Inorganic fert N2O")</f>
        <v>5.1.1.1-2 Inorganic fert N2O</v>
      </c>
      <c r="D24" s="1" t="s">
        <v>144</v>
      </c>
      <c r="E24" s="1" cm="1">
        <f t="array" ref="E24">VEERG_14_1_2__1_MarketBasedScopeElectricityEmissionsVariation_Result_Method1</f>
        <v>9.7200000000000006</v>
      </c>
      <c r="F24" s="1">
        <f t="shared" si="0"/>
        <v>9.7200000000000006</v>
      </c>
      <c r="G24" s="9" t="s">
        <v>7</v>
      </c>
      <c r="H24" s="1">
        <f>E24</f>
        <v>9.7200000000000006</v>
      </c>
      <c r="I24" s="1">
        <f>F24</f>
        <v>9.7200000000000006</v>
      </c>
      <c r="J24" s="9" t="s">
        <v>7</v>
      </c>
    </row>
    <row r="25" spans="1:10" ht="20.100000000000001" customHeight="1" x14ac:dyDescent="0.2">
      <c r="A25" s="5" t="str">
        <f>HYPERLINK("#'5.1.1.3-4 Inorganic fert CO2'!A1", "5.1.1.3-4 Inorganic fert CO2")</f>
        <v>5.1.1.3-4 Inorganic fert CO2</v>
      </c>
      <c r="D25" s="87" t="s">
        <v>4</v>
      </c>
      <c r="E25" s="88"/>
      <c r="F25" s="88"/>
      <c r="G25" s="88"/>
      <c r="H25" s="87">
        <f ca="1">SUM(H9:H24)</f>
        <v>1927.514748592466</v>
      </c>
      <c r="I25" s="87">
        <f ca="1">SUM(I9:I24)</f>
        <v>1397.0400732718053</v>
      </c>
      <c r="J25" s="97" t="s">
        <v>7</v>
      </c>
    </row>
    <row r="26" spans="1:10" ht="20.100000000000001" customHeight="1" x14ac:dyDescent="0.2">
      <c r="A26" s="5" t="str">
        <f>HYPERLINK("#'5.2.1.1-2 Organic Fert N2O'!A1", "5.2.1.1-2 Organic fert N2O")</f>
        <v>5.2.1.1-2 Organic fert N2O</v>
      </c>
    </row>
    <row r="27" spans="1:10" ht="20.100000000000001" customHeight="1" x14ac:dyDescent="0.2">
      <c r="A27" s="5" t="str">
        <f>HYPERLINK("#'5.3.1.1-2 Lime CO2'!A1", "5.3.1.1-2 Lime CO2")</f>
        <v>5.3.1.1-2 Lime CO2</v>
      </c>
    </row>
    <row r="28" spans="1:10" ht="20.100000000000001" customHeight="1" x14ac:dyDescent="0.2">
      <c r="A28" s="5" t="str">
        <f>HYPERLINK("#'5.4.1.1-4 Atmos deposition'!A1", "5.4.1.1-4 Atmos. deposition")</f>
        <v>5.4.1.1-4 Atmos. deposition</v>
      </c>
      <c r="D28" s="79" t="s">
        <v>256</v>
      </c>
    </row>
    <row r="29" spans="1:10" ht="20.100000000000001" customHeight="1" x14ac:dyDescent="0.2">
      <c r="A29" s="5" t="str">
        <f>HYPERLINK("#'5.5.1.1-2 Leaching and runoff'!A1", "5.5.1.1-2 Leaching &amp; runoff")</f>
        <v>5.5.1.1-2 Leaching &amp; runoff</v>
      </c>
    </row>
    <row r="30" spans="1:10" ht="20.100000000000001" customHeight="1" x14ac:dyDescent="0.2">
      <c r="A30" s="5" t="str">
        <f>HYPERLINK("#'6.1.1.1-2 Crop residue N2O'!A1", "6.1.1.1-2 Crop residue N2O")</f>
        <v>6.1.1.1-2 Crop residue N2O</v>
      </c>
      <c r="D30" s="11" t="s">
        <v>257</v>
      </c>
      <c r="E30" s="11" t="s">
        <v>8</v>
      </c>
      <c r="F30" s="11" t="s">
        <v>9</v>
      </c>
      <c r="G30" s="11" t="s">
        <v>5</v>
      </c>
      <c r="H30" s="11" t="s">
        <v>10</v>
      </c>
      <c r="I30" s="11" t="s">
        <v>11</v>
      </c>
      <c r="J30" s="11"/>
    </row>
    <row r="31" spans="1:10" ht="20.100000000000001" customHeight="1" x14ac:dyDescent="0.2">
      <c r="A31" s="5" t="str">
        <f>HYPERLINK("#'6.3.1.1-2 Leach runoff crop'!A1", "6.3.1.1-2 Leach &amp; runoff (crop)")</f>
        <v>6.3.1.1-2 Leach &amp; runoff (crop)</v>
      </c>
      <c r="D31" s="1" t="str" cm="1">
        <f t="array" ref="D31">"14.1.1-2 Purchased electricity " &amp; IF(X_Cell_Electricity_CalculationMethod="Location-based (simpler)", "(Location-based)", "(Market-based)")</f>
        <v>14.1.1-2 Purchased electricity (Location-based)</v>
      </c>
      <c r="E31" s="1" cm="1">
        <f t="array" ref="E31">IF(X_Cell_Electricity_CalculationMethod="Location-based (simpler)", VEERG_14_1_1__1_LocationBasedScopeElectricityEmissions_Result_Method1, VEERG_14_1_2__1_MarketBasedScopeElectricityEmissionsVariation_Result_Method1)</f>
        <v>16.8</v>
      </c>
      <c r="F31" s="1">
        <f>E31</f>
        <v>16.8</v>
      </c>
      <c r="G31" s="9" t="s">
        <v>7</v>
      </c>
      <c r="H31" s="1">
        <f>E31</f>
        <v>16.8</v>
      </c>
      <c r="I31" s="1">
        <f>F31</f>
        <v>16.8</v>
      </c>
      <c r="J31" s="9" t="s">
        <v>7</v>
      </c>
    </row>
    <row r="32" spans="1:10" ht="20.100000000000001" customHeight="1" x14ac:dyDescent="0.2">
      <c r="A32" s="5" t="str">
        <f>HYPERLINK("#'8.1.1.1-2 Transport fuel'!A1", "8.1.1.1-2 Transport fuel")</f>
        <v>8.1.1.1-2 Transport fuel</v>
      </c>
      <c r="D32" s="87" t="s">
        <v>258</v>
      </c>
      <c r="E32" s="88"/>
      <c r="F32" s="88"/>
      <c r="G32" s="88"/>
      <c r="H32" s="87">
        <f>SUM(H31:H31)</f>
        <v>16.8</v>
      </c>
      <c r="I32" s="87">
        <f>SUM(I31:I31)</f>
        <v>16.8</v>
      </c>
      <c r="J32" s="97" t="s">
        <v>7</v>
      </c>
    </row>
    <row r="33" spans="1:10" ht="20.100000000000001" customHeight="1" x14ac:dyDescent="0.2">
      <c r="A33" s="5" t="str">
        <f>HYPERLINK("#'8.2.1.1-2 Stationary fuel'!A1", "8.2.1.1-2 Stationary fuel")</f>
        <v>8.2.1.1-2 Stationary fuel</v>
      </c>
    </row>
    <row r="34" spans="1:10" ht="20.100000000000001" customHeight="1" x14ac:dyDescent="0.2">
      <c r="A34" s="5" t="str">
        <f>HYPERLINK("#'10.1.1-2 Solid waste treatment'!A1", "10.1.1.1-2 Solid waste")</f>
        <v>10.1.1.1-2 Solid waste</v>
      </c>
    </row>
    <row r="35" spans="1:10" ht="20.100000000000001" customHeight="1" x14ac:dyDescent="0.2">
      <c r="A35" s="5" t="str">
        <f>HYPERLINK("#'14.1.1-2 Purchased electricity'!A1", "14.1.1-2 Purchased electricity")</f>
        <v>14.1.1-2 Purchased electricity</v>
      </c>
      <c r="D35" s="79" t="s">
        <v>259</v>
      </c>
    </row>
    <row r="36" spans="1:10" ht="20.100000000000001" customHeight="1" x14ac:dyDescent="0.2">
      <c r="A36" s="5" t="str">
        <f>HYPERLINK("#'15 Scope 3'!A1", "15 Scope 3")</f>
        <v>15 Scope 3</v>
      </c>
    </row>
    <row r="37" spans="1:10" ht="20.100000000000001" customHeight="1" x14ac:dyDescent="0.2">
      <c r="D37" s="11" t="s">
        <v>260</v>
      </c>
      <c r="E37" s="11" t="s">
        <v>8</v>
      </c>
      <c r="F37" s="11" t="s">
        <v>9</v>
      </c>
      <c r="G37" s="11" t="s">
        <v>5</v>
      </c>
      <c r="H37" s="11" t="s">
        <v>10</v>
      </c>
      <c r="I37" s="11" t="s">
        <v>11</v>
      </c>
      <c r="J37" s="11"/>
    </row>
    <row r="38" spans="1:10" ht="20.100000000000001" customHeight="1" x14ac:dyDescent="0.2">
      <c r="D38" s="1" t="s">
        <v>261</v>
      </c>
      <c r="E38" s="1" cm="1">
        <f t="array" ref="E38">VEERG_15_4_1_1__2_EmissionsFromPurchasedFertiliserComponentsVariation_Result_Method1</f>
        <v>666.11033520000001</v>
      </c>
      <c r="F38" s="1" cm="1">
        <f t="array" ref="F38">VEERG_15_4_1_1__2_EmissionsFromPurchasedFertiliserComponentsVariation_Result_Method2</f>
        <v>650.23033520000001</v>
      </c>
      <c r="G38" s="9" t="s">
        <v>7</v>
      </c>
      <c r="H38" s="1">
        <f t="shared" ref="H38:H45" si="1">E38</f>
        <v>666.11033520000001</v>
      </c>
      <c r="I38" s="1">
        <f t="shared" ref="I38:I48" si="2">F38</f>
        <v>650.23033520000001</v>
      </c>
      <c r="J38" s="9" t="s">
        <v>7</v>
      </c>
    </row>
    <row r="39" spans="1:10" ht="20.100000000000001" customHeight="1" x14ac:dyDescent="0.2">
      <c r="A39" s="82" t="s">
        <v>1</v>
      </c>
      <c r="D39" s="1" t="s">
        <v>262</v>
      </c>
      <c r="E39" s="1" cm="1">
        <f t="array" ref="E39">VEERG_15_5_1_1__1_EmissionsFromPurchasedAgrichemicals_Result_Method1</f>
        <v>7.5159999999999991</v>
      </c>
      <c r="F39" s="1" cm="1">
        <f t="array" ref="F39">VEERG_15_5_1_1__1_EmissionsFromPurchasedAgrichemicals_Result_Method2</f>
        <v>7.4959999999999996</v>
      </c>
      <c r="G39" s="9" t="s">
        <v>7</v>
      </c>
      <c r="H39" s="1">
        <f t="shared" si="1"/>
        <v>7.5159999999999991</v>
      </c>
      <c r="I39" s="1">
        <f t="shared" si="2"/>
        <v>7.4959999999999996</v>
      </c>
      <c r="J39" s="9" t="s">
        <v>7</v>
      </c>
    </row>
    <row r="40" spans="1:10" ht="20.100000000000001" customHeight="1" x14ac:dyDescent="0.2">
      <c r="A40" s="5" t="str">
        <f>HYPERLINK("#'Constants - Ag Residue'!A1", "Constants - Ag residue")</f>
        <v>Constants - Ag residue</v>
      </c>
      <c r="D40" s="1" t="s">
        <v>263</v>
      </c>
      <c r="E40" s="1" cm="1">
        <f t="array" ref="E40">VEERG_15_6_1_1__1_EmissionsFromPurchasedLime_Result_Method1</f>
        <v>0.16553999999999999</v>
      </c>
      <c r="F40" s="1" cm="1">
        <f t="array" ref="F40">VEERG_15_6_1_1__1_EmissionsFromPurchasedLime_Result_Method2</f>
        <v>0.14399999999999999</v>
      </c>
      <c r="G40" s="9" t="s">
        <v>7</v>
      </c>
      <c r="H40" s="1">
        <f t="shared" si="1"/>
        <v>0.16553999999999999</v>
      </c>
      <c r="I40" s="1">
        <f t="shared" si="2"/>
        <v>0.14399999999999999</v>
      </c>
      <c r="J40" s="9" t="s">
        <v>7</v>
      </c>
    </row>
    <row r="41" spans="1:10" ht="20.100000000000001" customHeight="1" x14ac:dyDescent="0.2">
      <c r="A41" s="5" t="str">
        <f>HYPERLINK("#'Constants - Electricity'!A1", "Constants - Electricity")</f>
        <v>Constants - Electricity</v>
      </c>
      <c r="D41" s="1" t="s">
        <v>264</v>
      </c>
      <c r="E41" s="1" t="str" cm="1">
        <f t="array" ref="E41">VEERG_15_7_1_1__1_EmissionsFromPurchasedServices_Result_Method1</f>
        <v>No data</v>
      </c>
      <c r="F41" s="1" cm="1">
        <f t="array" ref="F41">VEERG_15_7_1_1__1_EmissionsFromPurchasedServices_Result_Method2</f>
        <v>1.1000000000000001</v>
      </c>
      <c r="G41" s="9" t="s">
        <v>7</v>
      </c>
      <c r="H41" s="1" t="str">
        <f t="shared" si="1"/>
        <v>No data</v>
      </c>
      <c r="I41" s="1">
        <f t="shared" si="2"/>
        <v>1.1000000000000001</v>
      </c>
      <c r="J41" s="9" t="s">
        <v>7</v>
      </c>
    </row>
    <row r="42" spans="1:10" ht="20.100000000000001" customHeight="1" x14ac:dyDescent="0.2">
      <c r="A42" s="5" t="str">
        <f>HYPERLINK("#'Constants - Fertiliser'!A1", "Constants - Fertiliser")</f>
        <v>Constants - Fertiliser</v>
      </c>
      <c r="D42" s="1" t="s">
        <v>265</v>
      </c>
      <c r="E42" s="1" cm="1">
        <f t="array" ref="E42">VEERG_15_10_1_1__1_OtherPurchasedGoodsAndServices_CleaningChemicals_Result_Method1</f>
        <v>0.50509999999999999</v>
      </c>
      <c r="F42" s="1" cm="1">
        <f t="array" ref="F42">VEERG_15_10_1_1__1_OtherPurchasedGoodsAndServices_CleaningChemicals_Result_Method2</f>
        <v>0.5</v>
      </c>
      <c r="G42" s="9" t="s">
        <v>7</v>
      </c>
      <c r="H42" s="1">
        <f t="shared" si="1"/>
        <v>0.50509999999999999</v>
      </c>
      <c r="I42" s="1">
        <f t="shared" si="2"/>
        <v>0.5</v>
      </c>
      <c r="J42" s="9" t="s">
        <v>7</v>
      </c>
    </row>
    <row r="43" spans="1:10" ht="20.100000000000001" customHeight="1" x14ac:dyDescent="0.2">
      <c r="A43" s="5" t="str">
        <f>HYPERLINK("#'Constants - Fuel'!A1", "Constants - Fuel")</f>
        <v>Constants - Fuel</v>
      </c>
      <c r="D43" s="1" t="s">
        <v>266</v>
      </c>
      <c r="E43" s="1" t="str" cm="1">
        <f t="array" ref="E43">VEERG_15_10_1_1__1_OtherPurchasedGoodsAndServices_Uncategorised_Result_Method1</f>
        <v>No data</v>
      </c>
      <c r="F43" s="1" cm="1">
        <f t="array" ref="F43">VEERG_15_10_1_1__1_OtherPurchasedGoodsAndServices_Uncategorised_Result_Method2</f>
        <v>4000</v>
      </c>
      <c r="G43" s="9" t="s">
        <v>7</v>
      </c>
      <c r="H43" s="1" t="str">
        <f t="shared" si="1"/>
        <v>No data</v>
      </c>
      <c r="I43" s="1">
        <f t="shared" si="2"/>
        <v>4000</v>
      </c>
      <c r="J43" s="9" t="s">
        <v>7</v>
      </c>
    </row>
    <row r="44" spans="1:10" ht="20.100000000000001" customHeight="1" x14ac:dyDescent="0.2">
      <c r="A44" s="5" t="str">
        <f>HYPERLINK("#'Constants - Scope 3'!A1", "Constants - Scope 3")</f>
        <v>Constants - Scope 3</v>
      </c>
      <c r="D44" s="1" t="s">
        <v>267</v>
      </c>
      <c r="E44" s="1" cm="1">
        <f t="array" ref="E44">VEERG_15_11_1_1__1_TotalUpstreamEmissionsFromFuel_Result</f>
        <v>26.794</v>
      </c>
      <c r="F44" s="1">
        <f>E44</f>
        <v>26.794</v>
      </c>
      <c r="G44" s="9" t="s">
        <v>7</v>
      </c>
      <c r="H44" s="1">
        <f t="shared" si="1"/>
        <v>26.794</v>
      </c>
      <c r="I44" s="1">
        <f t="shared" si="2"/>
        <v>26.794</v>
      </c>
      <c r="J44" s="9" t="s">
        <v>7</v>
      </c>
    </row>
    <row r="45" spans="1:10" ht="20.100000000000001" customHeight="1" x14ac:dyDescent="0.2">
      <c r="A45" s="5" t="str">
        <f>HYPERLINK("#'Constants - Solid Waste'!A1", "Constants - Solid Waste")</f>
        <v>Constants - Solid Waste</v>
      </c>
      <c r="D45" s="1" t="str" cm="1">
        <f t="array" ref="D45">"15.12.1.1 Purchased electricity " &amp; IF(X_Cell_Electricity_CalculationMethod="Location-based (simpler)", "(Location-based)", "(Market-based)")</f>
        <v>15.12.1.1 Purchased electricity (Location-based)</v>
      </c>
      <c r="E45" s="1" cm="1">
        <f t="array" ref="E45">IF(X_Cell_Electricity_CalculationMethod="Location-based (simpler)", VEERG_15_12_1_1__1_UpstreamPurchasedElectricityLocationBased_Result, VEERG_15_12_1_1__1_UpstreamPurchasedElectricityMarketBased_Result)</f>
        <v>2.7</v>
      </c>
      <c r="F45" s="1">
        <f>E45</f>
        <v>2.7</v>
      </c>
      <c r="G45" s="9" t="s">
        <v>7</v>
      </c>
      <c r="H45" s="1">
        <f t="shared" si="1"/>
        <v>2.7</v>
      </c>
      <c r="I45" s="1">
        <f t="shared" si="2"/>
        <v>2.7</v>
      </c>
      <c r="J45" s="9" t="s">
        <v>7</v>
      </c>
    </row>
    <row r="46" spans="1:10" ht="20.100000000000001" customHeight="1" x14ac:dyDescent="0.2">
      <c r="A46" s="5" t="str">
        <f>HYPERLINK("#'Constants - Common'!A1", "Constants - Common")</f>
        <v>Constants - Common</v>
      </c>
      <c r="D46" s="1" t="s">
        <v>268</v>
      </c>
      <c r="E46" s="1" t="str" cm="1">
        <f t="array" ref="E46">VEERG_15_14_1_1__1_EmbeddedEmissionsFromUpstreamFreight_Incoming_Result_Method1</f>
        <v>No data</v>
      </c>
      <c r="F46" s="1" cm="1">
        <f t="array" ref="F46">VEERG_15_14_1_1__1_EmbeddedEmissionsFromUpstreamFreight_Incoming_Result_Method2</f>
        <v>5166.2</v>
      </c>
      <c r="G46" s="9" t="s">
        <v>7</v>
      </c>
      <c r="H46" s="1" t="str">
        <f>E46</f>
        <v>No data</v>
      </c>
      <c r="I46" s="1">
        <f t="shared" si="2"/>
        <v>5166.2</v>
      </c>
      <c r="J46" s="9" t="s">
        <v>7</v>
      </c>
    </row>
    <row r="47" spans="1:10" ht="20.100000000000001" customHeight="1" x14ac:dyDescent="0.2">
      <c r="A47" s="5" t="str">
        <f>HYPERLINK("#'Constants - Common Livestock'!A1", "Constants - Common Livestock")</f>
        <v>Constants - Common Livestock</v>
      </c>
      <c r="D47" s="1" t="s">
        <v>269</v>
      </c>
      <c r="E47" s="1" cm="1">
        <f t="array" ref="E47">VEERG_10_1_1_1__1_EmissionsFromWasteManagement_Scope3_Result_Method1</f>
        <v>441.15000000000003</v>
      </c>
      <c r="F47" s="1">
        <f>E47</f>
        <v>441.15000000000003</v>
      </c>
      <c r="G47" s="9" t="s">
        <v>7</v>
      </c>
      <c r="H47" s="1">
        <f t="shared" ref="H47:H48" si="3">E47</f>
        <v>441.15000000000003</v>
      </c>
      <c r="I47" s="1">
        <f t="shared" si="2"/>
        <v>441.15000000000003</v>
      </c>
      <c r="J47" s="9" t="s">
        <v>7</v>
      </c>
    </row>
    <row r="48" spans="1:10" ht="20.100000000000001" customHeight="1" x14ac:dyDescent="0.2">
      <c r="D48" s="1" t="s">
        <v>270</v>
      </c>
      <c r="E48" s="1" t="str" cm="1">
        <f t="array" ref="E48">VEERG_15_14_1_1__1_EmbeddedEmissionsFromUpstreamFreight_Outgoing_Result_Method1</f>
        <v>No data</v>
      </c>
      <c r="F48" s="1" cm="1">
        <f t="array" ref="F48">VEERG_15_14_1_1__1_EmbeddedEmissionsFromUpstreamFreight_Outgoing_Result_Method2</f>
        <v>676</v>
      </c>
      <c r="G48" s="9" t="s">
        <v>7</v>
      </c>
      <c r="H48" s="1" t="str">
        <f t="shared" si="3"/>
        <v>No data</v>
      </c>
      <c r="I48" s="1">
        <f t="shared" si="2"/>
        <v>676</v>
      </c>
      <c r="J48" s="9" t="s">
        <v>7</v>
      </c>
    </row>
    <row r="49" spans="1:10" ht="20.100000000000001" customHeight="1" x14ac:dyDescent="0.2">
      <c r="D49" s="87" t="s">
        <v>271</v>
      </c>
      <c r="E49" s="88"/>
      <c r="F49" s="88"/>
      <c r="G49" s="88"/>
      <c r="H49" s="87">
        <f>SUM(H38:H48)</f>
        <v>1144.9409751999999</v>
      </c>
      <c r="I49" s="87">
        <f>SUM(I38:I48)</f>
        <v>10972.314335199999</v>
      </c>
      <c r="J49" s="97" t="s">
        <v>7</v>
      </c>
    </row>
    <row r="52" spans="1:10" ht="20.100000000000001" customHeight="1" x14ac:dyDescent="0.2">
      <c r="D52" s="79" t="str">
        <f>"Carbon removals from plantings for the activity period " &amp; TEXT(X_Cell_Site_StartDate, "d mmmm yyyy") &amp; " and " &amp; TEXT(X_Cell_Site_EndDate, "d mmmm yyyy")</f>
        <v>Carbon removals from plantings for the activity period 1 January 2025 and 31 December 2025</v>
      </c>
    </row>
    <row r="54" spans="1:10" ht="20.100000000000001" customHeight="1" x14ac:dyDescent="0.2">
      <c r="D54" s="87" t="s">
        <v>272</v>
      </c>
      <c r="E54" s="88">
        <f>SUM(Table_Input_Enterprise_PlantingRemovals[Removal allocated to this enterprise])</f>
        <v>0</v>
      </c>
      <c r="F54" s="97" t="s">
        <v>125</v>
      </c>
    </row>
    <row r="57" spans="1:10" ht="20.100000000000001" customHeight="1" x14ac:dyDescent="0.2">
      <c r="D57" s="79" t="str">
        <f>"Net emissions for the activity period " &amp; TEXT(X_Cell_Site_StartDate, "d mmmm yyyy") &amp; " and " &amp; TEXT(X_Cell_Site_EndDate, "d mmmm yyyy")</f>
        <v>Net emissions for the activity period 1 January 2025 and 31 December 2025</v>
      </c>
    </row>
    <row r="58" spans="1:10" ht="20.100000000000001" customHeight="1" x14ac:dyDescent="0.2">
      <c r="A58" s="81" t="str">
        <f>HYPERLINK("#A1", "▲ Back to top")</f>
        <v>▲ Back to top</v>
      </c>
    </row>
    <row r="59" spans="1:10" ht="20.100000000000001" customHeight="1" x14ac:dyDescent="0.2">
      <c r="D59" s="11"/>
      <c r="E59" s="11" t="s">
        <v>128</v>
      </c>
      <c r="F59" s="11" t="s">
        <v>129</v>
      </c>
      <c r="G59" s="11"/>
    </row>
    <row r="60" spans="1:10" ht="20.100000000000001" customHeight="1" x14ac:dyDescent="0.2">
      <c r="D60" s="96" t="s">
        <v>273</v>
      </c>
      <c r="E60" s="94">
        <f ca="1">Result_Enterprise_Scope1_Method1+Result_Enterprise_Scope2_Method1+Result_Enterprise_Scope3_Method1</f>
        <v>3089.2557237924657</v>
      </c>
      <c r="F60" s="94">
        <f ca="1">Result_Enterprise_Scope1_Method2+Result_Enterprise_Scope2_Method2+Result_Enterprise_Scope3_Method2</f>
        <v>12386.154408471804</v>
      </c>
      <c r="G60" s="95" t="s">
        <v>274</v>
      </c>
    </row>
    <row r="61" spans="1:10" ht="20.100000000000001" customHeight="1" x14ac:dyDescent="0.2">
      <c r="D61" s="96" t="s">
        <v>275</v>
      </c>
      <c r="E61" s="94">
        <f ca="1">Result_Enterprise_Gross_Method1-Result_Enterprise_Removals</f>
        <v>3089.2557237924657</v>
      </c>
      <c r="F61" s="94">
        <f ca="1">Result_Enterprise_Gross_Method2-Result_Enterprise_Removals</f>
        <v>12386.154408471804</v>
      </c>
      <c r="G61" s="95" t="s">
        <v>274</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6"/>
  <sheetViews>
    <sheetView showGridLines="0" zoomScaleNormal="100" workbookViewId="0">
      <pane xSplit="1" topLeftCell="B1" activePane="topRight" state="frozenSplit"/>
      <selection pane="topRight" activeCell="A4" sqref="A4"/>
    </sheetView>
  </sheetViews>
  <sheetFormatPr defaultRowHeight="20.100000000000001" customHeight="1" x14ac:dyDescent="0.2"/>
  <cols>
    <col min="1" max="1" width="36.7109375" customWidth="1"/>
    <col min="2" max="2" width="4.7109375" customWidth="1"/>
    <col min="3" max="3" width="4.7109375" style="1" customWidth="1"/>
    <col min="4" max="4" width="51.7109375" style="1" customWidth="1"/>
    <col min="5" max="13" width="30.7109375" style="1" customWidth="1"/>
    <col min="14" max="14" width="9.140625" style="1"/>
  </cols>
  <sheetData>
    <row r="1" spans="1:14" s="92" customFormat="1" ht="30" customHeight="1" x14ac:dyDescent="0.35">
      <c r="A1" s="10" t="e" vm="1">
        <v>#VALUE!</v>
      </c>
      <c r="C1" s="92" t="s">
        <v>278</v>
      </c>
    </row>
    <row r="2" spans="1:14" s="3" customFormat="1" ht="20.100000000000001" customHeight="1" x14ac:dyDescent="0.2">
      <c r="A2"/>
    </row>
    <row r="3" spans="1:14" ht="20.100000000000001" customHeight="1" x14ac:dyDescent="0.2">
      <c r="A3" s="5" t="str">
        <f>HYPERLINK("#'Home'!A1", "Home")</f>
        <v>Home</v>
      </c>
      <c r="C3" s="93"/>
      <c r="D3" s="93"/>
      <c r="E3" s="93"/>
      <c r="F3" s="93"/>
      <c r="G3" s="93"/>
      <c r="H3" s="93"/>
      <c r="I3" s="93"/>
      <c r="J3" s="93"/>
      <c r="K3" s="93"/>
      <c r="L3" s="93"/>
      <c r="M3" s="93"/>
      <c r="N3" s="93"/>
    </row>
    <row r="4" spans="1:14" ht="20.100000000000001" customHeight="1" x14ac:dyDescent="0.2">
      <c r="A4" s="5" t="str">
        <f>HYPERLINK("#'Results - Activity period'!A1", "Results - Activity period")</f>
        <v>Results - Activity period</v>
      </c>
    </row>
    <row r="5" spans="1:14" ht="20.100000000000001" customHeight="1" x14ac:dyDescent="0.2">
      <c r="A5" s="246" t="str">
        <f>HYPERLINK("#'Results - Product EI'!A1", "Results - Product EI")</f>
        <v>Results - Product EI</v>
      </c>
    </row>
    <row r="8" spans="1:14" ht="20.100000000000001" customHeight="1" x14ac:dyDescent="0.2">
      <c r="A8" s="7" t="s">
        <v>0</v>
      </c>
    </row>
    <row r="9" spans="1:14" ht="20.100000000000001" customHeight="1" x14ac:dyDescent="0.2">
      <c r="A9" s="5" t="str">
        <f>HYPERLINK("#'Input - Enterprise'!A1", "Enterprise")</f>
        <v>Enterprise</v>
      </c>
    </row>
    <row r="10" spans="1:14" ht="20.100000000000001" customHeight="1" x14ac:dyDescent="0.2">
      <c r="A10" s="5" t="str">
        <f>HYPERLINK("#'Input - Site'!A1", "Site")</f>
        <v>Site</v>
      </c>
    </row>
    <row r="11" spans="1:14" ht="20.100000000000001" customHeight="1" x14ac:dyDescent="0.2">
      <c r="A11" s="5" t="str">
        <f>HYPERLINK("#'Input - Crop'!A1", "Crop")</f>
        <v>Crop</v>
      </c>
    </row>
    <row r="12" spans="1:14" ht="20.100000000000001" customHeight="1" x14ac:dyDescent="0.2">
      <c r="A12" s="5" t="str">
        <f>HYPERLINK("#'Input - Fert Prod System'!A1", "Fert Prod System")</f>
        <v>Fert Prod System</v>
      </c>
    </row>
    <row r="13" spans="1:14" ht="20.100000000000001" customHeight="1" x14ac:dyDescent="0.2">
      <c r="A13" s="5" t="str">
        <f>HYPERLINK("#'Input - Fertiliser'!A1", "Fertiliser")</f>
        <v>Fertiliser</v>
      </c>
    </row>
    <row r="14" spans="1:14" ht="20.100000000000001" customHeight="1" x14ac:dyDescent="0.2">
      <c r="A14" s="5" t="str">
        <f>HYPERLINK("#'Input - Fuel'!A1", "Fuel")</f>
        <v>Fuel</v>
      </c>
    </row>
    <row r="15" spans="1:14" ht="20.100000000000001" customHeight="1" x14ac:dyDescent="0.2">
      <c r="A15" s="5" t="str">
        <f>HYPERLINK("#'Input - Electricity'!A1", "Electricity")</f>
        <v>Electricity</v>
      </c>
    </row>
    <row r="16" spans="1:14" ht="20.100000000000001" customHeight="1" x14ac:dyDescent="0.2">
      <c r="A16" s="5" t="str">
        <f>HYPERLINK("#'Input - Common farm inputs'!A1", "Common farm inputs")</f>
        <v>Common farm inputs</v>
      </c>
    </row>
    <row r="17" spans="1:4" ht="20.100000000000001" customHeight="1" x14ac:dyDescent="0.2">
      <c r="A17" s="5" t="str">
        <f>HYPERLINK("#'Input - Crop pasture farm input'!A1", "Crop pasture farm input")</f>
        <v>Crop pasture farm input</v>
      </c>
    </row>
    <row r="18" spans="1:4" ht="20.100000000000001" customHeight="1" x14ac:dyDescent="0.2">
      <c r="A18" s="5" t="str">
        <f>HYPERLINK("#'Input - Freight'!A1", "Freight")</f>
        <v>Freight</v>
      </c>
    </row>
    <row r="19" spans="1:4" ht="20.100000000000001" customHeight="1" x14ac:dyDescent="0.2">
      <c r="A19" s="5" t="str">
        <f>HYPERLINK("#'Input - Solid waste'!A1", "Solid waste")</f>
        <v>Solid waste</v>
      </c>
    </row>
    <row r="20" spans="1:4" ht="20.100000000000001" customHeight="1" x14ac:dyDescent="0.2">
      <c r="A20" s="5" t="str">
        <f>HYPERLINK("#'Input - Data quality'!A1", "Data quality")</f>
        <v>Data quality</v>
      </c>
    </row>
    <row r="23" spans="1:4" ht="20.100000000000001" customHeight="1" x14ac:dyDescent="0.2">
      <c r="A23" s="6" t="s">
        <v>2</v>
      </c>
    </row>
    <row r="24" spans="1:4" ht="20.100000000000001" customHeight="1" x14ac:dyDescent="0.2">
      <c r="A24" s="5" t="str">
        <f>HYPERLINK("#'5.1.1.1-2 Inorganic fert N2O'!A1", "5.1.1.1-2 Inorganic fert N2O")</f>
        <v>5.1.1.1-2 Inorganic fert N2O</v>
      </c>
    </row>
    <row r="25" spans="1:4" ht="20.100000000000001" customHeight="1" x14ac:dyDescent="0.2">
      <c r="A25" s="5" t="str">
        <f>HYPERLINK("#'5.1.1.3-4 Inorganic fert CO2'!A1", "5.1.1.3-4 Inorganic fert CO2")</f>
        <v>5.1.1.3-4 Inorganic fert CO2</v>
      </c>
    </row>
    <row r="26" spans="1:4" ht="20.100000000000001" customHeight="1" x14ac:dyDescent="0.2">
      <c r="A26" s="5" t="str">
        <f>HYPERLINK("#'5.2.1.1-2 Organic Fert N2O'!A1", "5.2.1.1-2 Organic fert N2O")</f>
        <v>5.2.1.1-2 Organic fert N2O</v>
      </c>
    </row>
    <row r="27" spans="1:4" ht="20.100000000000001" customHeight="1" x14ac:dyDescent="0.2">
      <c r="A27" s="5" t="str">
        <f>HYPERLINK("#'5.3.1.1-2 Lime CO2'!A1", "5.3.1.1-2 Lime CO2")</f>
        <v>5.3.1.1-2 Lime CO2</v>
      </c>
    </row>
    <row r="28" spans="1:4" ht="20.100000000000001" customHeight="1" x14ac:dyDescent="0.2">
      <c r="A28" s="5" t="str">
        <f>HYPERLINK("#'5.4.1.1-4 Atmos deposition'!A1", "5.4.1.1-4 Atmos. deposition")</f>
        <v>5.4.1.1-4 Atmos. deposition</v>
      </c>
    </row>
    <row r="29" spans="1:4" ht="20.100000000000001" customHeight="1" x14ac:dyDescent="0.2">
      <c r="A29" s="5" t="str">
        <f>HYPERLINK("#'5.5.1.1-2 Leaching and runoff'!A1", "5.5.1.1-2 Leaching &amp; runoff")</f>
        <v>5.5.1.1-2 Leaching &amp; runoff</v>
      </c>
    </row>
    <row r="30" spans="1:4" ht="20.100000000000001" customHeight="1" x14ac:dyDescent="0.2">
      <c r="A30" s="5" t="str">
        <f>HYPERLINK("#'6.1.1.1-2 Crop residue N2O'!A1", "6.1.1.1-2 Crop residue N2O")</f>
        <v>6.1.1.1-2 Crop residue N2O</v>
      </c>
    </row>
    <row r="31" spans="1:4" ht="20.100000000000001" customHeight="1" x14ac:dyDescent="0.2">
      <c r="A31" s="5" t="str">
        <f>HYPERLINK("#'6.3.1.1-2 Leach runoff crop'!A1", "6.3.1.1-2 Leach &amp; runoff (crop)")</f>
        <v>6.3.1.1-2 Leach &amp; runoff (crop)</v>
      </c>
    </row>
    <row r="32" spans="1:4" ht="20.100000000000001" customHeight="1" x14ac:dyDescent="0.2">
      <c r="A32" s="5" t="str">
        <f>HYPERLINK("#'8.1.1.1-2 Transport fuel'!A1", "8.1.1.1-2 Transport fuel")</f>
        <v>8.1.1.1-2 Transport fuel</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ht="20.100000000000001" customHeight="1" x14ac:dyDescent="0.2">
      <c r="A33" s="5" t="str">
        <f>HYPERLINK("#'8.2.1.1-2 Stationary fuel'!A1", "8.2.1.1-2 Stationary fuel")</f>
        <v>8.2.1.1-2 Stationary fuel</v>
      </c>
    </row>
    <row r="34" spans="1:10" ht="20.100000000000001" customHeight="1" x14ac:dyDescent="0.2">
      <c r="A34" s="5" t="str">
        <f>HYPERLINK("#'10.1.1-2 Solid waste treatment'!A1", "10.1.1.1-2 Solid waste")</f>
        <v>10.1.1.1-2 Solid waste</v>
      </c>
    </row>
    <row r="35" spans="1:10" ht="20.100000000000001" customHeight="1" x14ac:dyDescent="0.2">
      <c r="A35" s="5" t="str">
        <f>HYPERLINK("#'14.1.1-2 Purchased electricity'!A1", "14.1.1-2 Purchased electricity")</f>
        <v>14.1.1-2 Purchased electricity</v>
      </c>
      <c r="D35" s="11"/>
      <c r="E35" s="11" t="s">
        <v>128</v>
      </c>
      <c r="F35" s="11" t="s">
        <v>129</v>
      </c>
      <c r="G35" s="11"/>
    </row>
    <row r="36" spans="1:10" ht="20.100000000000001" customHeight="1" x14ac:dyDescent="0.2">
      <c r="A36" s="5" t="str">
        <f>HYPERLINK("#'15 Scope 3'!A1", "15 Scope 3")</f>
        <v>15 Scope 3</v>
      </c>
      <c r="D36" s="77" t="s">
        <v>276</v>
      </c>
      <c r="E36" s="1">
        <f ca="1">Result_EmissionsForWholeProductionCycle_Gross_Method1</f>
        <v>3089.2557237924657</v>
      </c>
      <c r="F36" s="1">
        <f ca="1">Result_EmissionsForWholeProductionCycle_Gross_Method2</f>
        <v>12386.154408471804</v>
      </c>
      <c r="G36" s="9" t="s">
        <v>7</v>
      </c>
    </row>
    <row r="37" spans="1:10" ht="20.100000000000001" customHeight="1" x14ac:dyDescent="0.2">
      <c r="D37" s="77" t="s">
        <v>277</v>
      </c>
      <c r="E37" s="1">
        <f ca="1">Result_EmissionsForWholeProductionCycle_Net_Method1</f>
        <v>3089.2557237924657</v>
      </c>
      <c r="F37" s="1">
        <f ca="1">Result_EmissionsForWholeProductionCycle_Net_Method2</f>
        <v>12386.154408471804</v>
      </c>
      <c r="G37" s="9" t="s">
        <v>7</v>
      </c>
    </row>
    <row r="39" spans="1:10" ht="20.100000000000001" customHeight="1" x14ac:dyDescent="0.2">
      <c r="A39" s="82" t="s">
        <v>1</v>
      </c>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0" spans="1:10" ht="20.100000000000001" customHeight="1" x14ac:dyDescent="0.2">
      <c r="A40" s="5" t="str">
        <f>HYPERLINK("#'Constants - Ag Residue'!A1", "Constants - Ag residue")</f>
        <v>Constants - Ag residue</v>
      </c>
    </row>
    <row r="41" spans="1:10" ht="20.100000000000001" customHeight="1" x14ac:dyDescent="0.2">
      <c r="A41" s="5" t="str">
        <f>HYPERLINK("#'Constants - Electricity'!A1", "Constants - Electricity")</f>
        <v>Constants - Electricity</v>
      </c>
    </row>
    <row r="42" spans="1:10" ht="20.100000000000001" customHeight="1" x14ac:dyDescent="0.2">
      <c r="A42" s="5" t="str">
        <f>HYPERLINK("#'Constants - Fertiliser'!A1", "Constants - Fertiliser")</f>
        <v>Constants - Fertiliser</v>
      </c>
      <c r="D42" s="1" t="s">
        <v>152</v>
      </c>
    </row>
    <row r="43" spans="1:10" ht="20.100000000000001" customHeight="1" x14ac:dyDescent="0.2">
      <c r="A43" s="5" t="str">
        <f>HYPERLINK("#'Constants - Fuel'!A1", "Constants - Fuel")</f>
        <v>Constants - Fuel</v>
      </c>
      <c r="D43" s="11" t="s">
        <v>130</v>
      </c>
      <c r="E43" s="11" t="s">
        <v>121</v>
      </c>
      <c r="F43" s="11" t="s">
        <v>117</v>
      </c>
      <c r="G43" s="11" t="s">
        <v>149</v>
      </c>
      <c r="H43" s="11" t="s">
        <v>119</v>
      </c>
      <c r="I43" s="11" t="s">
        <v>120</v>
      </c>
      <c r="J43" s="11" t="s">
        <v>118</v>
      </c>
    </row>
    <row r="44" spans="1:10" ht="20.100000000000001" customHeight="1" x14ac:dyDescent="0.2">
      <c r="A44" s="5" t="str">
        <f>HYPERLINK("#'Constants - Scope 3'!A1", "Constants - Scope 3")</f>
        <v>Constants - Scope 3</v>
      </c>
      <c r="D44" s="1" t="s">
        <v>319</v>
      </c>
      <c r="E44" s="1" t="s">
        <v>122</v>
      </c>
      <c r="F44" s="1">
        <f>X_Cell_Enterprise_CottonLintYield*X_Cell_Enterprise_PercentCottonLintSold</f>
        <v>2502.0320000000002</v>
      </c>
      <c r="G44" s="1">
        <f>F44/(F44+F46)</f>
        <v>0.80012996349253862</v>
      </c>
      <c r="H44" s="1">
        <f ca="1">(E36/F44)*G44</f>
        <v>0.9879194468724547</v>
      </c>
      <c r="I44" s="1">
        <f ca="1">(F36/F44)*G44</f>
        <v>3.960993814093301</v>
      </c>
      <c r="J44" s="9" t="s">
        <v>331</v>
      </c>
    </row>
    <row r="45" spans="1:10" ht="20.100000000000001" customHeight="1" x14ac:dyDescent="0.2">
      <c r="A45" s="5" t="str">
        <f>HYPERLINK("#'Constants - Solid Waste'!A1", "Constants - Solid Waste")</f>
        <v>Constants - Solid Waste</v>
      </c>
      <c r="D45" s="103" t="s">
        <v>320</v>
      </c>
      <c r="E45" s="103" t="s">
        <v>122</v>
      </c>
      <c r="F45" s="103">
        <f>F44</f>
        <v>2502.0320000000002</v>
      </c>
      <c r="G45" s="103">
        <f>G44</f>
        <v>0.80012996349253862</v>
      </c>
      <c r="H45" s="103">
        <f ca="1">(E37/F45)*G45</f>
        <v>0.9879194468724547</v>
      </c>
      <c r="I45" s="103">
        <f ca="1">(F37/F45)*G45</f>
        <v>3.960993814093301</v>
      </c>
      <c r="J45" s="104" t="s">
        <v>331</v>
      </c>
    </row>
    <row r="46" spans="1:10" ht="20.100000000000001" customHeight="1" x14ac:dyDescent="0.2">
      <c r="A46" s="5" t="str">
        <f>HYPERLINK("#'Constants - Common'!A1", "Constants - Common")</f>
        <v>Constants - Common</v>
      </c>
      <c r="D46" s="1" t="s">
        <v>321</v>
      </c>
      <c r="E46" s="1" t="s">
        <v>123</v>
      </c>
      <c r="F46" s="1">
        <f>X_Cell_Enterprise_CottonseedYield*X_Cell_Enterprise_PercentCottonseedSold</f>
        <v>625</v>
      </c>
      <c r="G46" s="1">
        <f>F46/(F44+F46)</f>
        <v>0.19987003650746138</v>
      </c>
      <c r="H46" s="1">
        <f ca="1">(E36/F46)*G46</f>
        <v>0.98791944687245459</v>
      </c>
      <c r="I46" s="1">
        <f ca="1">(F36/F46)*G46</f>
        <v>3.960993814093301</v>
      </c>
      <c r="J46" s="9" t="s">
        <v>332</v>
      </c>
    </row>
    <row r="47" spans="1:10" ht="20.100000000000001" customHeight="1" x14ac:dyDescent="0.2">
      <c r="A47" s="5" t="str">
        <f>HYPERLINK("#'Constants - Common Livestock'!A1", "Constants - Common Livestock")</f>
        <v>Constants - Common Livestock</v>
      </c>
      <c r="D47" s="1" t="s">
        <v>322</v>
      </c>
      <c r="E47" s="1" t="s">
        <v>123</v>
      </c>
      <c r="F47" s="1">
        <f>F46</f>
        <v>625</v>
      </c>
      <c r="G47" s="1">
        <f>G46</f>
        <v>0.19987003650746138</v>
      </c>
      <c r="H47" s="98">
        <f ca="1">(E37/F47)*G47</f>
        <v>0.98791944687245459</v>
      </c>
      <c r="I47" s="98">
        <f ca="1">(F37/F47)*G47</f>
        <v>3.960993814093301</v>
      </c>
      <c r="J47" s="9" t="s">
        <v>332</v>
      </c>
    </row>
    <row r="48" spans="1:10" ht="20.100000000000001" customHeight="1" x14ac:dyDescent="0.2">
      <c r="J48" s="9"/>
    </row>
    <row r="50" spans="4:10" ht="20.100000000000001" customHeight="1" x14ac:dyDescent="0.2">
      <c r="D50" s="1" t="s">
        <v>153</v>
      </c>
    </row>
    <row r="51" spans="4:10" ht="20.100000000000001" customHeight="1" x14ac:dyDescent="0.2">
      <c r="D51" s="11" t="s">
        <v>130</v>
      </c>
      <c r="E51" s="11" t="s">
        <v>121</v>
      </c>
      <c r="F51" s="11" t="s">
        <v>117</v>
      </c>
      <c r="G51" s="11" t="s">
        <v>148</v>
      </c>
      <c r="H51" s="11" t="s">
        <v>150</v>
      </c>
      <c r="I51" s="11" t="s">
        <v>151</v>
      </c>
      <c r="J51" s="11" t="s">
        <v>118</v>
      </c>
    </row>
    <row r="52" spans="4:10" ht="20.100000000000001" customHeight="1" x14ac:dyDescent="0.2">
      <c r="D52" s="1" t="s">
        <v>154</v>
      </c>
      <c r="E52" s="1" t="s">
        <v>122</v>
      </c>
      <c r="F52" s="1">
        <f>X_Cell_Enterprise_CottonLintYield*X_Cell_Enterprise_PercentCottonLintSold</f>
        <v>2502.0320000000002</v>
      </c>
      <c r="G52" s="1">
        <f>X_Cell_Enterprise_PercentIncomeFromCottonLint</f>
        <v>0.8</v>
      </c>
      <c r="H52" s="1">
        <f ca="1">E36*G52/F52</f>
        <v>0.98775898111373983</v>
      </c>
      <c r="I52" s="1">
        <f ca="1">F36*G52/F52</f>
        <v>3.9603504378750722</v>
      </c>
      <c r="J52" s="9" t="s">
        <v>331</v>
      </c>
    </row>
    <row r="53" spans="4:10" ht="20.100000000000001" customHeight="1" x14ac:dyDescent="0.2">
      <c r="D53" s="103" t="s">
        <v>155</v>
      </c>
      <c r="E53" s="103" t="s">
        <v>122</v>
      </c>
      <c r="F53" s="103">
        <f>F52</f>
        <v>2502.0320000000002</v>
      </c>
      <c r="G53" s="103">
        <f>G52</f>
        <v>0.8</v>
      </c>
      <c r="H53" s="103">
        <f ca="1">E37*G53/F53</f>
        <v>0.98775898111373983</v>
      </c>
      <c r="I53" s="103">
        <f ca="1">F37*G53/F53</f>
        <v>3.9603504378750722</v>
      </c>
      <c r="J53" s="104" t="s">
        <v>331</v>
      </c>
    </row>
    <row r="54" spans="4:10" ht="20.100000000000001" customHeight="1" x14ac:dyDescent="0.2">
      <c r="D54" s="1" t="s">
        <v>156</v>
      </c>
      <c r="E54" s="1" t="s">
        <v>123</v>
      </c>
      <c r="F54" s="1">
        <f>X_Cell_Enterprise_CottonseedYield*X_Cell_Enterprise_PercentCottonseedSold</f>
        <v>625</v>
      </c>
      <c r="G54" s="1">
        <f>X_Cell_Enterprise_PercentIncomeFromCottonLint</f>
        <v>0.8</v>
      </c>
      <c r="H54" s="1">
        <f ca="1">E36*G54/F54</f>
        <v>3.9542473264543565</v>
      </c>
      <c r="I54" s="1">
        <f ca="1">F36*G54/F54</f>
        <v>15.854277642843909</v>
      </c>
      <c r="J54" s="9" t="s">
        <v>332</v>
      </c>
    </row>
    <row r="55" spans="4:10" ht="20.100000000000001" customHeight="1" x14ac:dyDescent="0.2">
      <c r="D55" s="1" t="s">
        <v>157</v>
      </c>
      <c r="E55" s="1" t="s">
        <v>123</v>
      </c>
      <c r="F55" s="1">
        <f>F54</f>
        <v>625</v>
      </c>
      <c r="G55" s="1">
        <f>G54</f>
        <v>0.8</v>
      </c>
      <c r="H55" s="1">
        <f ca="1">E37*G55/F55</f>
        <v>3.9542473264543565</v>
      </c>
      <c r="I55" s="1">
        <f ca="1">F37*G55/F55</f>
        <v>15.854277642843909</v>
      </c>
      <c r="J55" s="9" t="s">
        <v>332</v>
      </c>
    </row>
    <row r="56" spans="4:10" ht="20.100000000000001" customHeight="1" x14ac:dyDescent="0.2">
      <c r="J56"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3"/>
  <sheetViews>
    <sheetView showGridLines="0" zoomScaleNormal="100" workbookViewId="0">
      <pane xSplit="1" topLeftCell="B1" activePane="topRight" state="frozenSplit"/>
      <selection pane="topRight" activeCell="A46" sqref="A46"/>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8" t="s">
        <v>145</v>
      </c>
      <c r="D1" s="22"/>
      <c r="E1" s="22"/>
      <c r="F1" s="22"/>
      <c r="G1" s="22"/>
      <c r="H1" s="22"/>
      <c r="I1" s="22"/>
      <c r="J1" s="22"/>
    </row>
    <row r="2" spans="1:10" ht="20.100000000000001" customHeight="1" x14ac:dyDescent="0.2">
      <c r="C2" s="3"/>
      <c r="D2" s="3"/>
      <c r="E2" s="3"/>
      <c r="F2" s="3"/>
      <c r="G2" s="3"/>
      <c r="H2" s="3"/>
      <c r="I2" s="3"/>
      <c r="J2" s="3"/>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c r="D5" s="2" t="s">
        <v>87</v>
      </c>
      <c r="E5" s="25"/>
      <c r="F5" s="25"/>
      <c r="G5" s="25"/>
    </row>
    <row r="6" spans="1:10" ht="20.100000000000001" customHeight="1" x14ac:dyDescent="0.2">
      <c r="D6" s="32"/>
      <c r="E6" s="25"/>
      <c r="F6" s="25"/>
      <c r="G6" s="25"/>
    </row>
    <row r="7" spans="1:10" ht="20.100000000000001" customHeight="1" x14ac:dyDescent="0.2">
      <c r="D7" s="1" t="s">
        <v>88</v>
      </c>
      <c r="E7" s="34" t="s">
        <v>89</v>
      </c>
      <c r="F7" s="16"/>
      <c r="G7" s="25"/>
    </row>
    <row r="8" spans="1:10" ht="20.100000000000001" customHeight="1" x14ac:dyDescent="0.2">
      <c r="A8" s="7" t="s">
        <v>0</v>
      </c>
      <c r="D8" s="12" t="s">
        <v>90</v>
      </c>
      <c r="E8" s="34" t="s">
        <v>91</v>
      </c>
      <c r="F8" s="25"/>
      <c r="G8" s="25"/>
    </row>
    <row r="9" spans="1:10" ht="20.100000000000001" customHeight="1" x14ac:dyDescent="0.2">
      <c r="A9" s="108" t="str">
        <f>HYPERLINK("#'Input - Enterprise'!A1", "Enterprise")</f>
        <v>Enterprise</v>
      </c>
      <c r="D9" s="25"/>
      <c r="E9" s="25"/>
      <c r="F9" s="25"/>
      <c r="G9" s="25"/>
    </row>
    <row r="10" spans="1:10" ht="20.100000000000001" customHeight="1" x14ac:dyDescent="0.2">
      <c r="A10" s="5" t="str">
        <f>HYPERLINK("#'Input - Site'!A1", "Site")</f>
        <v>Site</v>
      </c>
      <c r="D10" s="36" t="s">
        <v>92</v>
      </c>
      <c r="E10" s="37"/>
      <c r="F10" s="38"/>
      <c r="G10" s="39"/>
    </row>
    <row r="11" spans="1:10" ht="20.100000000000001" customHeight="1" x14ac:dyDescent="0.2">
      <c r="A11" s="5" t="str">
        <f>HYPERLINK("#'Input - Crop'!A1", "Crop")</f>
        <v>Crop</v>
      </c>
      <c r="D11" s="25"/>
      <c r="E11" s="25"/>
      <c r="F11" s="25"/>
      <c r="G11" s="25"/>
    </row>
    <row r="12" spans="1:10" ht="20.100000000000001" customHeight="1" x14ac:dyDescent="0.2">
      <c r="A12" s="5" t="str">
        <f>HYPERLINK("#'Input - Fert Prod System'!A1", "Fert Prod System")</f>
        <v>Fert Prod System</v>
      </c>
      <c r="D12" s="12" t="s">
        <v>16</v>
      </c>
      <c r="E12" s="14">
        <v>45658</v>
      </c>
      <c r="F12" s="16" t="s">
        <v>93</v>
      </c>
      <c r="G12" s="25"/>
    </row>
    <row r="13" spans="1:10" ht="20.100000000000001" customHeight="1" x14ac:dyDescent="0.2">
      <c r="A13" s="5" t="str">
        <f>HYPERLINK("#'Input - Fertiliser'!A1", "Fertiliser")</f>
        <v>Fertiliser</v>
      </c>
      <c r="D13" s="12" t="s">
        <v>17</v>
      </c>
      <c r="E13" s="41">
        <f>DATE(YEAR(E12)+1,MONTH(E12),DAY(E12))-1</f>
        <v>46022</v>
      </c>
      <c r="F13" s="16" t="s">
        <v>94</v>
      </c>
      <c r="G13" s="25"/>
    </row>
    <row r="14" spans="1:10" ht="20.100000000000001" customHeight="1" x14ac:dyDescent="0.2">
      <c r="A14" s="5" t="str">
        <f>HYPERLINK("#'Input - Fuel'!A1", "Fuel")</f>
        <v>Fuel</v>
      </c>
      <c r="F14" s="25"/>
      <c r="G14" s="25"/>
    </row>
    <row r="15" spans="1:10" ht="20.100000000000001" customHeight="1" x14ac:dyDescent="0.2">
      <c r="A15" s="5" t="str">
        <f>HYPERLINK("#'Input - Electricity'!A1", "Electricity")</f>
        <v>Electricity</v>
      </c>
    </row>
    <row r="16" spans="1:10" ht="20.100000000000001" customHeight="1" x14ac:dyDescent="0.2">
      <c r="A16" s="5" t="str">
        <f>HYPERLINK("#'Input - Common farm inputs'!A1", "Common farm inputs")</f>
        <v>Common farm inputs</v>
      </c>
      <c r="D16" s="2" t="s">
        <v>18</v>
      </c>
    </row>
    <row r="17" spans="1:6" ht="20.100000000000001" customHeight="1" x14ac:dyDescent="0.2">
      <c r="A17" s="5" t="str">
        <f>HYPERLINK("#'Input - Crop pasture farm input'!A1", "Crop pasture farm input")</f>
        <v>Crop pasture farm input</v>
      </c>
    </row>
    <row r="18" spans="1:6" ht="20.100000000000001" customHeight="1" x14ac:dyDescent="0.2">
      <c r="A18" s="5" t="str">
        <f>HYPERLINK("#'Input - Freight'!A1", "Freight")</f>
        <v>Freight</v>
      </c>
      <c r="D18" s="1" t="s">
        <v>13</v>
      </c>
      <c r="E18" s="14">
        <v>45962</v>
      </c>
      <c r="F18" s="16" t="s">
        <v>93</v>
      </c>
    </row>
    <row r="19" spans="1:6" ht="20.100000000000001" customHeight="1" x14ac:dyDescent="0.2">
      <c r="A19" s="5" t="str">
        <f>HYPERLINK("#'Input - Solid waste'!A1", "Solid waste")</f>
        <v>Solid waste</v>
      </c>
      <c r="D19" s="1" t="s">
        <v>14</v>
      </c>
      <c r="E19" s="14">
        <v>46112</v>
      </c>
      <c r="F19" s="16" t="s">
        <v>93</v>
      </c>
    </row>
    <row r="20" spans="1:6" ht="20.100000000000001" customHeight="1" x14ac:dyDescent="0.2">
      <c r="A20" s="5" t="str">
        <f>HYPERLINK("#'Input - Data quality'!A1", "Data quality")</f>
        <v>Data quality</v>
      </c>
      <c r="D20" s="1" t="s">
        <v>15</v>
      </c>
      <c r="E20" s="15">
        <f>DATEDIF(E18,E19+1,"m")</f>
        <v>5</v>
      </c>
      <c r="F20" s="16" t="s">
        <v>116</v>
      </c>
    </row>
    <row r="22" spans="1:6" ht="20.100000000000001" customHeight="1" x14ac:dyDescent="0.2">
      <c r="D22" s="1" t="s">
        <v>323</v>
      </c>
      <c r="E22" s="78">
        <f>X_Cell_Crop_LintYieldTotal</f>
        <v>2502.0320000000002</v>
      </c>
      <c r="F22" s="16" t="s">
        <v>19</v>
      </c>
    </row>
    <row r="23" spans="1:6" ht="20.100000000000001" customHeight="1" x14ac:dyDescent="0.2">
      <c r="A23" s="6" t="s">
        <v>2</v>
      </c>
      <c r="D23" s="1" t="s">
        <v>324</v>
      </c>
      <c r="E23" s="18">
        <v>1</v>
      </c>
      <c r="F23" s="16" t="s">
        <v>146</v>
      </c>
    </row>
    <row r="24" spans="1:6" ht="20.100000000000001" customHeight="1" x14ac:dyDescent="0.2">
      <c r="A24" s="5" t="str">
        <f>HYPERLINK("#'5.1.1.1-2 Inorganic fert N2O'!A1", "5.1.1.1-2 Inorganic fert N2O")</f>
        <v>5.1.1.1-2 Inorganic fert N2O</v>
      </c>
      <c r="D24" s="1" t="s">
        <v>325</v>
      </c>
      <c r="E24" s="19">
        <f>100%-E23</f>
        <v>0</v>
      </c>
      <c r="F24" s="16" t="s">
        <v>146</v>
      </c>
    </row>
    <row r="25" spans="1:6" ht="20.100000000000001" customHeight="1" x14ac:dyDescent="0.2">
      <c r="A25" s="5" t="str">
        <f>HYPERLINK("#'5.1.1.3-4 Inorganic fert CO2'!A1", "5.1.1.3-4 Inorganic fert CO2")</f>
        <v>5.1.1.3-4 Inorganic fert CO2</v>
      </c>
    </row>
    <row r="26" spans="1:6" ht="20.100000000000001" customHeight="1" x14ac:dyDescent="0.2">
      <c r="A26" s="5" t="str">
        <f>HYPERLINK("#'5.2.1.1-2 Organic Fert N2O'!A1", "5.2.1.1-2 Organic fert N2O")</f>
        <v>5.2.1.1-2 Organic fert N2O</v>
      </c>
      <c r="D26" s="1" t="s">
        <v>326</v>
      </c>
      <c r="E26" s="78">
        <f>X_Cell_Crop_CottonseedYieldTotal</f>
        <v>625</v>
      </c>
      <c r="F26" s="16" t="s">
        <v>19</v>
      </c>
    </row>
    <row r="27" spans="1:6" ht="20.100000000000001" customHeight="1" x14ac:dyDescent="0.2">
      <c r="A27" s="5" t="str">
        <f>HYPERLINK("#'5.3.1.1-2 Lime CO2'!A1", "5.3.1.1-2 Lime CO2")</f>
        <v>5.3.1.1-2 Lime CO2</v>
      </c>
      <c r="D27" s="1" t="s">
        <v>327</v>
      </c>
      <c r="E27" s="18">
        <v>1</v>
      </c>
      <c r="F27" s="16" t="s">
        <v>146</v>
      </c>
    </row>
    <row r="28" spans="1:6" ht="20.100000000000001" customHeight="1" x14ac:dyDescent="0.2">
      <c r="A28" s="5" t="str">
        <f>HYPERLINK("#'5.4.1.1-4 Atmos deposition'!A1", "5.4.1.1-4 Atmos. deposition")</f>
        <v>5.4.1.1-4 Atmos. deposition</v>
      </c>
      <c r="D28" s="1" t="s">
        <v>147</v>
      </c>
      <c r="E28" s="19">
        <f>100%-E27</f>
        <v>0</v>
      </c>
      <c r="F28" s="16" t="s">
        <v>146</v>
      </c>
    </row>
    <row r="29" spans="1:6" ht="20.100000000000001" customHeight="1" x14ac:dyDescent="0.2">
      <c r="A29" s="5" t="str">
        <f>HYPERLINK("#'5.5.1.1-2 Leaching and runoff'!A1", "5.5.1.1-2 Leaching &amp; runoff")</f>
        <v>5.5.1.1-2 Leaching &amp; runoff</v>
      </c>
    </row>
    <row r="30" spans="1:6" ht="20.100000000000001" customHeight="1" x14ac:dyDescent="0.2">
      <c r="A30" s="5" t="str">
        <f>HYPERLINK("#'6.1.1.1-2 Crop residue N2O'!A1", "6.1.1.1-2 Crop residue N2O")</f>
        <v>6.1.1.1-2 Crop residue N2O</v>
      </c>
      <c r="D30" s="1" t="s">
        <v>330</v>
      </c>
      <c r="E30" s="78">
        <f>X_Cell_Crop_TotalUnprocessedCottonYield</f>
        <v>3127.0320000000002</v>
      </c>
      <c r="F30" s="16" t="s">
        <v>19</v>
      </c>
    </row>
    <row r="31" spans="1:6" ht="20.100000000000001" customHeight="1" x14ac:dyDescent="0.2">
      <c r="A31" s="5" t="str">
        <f>HYPERLINK("#'6.3.1.1-2 Leach runoff crop'!A1", "6.3.1.1-2 Leach &amp; runoff (crop)")</f>
        <v>6.3.1.1-2 Leach &amp; runoff (crop)</v>
      </c>
    </row>
    <row r="32" spans="1:6" ht="20.100000000000001" customHeight="1" x14ac:dyDescent="0.2">
      <c r="A32" s="5" t="str">
        <f>HYPERLINK("#'8.1.1.1-2 Transport fuel'!A1", "8.1.1.1-2 Transport fuel")</f>
        <v>8.1.1.1-2 Transport fuel</v>
      </c>
      <c r="D32" s="1" t="s">
        <v>328</v>
      </c>
      <c r="E32" s="18">
        <v>0.8</v>
      </c>
      <c r="F32" s="16" t="s">
        <v>146</v>
      </c>
    </row>
    <row r="33" spans="1:7" ht="20.100000000000001" customHeight="1" x14ac:dyDescent="0.2">
      <c r="A33" s="5" t="str">
        <f>HYPERLINK("#'8.2.1.1-2 Stationary fuel'!A1", "8.2.1.1-2 Stationary fuel")</f>
        <v>8.2.1.1-2 Stationary fuel</v>
      </c>
      <c r="D33" s="1" t="s">
        <v>329</v>
      </c>
      <c r="E33" s="18">
        <v>0.2</v>
      </c>
      <c r="F33" s="16" t="s">
        <v>146</v>
      </c>
    </row>
    <row r="34" spans="1:7" ht="20.100000000000001" customHeight="1" x14ac:dyDescent="0.2">
      <c r="A34" s="5" t="str">
        <f>HYPERLINK("#'10.1.1-2 Solid waste treatment'!A1", "10.1.1.1-2 Solid waste")</f>
        <v>10.1.1.1-2 Solid waste</v>
      </c>
    </row>
    <row r="35" spans="1:7" ht="20.100000000000001" customHeight="1" x14ac:dyDescent="0.2">
      <c r="A35" s="5" t="str">
        <f>HYPERLINK("#'14.1.1-2 Purchased electricity'!A1", "14.1.1-2 Purchased electricity")</f>
        <v>14.1.1-2 Purchased electricity</v>
      </c>
    </row>
    <row r="36" spans="1:7" ht="20.100000000000001" customHeight="1" x14ac:dyDescent="0.2">
      <c r="A36" s="5" t="str">
        <f>HYPERLINK("#'15 Scope 3'!A1", "15 Scope 3")</f>
        <v>15 Scope 3</v>
      </c>
      <c r="D36" s="2" t="s">
        <v>248</v>
      </c>
    </row>
    <row r="39" spans="1:7" ht="20.100000000000001" customHeight="1" x14ac:dyDescent="0.2">
      <c r="A39" s="82" t="s">
        <v>1</v>
      </c>
      <c r="D39" s="79" t="str">
        <f>"Carbon captured from " &amp; TEXT(X_Cell_Site_StartDate, "d mmmm yyyy") &amp; " to " &amp; TEXT(X_Cell_Site_EndDate, "d, mmmm, yyyy") &amp; " from environmental plantings"</f>
        <v>Carbon captured from 1 January 2025 to 31, December, 2025 from environmental plantings</v>
      </c>
    </row>
    <row r="40" spans="1:7" ht="20.100000000000001" customHeight="1" x14ac:dyDescent="0.2">
      <c r="A40" s="5" t="str">
        <f>HYPERLINK("#'Constants - Ag Residue'!A1", "Constants - Ag residue")</f>
        <v>Constants - Ag residue</v>
      </c>
    </row>
    <row r="41" spans="1:7" ht="20.100000000000001" customHeight="1" x14ac:dyDescent="0.2">
      <c r="A41" s="5" t="str">
        <f>HYPERLINK("#'Constants - Electricity'!A1", "Constants - Electricity")</f>
        <v>Constants - Electricity</v>
      </c>
      <c r="D41" s="20" t="s">
        <v>249</v>
      </c>
      <c r="E41" s="20" t="s">
        <v>250</v>
      </c>
      <c r="F41" s="20" t="s">
        <v>251</v>
      </c>
      <c r="G41" s="80" t="s">
        <v>252</v>
      </c>
    </row>
    <row r="42" spans="1:7" ht="20.100000000000001" customHeight="1" x14ac:dyDescent="0.2">
      <c r="A42" s="5" t="str">
        <f>HYPERLINK("#'Constants - Fertiliser'!A1", "Constants - Fertiliser")</f>
        <v>Constants - Fertiliser</v>
      </c>
      <c r="D42" s="34"/>
      <c r="E42" s="76"/>
      <c r="F42" s="18"/>
      <c r="G42" s="1">
        <f>Table_Input_Enterprise_PlantingRemovals[[#This Row],[Total removed CO2]]*Table_Input_Enterprise_PlantingRemovals[[#This Row],[Percent allocated to this enterprise]]</f>
        <v>0</v>
      </c>
    </row>
    <row r="43" spans="1:7" ht="20.100000000000001" customHeight="1" x14ac:dyDescent="0.2">
      <c r="A43" s="5" t="str">
        <f>HYPERLINK("#'Constants - Fuel'!A1", "Constants - Fuel")</f>
        <v>Constants - Fuel</v>
      </c>
    </row>
    <row r="44" spans="1:7" ht="20.100000000000001" customHeight="1" x14ac:dyDescent="0.2">
      <c r="A44" s="5" t="str">
        <f>HYPERLINK("#'Constants - Scope 3'!A1", "Constants - Scope 3")</f>
        <v>Constants - Scope 3</v>
      </c>
    </row>
    <row r="45" spans="1:7" ht="20.100000000000001" customHeight="1" x14ac:dyDescent="0.2">
      <c r="A45" s="5" t="str">
        <f>HYPERLINK("#'Constants - Solid Waste'!A1", "Constants - Solid Waste")</f>
        <v>Constants - Solid Waste</v>
      </c>
    </row>
    <row r="46" spans="1:7" ht="20.100000000000001" customHeight="1" x14ac:dyDescent="0.2">
      <c r="A46" s="5" t="str">
        <f>HYPERLINK("#'Constants - Common'!A1", "Constants - Common")</f>
        <v>Constants - Common</v>
      </c>
      <c r="D46" s="2" t="s">
        <v>253</v>
      </c>
    </row>
    <row r="47" spans="1:7" ht="20.100000000000001" customHeight="1" x14ac:dyDescent="0.2">
      <c r="A47" s="5" t="str">
        <f>HYPERLINK("#'Constants - Common Livestock'!A1", "Constants - Common Livestock")</f>
        <v>Constants - Common Livestock</v>
      </c>
    </row>
    <row r="48" spans="1:7" ht="20.100000000000001" customHeight="1" x14ac:dyDescent="0.2">
      <c r="D48"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1:7" ht="20.100000000000001" customHeight="1" x14ac:dyDescent="0.2">
      <c r="D50" s="89"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1:7" ht="20.100000000000001" customHeight="1" x14ac:dyDescent="0.2">
      <c r="D51" s="1" t="s">
        <v>254</v>
      </c>
    </row>
    <row r="53" spans="1:7" ht="20.100000000000001" customHeight="1" x14ac:dyDescent="0.2">
      <c r="D53" s="80" t="s">
        <v>115</v>
      </c>
      <c r="E53" s="80" t="s">
        <v>10</v>
      </c>
      <c r="F53" s="80" t="s">
        <v>11</v>
      </c>
    </row>
    <row r="54" spans="1:7" ht="20.100000000000001" customHeight="1" x14ac:dyDescent="0.2">
      <c r="D54" s="1" t="str" cm="1">
        <f t="array" ref="D54:D55">Common_InputFunctions.getOverlappingReportingPeriods(X_Cell_Enterprise_ProductionTimeframeStart,X_Cell_Enterprise_ProductionTimeframeEnd,X_Cell_Site_StartDate)</f>
        <v>01 Jan 2025 to 31 Dec 2025 (This reporting cycle)</v>
      </c>
      <c r="E54" s="76">
        <f ca="1">IF(ISBLANK($D54), 0, IF(ISNUMBER(SEARCH("reporting", $D54)), Result_Enterprise_Gross_Method1, "Enter value"))</f>
        <v>3089.2557237924657</v>
      </c>
      <c r="F54" s="76">
        <f ca="1">IF(ISBLANK($D54), 0, IF(ISNUMBER(SEARCH("reporting", $D54)), Result_Enterprise_Gross_Method2, "Enter value"))</f>
        <v>12386.154408471804</v>
      </c>
      <c r="G54" s="9" t="s">
        <v>7</v>
      </c>
    </row>
    <row r="55" spans="1:7" ht="20.100000000000001" customHeight="1" x14ac:dyDescent="0.2">
      <c r="D55" s="1" t="str">
        <v>01 Jan 2026 to 31 Dec 2026</v>
      </c>
      <c r="E55" s="76" t="str">
        <f>IF(ISBLANK($D55), 0, IF(ISNUMBER(SEARCH("reporting", $D55)), Result_Enterprise_Gross_Method1, "Enter value"))</f>
        <v>Enter value</v>
      </c>
      <c r="F55" s="76" t="str">
        <f>IF(ISBLANK($D55), 0, IF(ISNUMBER(SEARCH("reporting", $D55)), Result_Enterprise_Gross_Method2, "Enter value"))</f>
        <v>Enter value</v>
      </c>
      <c r="G55" s="9" t="s">
        <v>7</v>
      </c>
    </row>
    <row r="56" spans="1:7" ht="20.100000000000001" customHeight="1" x14ac:dyDescent="0.2">
      <c r="E56" s="76">
        <f>IF(ISBLANK($D56), 0, IF(ISNUMBER(SEARCH("reporting", $D56)), Result_Enterprise_Gross_Method1, "Enter value"))</f>
        <v>0</v>
      </c>
      <c r="F56" s="76">
        <f>IF(ISBLANK($D56), 0, IF(ISNUMBER(SEARCH("reporting", $D56)), Result_Enterprise_Gross_Method2, "Enter value"))</f>
        <v>0</v>
      </c>
      <c r="G56" s="9" t="s">
        <v>7</v>
      </c>
    </row>
    <row r="57" spans="1:7" ht="20.100000000000001" customHeight="1" x14ac:dyDescent="0.2">
      <c r="E57" s="76">
        <f>IF(ISBLANK($D57), 0, IF(ISNUMBER(SEARCH("reporting", $D57)), Result_Enterprise_Gross_Method1, "Enter value"))</f>
        <v>0</v>
      </c>
      <c r="F57" s="76">
        <f>IF(ISBLANK($D57), 0, IF(ISNUMBER(SEARCH("reporting", $D57)), Result_Enterprise_Gross_Method2, "Enter value"))</f>
        <v>0</v>
      </c>
      <c r="G57" s="9" t="s">
        <v>7</v>
      </c>
    </row>
    <row r="58" spans="1:7" ht="20.100000000000001" customHeight="1" x14ac:dyDescent="0.2">
      <c r="A58" s="81" t="str">
        <f>HYPERLINK("#A1", "▲ Back to top")</f>
        <v>▲ Back to top</v>
      </c>
      <c r="E58" s="76">
        <f>IF(ISBLANK($D58), 0, IF(ISNUMBER(SEARCH("reporting", $D58)), Result_Enterprise_Gross_Method1, "Enter value"))</f>
        <v>0</v>
      </c>
      <c r="F58" s="76">
        <f>IF(ISBLANK($D58), 0, IF(ISNUMBER(SEARCH("reporting", $D58)), Result_Enterprise_Gross_Method2, "Enter value"))</f>
        <v>0</v>
      </c>
      <c r="G58" s="9" t="s">
        <v>7</v>
      </c>
    </row>
    <row r="59" spans="1:7" ht="20.100000000000001" customHeight="1" x14ac:dyDescent="0.2">
      <c r="D59" s="90" t="s">
        <v>126</v>
      </c>
      <c r="E59" s="85">
        <f ca="1">SUM(E54:E58)</f>
        <v>3089.2557237924657</v>
      </c>
      <c r="F59" s="85">
        <f ca="1">SUM(F54:F58)</f>
        <v>12386.154408471804</v>
      </c>
      <c r="G59" s="91" t="s">
        <v>7</v>
      </c>
    </row>
    <row r="64" spans="1:7" ht="20.100000000000001" customHeight="1" x14ac:dyDescent="0.2">
      <c r="D64"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ht="20.100000000000001" customHeight="1" x14ac:dyDescent="0.2">
      <c r="D66" s="80" t="s">
        <v>115</v>
      </c>
      <c r="E66" s="80" t="s">
        <v>124</v>
      </c>
      <c r="F66" s="80"/>
    </row>
    <row r="67" spans="4:7" ht="20.100000000000001" customHeight="1" x14ac:dyDescent="0.2">
      <c r="D67" s="1" t="str" cm="1">
        <f t="array" ref="D67:D68">Common_InputFunctions.getOverlappingReportingPeriods(X_Cell_Enterprise_ProductionTimeframeStart,X_Cell_Enterprise_ProductionTimeframeEnd,X_Cell_Site_StartDate)</f>
        <v>01 Jan 2025 to 31 Dec 2025 (This reporting cycle)</v>
      </c>
      <c r="E67" s="76">
        <f>IF(ISBLANK($D67), 0, IF(ISNUMBER(SEARCH("reporting", $D67)), SUM(Table_Input_Enterprise_PlantingRemovals[Removal allocated to this enterprise]), "Enter value"))</f>
        <v>0</v>
      </c>
      <c r="F67" s="9" t="s">
        <v>125</v>
      </c>
    </row>
    <row r="68" spans="4:7" ht="20.100000000000001" customHeight="1" x14ac:dyDescent="0.2">
      <c r="D68" s="1" t="str">
        <v>01 Jan 2026 to 31 Dec 2026</v>
      </c>
      <c r="E68" s="76" t="str">
        <f>IF(ISBLANK($D68), 0, IF(ISNUMBER(SEARCH("reporting", $D68)), SUM(Table_Input_Enterprise_PlantingRemovals[Removal allocated to this enterprise]), "Enter value"))</f>
        <v>Enter value</v>
      </c>
      <c r="F68" s="9" t="s">
        <v>125</v>
      </c>
    </row>
    <row r="69" spans="4:7" ht="20.100000000000001" customHeight="1" x14ac:dyDescent="0.2">
      <c r="E69" s="76">
        <f>IF(ISBLANK($D69), 0, IF(ISNUMBER(SEARCH("reporting", $D69)), SUM(Table_Input_Enterprise_PlantingRemovals[Removal allocated to this enterprise]), "Enter value"))</f>
        <v>0</v>
      </c>
      <c r="F69" s="9" t="s">
        <v>125</v>
      </c>
    </row>
    <row r="70" spans="4:7" ht="20.100000000000001" customHeight="1" x14ac:dyDescent="0.2">
      <c r="E70" s="76">
        <f>IF(ISBLANK($D70), 0, IF(ISNUMBER(SEARCH("reporting", $D70)), SUM(Table_Input_Enterprise_PlantingRemovals[Removal allocated to this enterprise]), "Enter value"))</f>
        <v>0</v>
      </c>
      <c r="F70" s="9" t="s">
        <v>125</v>
      </c>
    </row>
    <row r="71" spans="4:7" ht="20.100000000000001" customHeight="1" x14ac:dyDescent="0.2">
      <c r="E71" s="76">
        <f>IF(ISBLANK($D71), 0, IF(ISNUMBER(SEARCH("reporting", $D71)), SUM(Table_Input_Enterprise_PlantingRemovals[Removal allocated to this enterprise]), "Enter value"))</f>
        <v>0</v>
      </c>
      <c r="F71" s="9" t="s">
        <v>125</v>
      </c>
    </row>
    <row r="72" spans="4:7" ht="20.100000000000001" customHeight="1" x14ac:dyDescent="0.2">
      <c r="D72" s="90" t="s">
        <v>127</v>
      </c>
      <c r="E72" s="85">
        <f>SUM(E67:E71)</f>
        <v>0</v>
      </c>
      <c r="F72" s="91" t="s">
        <v>125</v>
      </c>
    </row>
    <row r="75" spans="4:7" ht="20.100000000000001" customHeight="1" x14ac:dyDescent="0.2">
      <c r="D75" s="79"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ht="20.100000000000001" customHeight="1" x14ac:dyDescent="0.2">
      <c r="D77" s="80" t="s">
        <v>115</v>
      </c>
      <c r="E77" s="80" t="s">
        <v>10</v>
      </c>
      <c r="F77" s="80" t="s">
        <v>11</v>
      </c>
    </row>
    <row r="78" spans="4:7" ht="20.100000000000001" customHeight="1" x14ac:dyDescent="0.2">
      <c r="D78" s="1" t="str" cm="1">
        <f t="array" ref="D78:D79">Common_InputFunctions.getOverlappingReportingPeriods(X_Cell_Enterprise_ProductionTimeframeStart,X_Cell_Enterprise_ProductionTimeframeEnd,X_Cell_Site_StartDate)</f>
        <v>01 Jan 2025 to 31 Dec 2025 (This reporting cycle)</v>
      </c>
      <c r="E78" s="76">
        <f ca="1">IF(ISBLANK($D78), 0, IF(ISNUMBER(SEARCH("reporting", $D78)), E54-$E$67, "Enter value"))</f>
        <v>3089.2557237924657</v>
      </c>
      <c r="F78" s="76">
        <f ca="1">IF(ISBLANK($D78), 0, IF(ISNUMBER(SEARCH("reporting", $D78)), F54-$E$67, "Enter value"))</f>
        <v>12386.154408471804</v>
      </c>
      <c r="G78" s="9" t="s">
        <v>7</v>
      </c>
    </row>
    <row r="79" spans="4:7" ht="20.100000000000001" customHeight="1" x14ac:dyDescent="0.2">
      <c r="D79" s="1" t="str">
        <v>01 Jan 2026 to 31 Dec 2026</v>
      </c>
      <c r="E79" s="76" t="str">
        <f>IF(ISBLANK($D79), 0, IF(ISNUMBER(SEARCH("reporting", $D79)), E55-$E$68, "Enter value"))</f>
        <v>Enter value</v>
      </c>
      <c r="F79" s="76" t="str">
        <f>IF(ISBLANK($D79), 0, IF(ISNUMBER(SEARCH("reporting", $D79)), F55-$E$68, "Enter value"))</f>
        <v>Enter value</v>
      </c>
      <c r="G79" s="9" t="s">
        <v>7</v>
      </c>
    </row>
    <row r="80" spans="4:7" ht="20.100000000000001" customHeight="1" x14ac:dyDescent="0.2">
      <c r="E80" s="76">
        <f>IF(ISBLANK($D80), 0, IF(ISNUMBER(SEARCH("reporting", $D80)), E56-$E$69, "Enter value"))</f>
        <v>0</v>
      </c>
      <c r="F80" s="76">
        <f>IF(ISBLANK($D80), 0, IF(ISNUMBER(SEARCH("reporting", $D80)), F56-$E$69, "Enter value"))</f>
        <v>0</v>
      </c>
      <c r="G80" s="9" t="s">
        <v>7</v>
      </c>
    </row>
    <row r="81" spans="4:7" ht="20.100000000000001" customHeight="1" x14ac:dyDescent="0.2">
      <c r="E81" s="76">
        <f>IF(ISBLANK($D81), 0, IF(ISNUMBER(SEARCH("reporting", $D81)), E57-$E$70, "Enter value"))</f>
        <v>0</v>
      </c>
      <c r="F81" s="76">
        <f>IF(ISBLANK($D81), 0, IF(ISNUMBER(SEARCH("reporting", $D81)), F57-$E$70, "Enter value"))</f>
        <v>0</v>
      </c>
      <c r="G81" s="9" t="s">
        <v>7</v>
      </c>
    </row>
    <row r="82" spans="4:7" ht="20.100000000000001" customHeight="1" x14ac:dyDescent="0.2">
      <c r="E82" s="76">
        <f>IF(ISBLANK($D82), 0, IF(ISNUMBER(SEARCH("reporting", $D82)), E58-$E$71, "Enter value"))</f>
        <v>0</v>
      </c>
      <c r="F82" s="76">
        <f>IF(ISBLANK($D82), 0, IF(ISNUMBER(SEARCH("reporting", $D82)), F58-$E$71, "Enter value"))</f>
        <v>0</v>
      </c>
      <c r="G82" s="9" t="s">
        <v>7</v>
      </c>
    </row>
    <row r="83" spans="4:7" ht="20.100000000000001" customHeight="1" x14ac:dyDescent="0.2">
      <c r="D83" s="90" t="s">
        <v>126</v>
      </c>
      <c r="E83" s="85">
        <f ca="1">SUM(E78:E82)</f>
        <v>3089.2557237924657</v>
      </c>
      <c r="F83" s="85">
        <f ca="1">SUM(F78:F82)</f>
        <v>12386.154408471804</v>
      </c>
      <c r="G83" s="91"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46" sqref="A46"/>
    </sheetView>
  </sheetViews>
  <sheetFormatPr defaultColWidth="9.140625" defaultRowHeight="20.100000000000001" customHeight="1" x14ac:dyDescent="0.2"/>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86</v>
      </c>
    </row>
    <row r="2" spans="1:24" s="22" customFormat="1" ht="20.100000000000001" customHeight="1" x14ac:dyDescent="0.2">
      <c r="A2"/>
      <c r="C2" s="3"/>
      <c r="D2" s="3"/>
      <c r="E2" s="3"/>
      <c r="F2" s="3"/>
      <c r="G2" s="3"/>
      <c r="H2" s="3"/>
      <c r="I2" s="3"/>
      <c r="J2" s="3"/>
    </row>
    <row r="3" spans="1:24" ht="20.100000000000001" customHeight="1" x14ac:dyDescent="0.2">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
      <c r="A4" s="5" t="str">
        <f>HYPERLINK("#'Results - Activity period'!A1", "Results - Activity period")</f>
        <v>Results - Activity period</v>
      </c>
      <c r="C4" s="30"/>
      <c r="D4" s="30"/>
      <c r="E4" s="30"/>
      <c r="F4" s="30"/>
      <c r="G4" s="30"/>
      <c r="H4" s="30"/>
      <c r="I4" s="30"/>
      <c r="J4" s="30"/>
      <c r="K4" s="30"/>
    </row>
    <row r="5" spans="1:24" ht="20.100000000000001" customHeight="1" x14ac:dyDescent="0.2">
      <c r="A5" s="5" t="str">
        <f>HYPERLINK("#'Results - Product EI'!A1", "Results - Product EI")</f>
        <v>Results - Product EI</v>
      </c>
      <c r="D5" s="2" t="s">
        <v>95</v>
      </c>
      <c r="N5" s="31"/>
    </row>
    <row r="6" spans="1:24" ht="20.100000000000001" customHeight="1" x14ac:dyDescent="0.2">
      <c r="A6"/>
      <c r="N6" s="33"/>
    </row>
    <row r="7" spans="1:24" ht="20.100000000000001" customHeight="1" x14ac:dyDescent="0.2">
      <c r="A7"/>
      <c r="D7" s="43" t="s">
        <v>96</v>
      </c>
      <c r="E7" s="44"/>
      <c r="F7" s="44"/>
      <c r="G7" s="45"/>
    </row>
    <row r="8" spans="1:24" ht="20.100000000000001" customHeight="1" x14ac:dyDescent="0.2">
      <c r="A8" s="7" t="s">
        <v>0</v>
      </c>
      <c r="D8" s="46" t="s">
        <v>97</v>
      </c>
      <c r="E8" s="47"/>
      <c r="F8" s="47"/>
      <c r="G8" s="48"/>
    </row>
    <row r="9" spans="1:24" ht="20.100000000000001" customHeight="1" x14ac:dyDescent="0.2">
      <c r="A9" s="5" t="str">
        <f>HYPERLINK("#'Input - Enterprise'!A1", "Enterprise")</f>
        <v>Enterprise</v>
      </c>
      <c r="D9" s="1"/>
      <c r="E9" s="49"/>
      <c r="F9" s="16"/>
      <c r="N9" s="35"/>
    </row>
    <row r="10" spans="1:24" ht="20.100000000000001" customHeight="1" x14ac:dyDescent="0.2">
      <c r="A10" s="108" t="str">
        <f>HYPERLINK("#'Input - Site'!A1", "Site")</f>
        <v>Site</v>
      </c>
      <c r="D10" s="1" t="s">
        <v>98</v>
      </c>
      <c r="E10" s="13" t="s">
        <v>99</v>
      </c>
      <c r="F10" s="16" t="s">
        <v>100</v>
      </c>
      <c r="N10" s="35"/>
    </row>
    <row r="11" spans="1:24" ht="20.100000000000001" customHeight="1" x14ac:dyDescent="0.2">
      <c r="A11" s="5" t="str">
        <f>HYPERLINK("#'Input - Crop'!A1", "Crop")</f>
        <v>Crop</v>
      </c>
      <c r="D11" s="1" t="s">
        <v>101</v>
      </c>
      <c r="E11" s="13" t="s">
        <v>102</v>
      </c>
      <c r="F11" s="16" t="s">
        <v>100</v>
      </c>
      <c r="G11" s="1"/>
      <c r="N11" s="40"/>
    </row>
    <row r="12" spans="1:24" ht="20.100000000000001" customHeight="1" x14ac:dyDescent="0.2">
      <c r="A12" s="5" t="str">
        <f>HYPERLINK("#'Input - Fert Prod System'!A1", "Fert Prod System")</f>
        <v>Fert Prod System</v>
      </c>
      <c r="D12" s="1" t="s">
        <v>103</v>
      </c>
      <c r="E12" s="13" t="s">
        <v>104</v>
      </c>
      <c r="F12" s="16" t="s">
        <v>100</v>
      </c>
    </row>
    <row r="13" spans="1:24" ht="20.100000000000001" customHeight="1" x14ac:dyDescent="0.2">
      <c r="A13" s="5" t="str">
        <f>HYPERLINK("#'Input - Fertiliser'!A1", "Fertiliser")</f>
        <v>Fertiliser</v>
      </c>
      <c r="D13" s="1" t="s">
        <v>36</v>
      </c>
      <c r="E13" s="34">
        <v>307.7</v>
      </c>
      <c r="F13" s="16" t="s">
        <v>105</v>
      </c>
      <c r="N13" s="42"/>
      <c r="O13" s="42"/>
    </row>
    <row r="14" spans="1:24" ht="20.100000000000001" customHeight="1" x14ac:dyDescent="0.2">
      <c r="A14" s="5" t="str">
        <f>HYPERLINK("#'Input - Fuel'!A1", "Fuel")</f>
        <v>Fuel</v>
      </c>
      <c r="D14" s="1" t="s">
        <v>106</v>
      </c>
      <c r="E14" s="34">
        <v>18</v>
      </c>
      <c r="F14" s="16" t="s">
        <v>107</v>
      </c>
      <c r="N14" s="42"/>
      <c r="O14" s="42"/>
    </row>
    <row r="15" spans="1:24" ht="20.100000000000001" customHeight="1" x14ac:dyDescent="0.2">
      <c r="A15" s="5" t="str">
        <f>HYPERLINK("#'Input - Electricity'!A1", "Electricity")</f>
        <v>Electricity</v>
      </c>
      <c r="D15" s="1" t="s">
        <v>108</v>
      </c>
      <c r="E15" s="34">
        <v>601</v>
      </c>
      <c r="F15" s="16" t="s">
        <v>109</v>
      </c>
      <c r="N15" s="42"/>
      <c r="O15" s="42"/>
    </row>
    <row r="16" spans="1:24" ht="20.100000000000001" customHeight="1" x14ac:dyDescent="0.2">
      <c r="A16" s="5" t="str">
        <f>HYPERLINK("#'Input - Common farm inputs'!A1", "Common farm inputs")</f>
        <v>Common farm inputs</v>
      </c>
      <c r="D16" s="12" t="s">
        <v>110</v>
      </c>
      <c r="E16" s="34">
        <v>1326</v>
      </c>
      <c r="F16" s="16" t="s">
        <v>109</v>
      </c>
      <c r="N16" s="42"/>
      <c r="O16" s="42"/>
    </row>
    <row r="17" spans="1:25" ht="20.100000000000001" customHeight="1" x14ac:dyDescent="0.2">
      <c r="A17" s="5" t="str">
        <f>HYPERLINK("#'Input - Crop pasture farm input'!A1", "Crop pasture farm input")</f>
        <v>Crop pasture farm input</v>
      </c>
      <c r="D17" s="1" t="s">
        <v>111</v>
      </c>
      <c r="E17" s="34">
        <v>7</v>
      </c>
      <c r="F17" s="16" t="s">
        <v>112</v>
      </c>
    </row>
    <row r="18" spans="1:25" ht="20.100000000000001" customHeight="1" x14ac:dyDescent="0.2">
      <c r="A18" s="5" t="str">
        <f>HYPERLINK("#'Input - Freight'!A1", "Freight")</f>
        <v>Freight</v>
      </c>
      <c r="D18" s="12" t="s">
        <v>113</v>
      </c>
      <c r="E18" s="15">
        <f>E15/E16</f>
        <v>0.45324283559577677</v>
      </c>
      <c r="F18" s="16"/>
    </row>
    <row r="19" spans="1:25" ht="20.100000000000001" customHeight="1" x14ac:dyDescent="0.2">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
      <c r="A20" s="5" t="str">
        <f>HYPERLINK("#'Input - Data quality'!A1", "Data quality")</f>
        <v>Data quality</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
      <c r="A21"/>
      <c r="D21" s="1" t="s">
        <v>114</v>
      </c>
      <c r="E21" s="15" t="str">
        <f>Common_InputFunctions.Utility_LookupValueInTable($E$20,Table_SourceData_WetDryZones[Climate zone],Table_SourceData_WetDryZones[Wet or Dry Zone])</f>
        <v>Dry climate zone</v>
      </c>
      <c r="F21" s="1"/>
      <c r="G21" s="49"/>
    </row>
    <row r="22" spans="1:25" ht="20.100000000000001" customHeight="1" x14ac:dyDescent="0.2">
      <c r="A22"/>
      <c r="D22" s="1" t="s">
        <v>68</v>
      </c>
      <c r="E22" s="15"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
      <c r="A23" s="6" t="s">
        <v>2</v>
      </c>
    </row>
    <row r="24" spans="1:25" ht="20.100000000000001" customHeight="1" x14ac:dyDescent="0.2">
      <c r="A24" s="5" t="str">
        <f>HYPERLINK("#'5.1.1.1-2 Inorganic fert N2O'!A1", "5.1.1.1-2 Inorganic fert N2O")</f>
        <v>5.1.1.1-2 Inorganic fert N2O</v>
      </c>
    </row>
    <row r="25" spans="1:25" ht="20.100000000000001" customHeight="1" x14ac:dyDescent="0.2">
      <c r="A25" s="5" t="str">
        <f>HYPERLINK("#'5.1.1.3-4 Inorganic fert CO2'!A1", "5.1.1.3-4 Inorganic fert CO2")</f>
        <v>5.1.1.3-4 Inorganic fert CO2</v>
      </c>
      <c r="N25" s="33"/>
    </row>
    <row r="26" spans="1:25" ht="20.100000000000001" customHeight="1" x14ac:dyDescent="0.2">
      <c r="A26" s="5" t="str">
        <f>HYPERLINK("#'5.2.1.1-2 Organic Fert N2O'!A1", "5.2.1.1-2 Organic fert N2O")</f>
        <v>5.2.1.1-2 Organic fert N2O</v>
      </c>
    </row>
    <row r="27" spans="1:25" ht="20.100000000000001" customHeight="1" x14ac:dyDescent="0.2">
      <c r="A27" s="5" t="str">
        <f>HYPERLINK("#'5.3.1.1-2 Lime CO2'!A1", "5.3.1.1-2 Lime CO2")</f>
        <v>5.3.1.1-2 Lime CO2</v>
      </c>
    </row>
    <row r="28" spans="1:25" ht="20.100000000000001" customHeight="1" x14ac:dyDescent="0.2">
      <c r="A28" s="5" t="str">
        <f>HYPERLINK("#'5.4.1.1-4 Atmos deposition'!A1", "5.4.1.1-4 Atmos. deposition")</f>
        <v>5.4.1.1-4 Atmos. deposition</v>
      </c>
    </row>
    <row r="29" spans="1:25" ht="20.100000000000001" customHeight="1" x14ac:dyDescent="0.2">
      <c r="A29" s="5" t="str">
        <f>HYPERLINK("#'5.5.1.1-2 Leaching and runoff'!A1", "5.5.1.1-2 Leaching &amp; runoff")</f>
        <v>5.5.1.1-2 Leaching &amp; runoff</v>
      </c>
    </row>
    <row r="30" spans="1:25" ht="20.100000000000001" customHeight="1" x14ac:dyDescent="0.2">
      <c r="A30" s="5" t="str">
        <f>HYPERLINK("#'6.1.1.1-2 Crop residue N2O'!A1", "6.1.1.1-2 Crop residue N2O")</f>
        <v>6.1.1.1-2 Crop residue N2O</v>
      </c>
      <c r="L30" s="51"/>
      <c r="M30" s="51"/>
      <c r="N30" s="51"/>
      <c r="O30" s="51"/>
      <c r="P30" s="51"/>
      <c r="Q30" s="51"/>
      <c r="R30" s="51"/>
      <c r="S30" s="51"/>
      <c r="T30" s="51"/>
      <c r="U30" s="51"/>
      <c r="V30" s="51"/>
      <c r="W30" s="51"/>
      <c r="X30" s="51"/>
      <c r="Y30" s="51"/>
    </row>
    <row r="31" spans="1:25" ht="20.100000000000001" customHeight="1" x14ac:dyDescent="0.2">
      <c r="A31" s="5" t="str">
        <f>HYPERLINK("#'6.3.1.1-2 Leach runoff crop'!A1", "6.3.1.1-2 Leach &amp; runoff (crop)")</f>
        <v>6.3.1.1-2 Leach &amp; runoff (crop)</v>
      </c>
      <c r="L31" s="52"/>
      <c r="M31" s="52"/>
      <c r="N31" s="52"/>
      <c r="O31" s="52"/>
      <c r="P31" s="52"/>
      <c r="Q31" s="52"/>
      <c r="R31" s="52"/>
      <c r="S31" s="52"/>
      <c r="T31" s="52"/>
      <c r="U31" s="52"/>
      <c r="V31" s="52"/>
      <c r="W31" s="52"/>
      <c r="X31" s="52"/>
      <c r="Y31" s="52"/>
    </row>
    <row r="32" spans="1:25" ht="20.100000000000001" customHeight="1" x14ac:dyDescent="0.2">
      <c r="A32" s="5" t="str">
        <f>HYPERLINK("#'8.1.1.1-2 Transport fuel'!A1", "8.1.1.1-2 Transport fuel")</f>
        <v>8.1.1.1-2 Transport fuel</v>
      </c>
      <c r="L32" s="52"/>
      <c r="M32" s="52"/>
      <c r="N32" s="52"/>
      <c r="O32" s="52"/>
      <c r="P32" s="52"/>
      <c r="Q32" s="52"/>
      <c r="R32" s="52"/>
      <c r="S32" s="52"/>
      <c r="T32" s="52"/>
      <c r="U32" s="52"/>
      <c r="V32" s="52"/>
      <c r="W32" s="52"/>
      <c r="X32" s="52"/>
      <c r="Y32" s="52"/>
    </row>
    <row r="33" spans="1:25" ht="20.100000000000001" customHeight="1" x14ac:dyDescent="0.2">
      <c r="A33" s="5" t="str">
        <f>HYPERLINK("#'8.2.1.1-2 Stationary fuel'!A1", "8.2.1.1-2 Stationary fuel")</f>
        <v>8.2.1.1-2 Stationary fuel</v>
      </c>
      <c r="L33" s="52"/>
      <c r="M33" s="52"/>
      <c r="N33" s="52"/>
      <c r="O33" s="52"/>
      <c r="P33" s="52"/>
      <c r="Q33" s="52"/>
      <c r="R33" s="52"/>
      <c r="S33" s="52"/>
      <c r="T33" s="52"/>
      <c r="U33" s="52"/>
      <c r="V33" s="52"/>
      <c r="W33" s="52"/>
      <c r="X33" s="52"/>
      <c r="Y33" s="52"/>
    </row>
    <row r="34" spans="1:25" ht="20.100000000000001" customHeight="1" x14ac:dyDescent="0.2">
      <c r="A34" s="5" t="str">
        <f>HYPERLINK("#'10.1.1-2 Solid waste treatment'!A1", "10.1.1.1-2 Solid waste")</f>
        <v>10.1.1.1-2 Solid waste</v>
      </c>
      <c r="J34" s="54"/>
      <c r="K34" s="55"/>
      <c r="L34" s="52"/>
      <c r="M34" s="52"/>
      <c r="N34" s="52"/>
      <c r="O34" s="52"/>
      <c r="P34" s="52"/>
      <c r="Q34" s="52"/>
      <c r="R34" s="52"/>
      <c r="S34" s="52"/>
      <c r="T34" s="52"/>
      <c r="U34" s="52"/>
      <c r="V34" s="52"/>
      <c r="W34" s="52"/>
      <c r="X34" s="52"/>
      <c r="Y34" s="52"/>
    </row>
    <row r="35" spans="1:25" ht="20.100000000000001" customHeight="1" x14ac:dyDescent="0.2">
      <c r="A35" s="5" t="str">
        <f>HYPERLINK("#'14.1.1-2 Purchased electricity'!A1", "14.1.1-2 Purchased electricity")</f>
        <v>14.1.1-2 Purchased electricity</v>
      </c>
      <c r="J35" s="54"/>
      <c r="K35" s="55"/>
      <c r="L35" s="52"/>
      <c r="M35" s="52"/>
      <c r="N35" s="52"/>
      <c r="O35" s="52"/>
      <c r="P35" s="52"/>
      <c r="Q35" s="52"/>
      <c r="R35" s="52"/>
      <c r="S35" s="52"/>
      <c r="T35" s="52"/>
      <c r="U35" s="52"/>
      <c r="V35" s="52"/>
      <c r="W35" s="52"/>
      <c r="X35" s="52"/>
      <c r="Y35" s="52"/>
    </row>
    <row r="36" spans="1:25" ht="20.100000000000001" customHeight="1" x14ac:dyDescent="0.2">
      <c r="A36" s="5" t="str">
        <f>HYPERLINK("#'15 Scope 3'!A1", "15 Scope 3")</f>
        <v>15 Scope 3</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
      <c r="A37"/>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
      <c r="A38"/>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
      <c r="A39" s="82" t="s">
        <v>1</v>
      </c>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
      <c r="A40" s="5" t="str">
        <f>HYPERLINK("#'Constants - Ag Residue'!A1", "Constants - Ag residue")</f>
        <v>Constants - Ag residue</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
      <c r="A41" s="5" t="str">
        <f>HYPERLINK("#'Constants - Electricity'!A1", "Constants - Electricity")</f>
        <v>Constants - Electricity</v>
      </c>
    </row>
    <row r="42" spans="1:25" ht="20.100000000000001" customHeight="1" x14ac:dyDescent="0.2">
      <c r="A42" s="5" t="str">
        <f>HYPERLINK("#'Constants - Fertiliser'!A1", "Constants - Fertiliser")</f>
        <v>Constants - Fertiliser</v>
      </c>
    </row>
    <row r="43" spans="1:25" ht="20.100000000000001" customHeight="1" x14ac:dyDescent="0.2">
      <c r="A43" s="5" t="str">
        <f>HYPERLINK("#'Constants - Fuel'!A1", "Constants - Fuel")</f>
        <v>Constants - Fuel</v>
      </c>
    </row>
    <row r="44" spans="1:25" ht="20.100000000000001" customHeight="1" x14ac:dyDescent="0.2">
      <c r="A44" s="5" t="str">
        <f>HYPERLINK("#'Constants - Scope 3'!A1", "Constants - Scope 3")</f>
        <v>Constants - Scope 3</v>
      </c>
    </row>
    <row r="45" spans="1:25" ht="20.100000000000001" customHeight="1" x14ac:dyDescent="0.2">
      <c r="A45" s="5" t="str">
        <f>HYPERLINK("#'Constants - Solid Waste'!A1", "Constants - Solid Waste")</f>
        <v>Constants - Solid Waste</v>
      </c>
      <c r="D45" s="2"/>
    </row>
    <row r="46" spans="1:25" ht="20.100000000000001" customHeight="1" x14ac:dyDescent="0.2">
      <c r="A46" s="5" t="str">
        <f>HYPERLINK("#'Constants - Common'!A1", "Constants - Common")</f>
        <v>Constants - Common</v>
      </c>
      <c r="D46" s="2"/>
    </row>
    <row r="47" spans="1:25" ht="20.100000000000001" customHeight="1" x14ac:dyDescent="0.2">
      <c r="A47" s="5" t="str">
        <f>HYPERLINK("#'Constants - Common Livestock'!A1", "Constants - Common Livestock")</f>
        <v>Constants - Common Livestock</v>
      </c>
      <c r="D47" s="63"/>
      <c r="E47" s="63"/>
      <c r="F47" s="63"/>
      <c r="G47" s="63"/>
      <c r="H47" s="63"/>
    </row>
    <row r="48" spans="1:25" ht="20.100000000000001" customHeight="1" x14ac:dyDescent="0.2">
      <c r="A48"/>
      <c r="D48" s="64"/>
      <c r="E48" s="64"/>
      <c r="F48" s="65"/>
      <c r="G48" s="65"/>
      <c r="H48" s="64"/>
    </row>
    <row r="49" spans="1:8" ht="20.100000000000001" customHeight="1" x14ac:dyDescent="0.2">
      <c r="A49"/>
      <c r="D49" s="64"/>
      <c r="E49" s="64"/>
      <c r="F49" s="65"/>
      <c r="G49" s="65"/>
      <c r="H49" s="64"/>
    </row>
    <row r="50" spans="1:8" ht="20.100000000000001" customHeight="1" x14ac:dyDescent="0.2">
      <c r="A50"/>
      <c r="D50" s="64"/>
      <c r="E50" s="64"/>
      <c r="F50" s="65"/>
      <c r="G50" s="65"/>
      <c r="H50" s="64"/>
    </row>
    <row r="51" spans="1:8" ht="20.100000000000001" customHeight="1" x14ac:dyDescent="0.2">
      <c r="A51"/>
      <c r="D51" s="66"/>
      <c r="E51" s="67"/>
      <c r="F51" s="67"/>
      <c r="G51" s="67"/>
      <c r="H51" s="68"/>
    </row>
    <row r="52" spans="1:8" ht="20.100000000000001" customHeight="1" x14ac:dyDescent="0.2">
      <c r="A52"/>
    </row>
    <row r="53" spans="1:8" ht="20.100000000000001" customHeight="1" x14ac:dyDescent="0.2">
      <c r="A53"/>
    </row>
    <row r="54" spans="1:8" ht="20.100000000000001" customHeight="1" x14ac:dyDescent="0.2">
      <c r="A54"/>
      <c r="G54" s="69"/>
    </row>
    <row r="55" spans="1:8" ht="20.100000000000001" customHeight="1" x14ac:dyDescent="0.2">
      <c r="A55"/>
      <c r="D55" s="2"/>
    </row>
    <row r="56" spans="1:8" ht="20.100000000000001" customHeight="1" x14ac:dyDescent="0.2">
      <c r="A56"/>
    </row>
    <row r="57" spans="1:8" ht="20.100000000000001" customHeight="1" x14ac:dyDescent="0.2">
      <c r="A57"/>
      <c r="D57" s="70"/>
      <c r="F57" s="71"/>
    </row>
    <row r="58" spans="1:8" ht="20.100000000000001" customHeight="1" x14ac:dyDescent="0.2">
      <c r="A58"/>
      <c r="D58" s="1"/>
      <c r="E58" s="72"/>
    </row>
    <row r="59" spans="1:8" ht="20.100000000000001" customHeight="1" x14ac:dyDescent="0.2">
      <c r="A59"/>
      <c r="D59" s="1"/>
      <c r="E59" s="72"/>
    </row>
    <row r="60" spans="1:8" ht="20.100000000000001" customHeight="1" x14ac:dyDescent="0.2">
      <c r="A60"/>
      <c r="D60" s="1"/>
      <c r="E60" s="73"/>
    </row>
    <row r="61" spans="1:8" ht="20.100000000000001" customHeight="1" x14ac:dyDescent="0.2">
      <c r="A61"/>
      <c r="D61" s="1"/>
    </row>
    <row r="62" spans="1:8" ht="20.100000000000001" customHeight="1" x14ac:dyDescent="0.2">
      <c r="A62"/>
    </row>
    <row r="63" spans="1:8" ht="20.100000000000001" customHeight="1" x14ac:dyDescent="0.2">
      <c r="A63"/>
      <c r="D63" s="70"/>
    </row>
    <row r="64" spans="1:8" ht="20.100000000000001" customHeight="1" x14ac:dyDescent="0.2">
      <c r="A64"/>
      <c r="D64" s="1"/>
      <c r="E64" s="72"/>
    </row>
    <row r="65" spans="1:9" ht="20.100000000000001" customHeight="1" x14ac:dyDescent="0.2">
      <c r="A65"/>
      <c r="D65" s="1"/>
      <c r="E65" s="72"/>
    </row>
    <row r="66" spans="1:9" ht="20.100000000000001" customHeight="1" x14ac:dyDescent="0.2">
      <c r="A66"/>
      <c r="D66" s="1"/>
      <c r="E66" s="73"/>
    </row>
    <row r="67" spans="1:9" ht="20.100000000000001" customHeight="1" x14ac:dyDescent="0.2">
      <c r="A67"/>
    </row>
    <row r="68" spans="1:9" ht="20.100000000000001" customHeight="1" x14ac:dyDescent="0.2">
      <c r="A68"/>
    </row>
    <row r="69" spans="1:9" ht="20.100000000000001" customHeight="1" x14ac:dyDescent="0.2">
      <c r="A69"/>
      <c r="D69" s="74"/>
      <c r="E69" s="74"/>
      <c r="F69" s="74"/>
      <c r="G69" s="74"/>
      <c r="H69" s="74"/>
      <c r="I69" s="74"/>
    </row>
    <row r="70" spans="1:9" ht="20.100000000000001" customHeight="1" x14ac:dyDescent="0.2">
      <c r="A70"/>
      <c r="D70" s="74"/>
      <c r="E70" s="74"/>
      <c r="F70" s="74"/>
      <c r="G70" s="74"/>
      <c r="H70" s="74"/>
      <c r="I70" s="74"/>
    </row>
    <row r="71" spans="1:9" ht="20.100000000000001" customHeight="1" x14ac:dyDescent="0.2">
      <c r="A71"/>
      <c r="D71" s="74"/>
      <c r="E71" s="74"/>
      <c r="F71" s="74"/>
      <c r="G71" s="74"/>
      <c r="H71" s="74"/>
      <c r="I71" s="74"/>
    </row>
    <row r="72" spans="1:9" ht="20.100000000000001" customHeight="1" x14ac:dyDescent="0.2">
      <c r="A72"/>
      <c r="D72" s="74"/>
      <c r="E72" s="74"/>
      <c r="F72" s="74"/>
      <c r="G72" s="74"/>
      <c r="H72" s="74"/>
      <c r="I72" s="74"/>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5"/>
    </row>
    <row r="79" spans="1:9" ht="20.100000000000001" customHeight="1" x14ac:dyDescent="0.2">
      <c r="A79"/>
      <c r="D79" s="75"/>
    </row>
    <row r="80" spans="1:9" ht="20.100000000000001" customHeight="1" x14ac:dyDescent="0.2">
      <c r="A80"/>
      <c r="D80" s="75"/>
    </row>
    <row r="81" spans="1:4" ht="20.100000000000001" customHeight="1" x14ac:dyDescent="0.2">
      <c r="A81"/>
      <c r="D81" s="75"/>
    </row>
    <row r="82" spans="1:4" ht="20.100000000000001" customHeight="1" x14ac:dyDescent="0.2">
      <c r="A82"/>
      <c r="D82" s="75"/>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58B0-3547-450A-B366-699B2B08FF33}">
  <sheetPr>
    <tabColor rgb="FFCC6600"/>
  </sheetPr>
  <dimension ref="A1:K47"/>
  <sheetViews>
    <sheetView zoomScaleNormal="100" workbookViewId="0">
      <pane xSplit="1" topLeftCell="B1" activePane="topRight" state="frozenSplit"/>
      <selection pane="topRight" activeCell="A4" sqref="A4"/>
    </sheetView>
  </sheetViews>
  <sheetFormatPr defaultRowHeight="20.100000000000001" customHeight="1" x14ac:dyDescent="0.2"/>
  <cols>
    <col min="1" max="1" width="36.7109375" customWidth="1"/>
    <col min="2" max="2" width="4.7109375" customWidth="1"/>
    <col min="3" max="3" width="4.7109375" style="1" customWidth="1"/>
    <col min="4" max="4" width="59.5703125" style="1" customWidth="1"/>
    <col min="5" max="10" width="30.7109375" style="1" customWidth="1"/>
    <col min="11" max="11" width="4.7109375" style="1" customWidth="1"/>
    <col min="12" max="12" width="30.7109375" customWidth="1"/>
  </cols>
  <sheetData>
    <row r="1" spans="1:11" s="10" customFormat="1" ht="30" customHeight="1" x14ac:dyDescent="0.35"/>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2" t="s">
        <v>281</v>
      </c>
    </row>
    <row r="7" spans="1:11" ht="20.100000000000001" customHeight="1" x14ac:dyDescent="0.2">
      <c r="D7" s="70" t="s">
        <v>282</v>
      </c>
      <c r="E7" s="70"/>
      <c r="F7" s="70"/>
    </row>
    <row r="8" spans="1:11" ht="20.100000000000001" customHeight="1" x14ac:dyDescent="0.2">
      <c r="A8" s="7" t="s">
        <v>0</v>
      </c>
    </row>
    <row r="9" spans="1:11" ht="20.100000000000001" customHeight="1" x14ac:dyDescent="0.2">
      <c r="A9" s="5" t="str">
        <f>HYPERLINK("#'Input - Enterprise'!A1", "Enterprise")</f>
        <v>Enterprise</v>
      </c>
      <c r="D9" s="1" t="s">
        <v>163</v>
      </c>
      <c r="E9" s="15" t="s">
        <v>291</v>
      </c>
    </row>
    <row r="10" spans="1:11" ht="20.100000000000001" customHeight="1" x14ac:dyDescent="0.2">
      <c r="A10" s="5" t="str">
        <f>HYPERLINK("#'Input - Site'!A1", "Site")</f>
        <v>Site</v>
      </c>
      <c r="D10" s="12" t="s">
        <v>63</v>
      </c>
      <c r="E10" s="13" t="s">
        <v>292</v>
      </c>
      <c r="F10" s="16" t="s">
        <v>293</v>
      </c>
    </row>
    <row r="11" spans="1:11" ht="20.100000000000001" customHeight="1" x14ac:dyDescent="0.2">
      <c r="A11" s="108" t="str">
        <f>HYPERLINK("#'Input - Crop'!A1", "Crop")</f>
        <v>Crop</v>
      </c>
    </row>
    <row r="12" spans="1:11" ht="20.100000000000001" customHeight="1" x14ac:dyDescent="0.2">
      <c r="A12" s="5" t="str">
        <f>HYPERLINK("#'Input - Fert Prod System'!A1", "Fert Prod System")</f>
        <v>Fert Prod System</v>
      </c>
      <c r="D12" s="1" t="s">
        <v>164</v>
      </c>
      <c r="E12" s="99">
        <v>1000</v>
      </c>
      <c r="F12" s="16" t="s">
        <v>311</v>
      </c>
    </row>
    <row r="13" spans="1:11" ht="20.100000000000001" customHeight="1" x14ac:dyDescent="0.2">
      <c r="A13" s="5" t="str">
        <f>HYPERLINK("#'Input - Fertiliser'!A1", "Fertiliser")</f>
        <v>Fertiliser</v>
      </c>
    </row>
    <row r="14" spans="1:11" ht="20.100000000000001" customHeight="1" x14ac:dyDescent="0.2">
      <c r="A14" s="5" t="str">
        <f>HYPERLINK("#'Input - Fuel'!A1", "Fuel")</f>
        <v>Fuel</v>
      </c>
      <c r="D14" s="2" t="s">
        <v>283</v>
      </c>
    </row>
    <row r="15" spans="1:11" ht="20.100000000000001" customHeight="1" x14ac:dyDescent="0.2">
      <c r="A15" s="5" t="str">
        <f>HYPERLINK("#'Input - Electricity'!A1", "Electricity")</f>
        <v>Electricity</v>
      </c>
      <c r="D15" s="1" t="s">
        <v>295</v>
      </c>
      <c r="E15" s="76">
        <v>2392</v>
      </c>
      <c r="F15" s="16" t="s">
        <v>296</v>
      </c>
    </row>
    <row r="16" spans="1:11" ht="20.100000000000001" customHeight="1" x14ac:dyDescent="0.2">
      <c r="A16" s="5" t="str">
        <f>HYPERLINK("#'Input - Common farm inputs'!A1", "Common farm inputs")</f>
        <v>Common farm inputs</v>
      </c>
      <c r="D16" s="1" t="s">
        <v>302</v>
      </c>
      <c r="E16" s="76">
        <v>2500</v>
      </c>
      <c r="F16" s="16" t="s">
        <v>297</v>
      </c>
    </row>
    <row r="17" spans="1:6" ht="20.100000000000001" customHeight="1" x14ac:dyDescent="0.2">
      <c r="A17" s="5" t="str">
        <f>HYPERLINK("#'Input - Crop pasture farm input'!A1", "Crop pasture farm input")</f>
        <v>Crop pasture farm input</v>
      </c>
      <c r="D17" s="1" t="s">
        <v>304</v>
      </c>
      <c r="E17" s="15">
        <f>X_Cell_Crop_TotalRoundModules/X_Cell_Crop_AreaUnderCropping</f>
        <v>2.5</v>
      </c>
      <c r="F17" s="16" t="s">
        <v>303</v>
      </c>
    </row>
    <row r="18" spans="1:6" ht="20.100000000000001" customHeight="1" x14ac:dyDescent="0.2">
      <c r="A18" s="5" t="str">
        <f>HYPERLINK("#'Input - Freight'!A1", "Freight")</f>
        <v>Freight</v>
      </c>
    </row>
    <row r="19" spans="1:6" ht="20.100000000000001" customHeight="1" x14ac:dyDescent="0.2">
      <c r="A19" s="5" t="str">
        <f>HYPERLINK("#'Input - Solid waste'!A1", "Solid waste")</f>
        <v>Solid waste</v>
      </c>
      <c r="D19" s="1" t="s">
        <v>300</v>
      </c>
      <c r="E19" s="76">
        <v>227</v>
      </c>
      <c r="F19" s="16" t="s">
        <v>301</v>
      </c>
    </row>
    <row r="20" spans="1:6" ht="20.100000000000001" customHeight="1" x14ac:dyDescent="0.2">
      <c r="A20" s="5" t="str">
        <f>HYPERLINK("#'Input - Data quality'!A1", "Data quality")</f>
        <v>Data quality</v>
      </c>
      <c r="D20" s="1" t="s">
        <v>294</v>
      </c>
      <c r="E20" s="101">
        <v>0.41839999999999999</v>
      </c>
      <c r="F20" s="16" t="s">
        <v>146</v>
      </c>
    </row>
    <row r="21" spans="1:6" ht="20.100000000000001" customHeight="1" x14ac:dyDescent="0.2">
      <c r="D21" s="1" t="s">
        <v>305</v>
      </c>
      <c r="E21" s="102">
        <f>(X_Cell_Crop_AverageWeightPerRoundModule*X_Cell_Crop_TurnoutRate)/X_Cell_Crop_WeightPerLintBale</f>
        <v>4.4088669603524231</v>
      </c>
      <c r="F21" s="16" t="s">
        <v>299</v>
      </c>
    </row>
    <row r="22" spans="1:6" ht="20.100000000000001" customHeight="1" x14ac:dyDescent="0.2">
      <c r="D22" s="1" t="s">
        <v>312</v>
      </c>
      <c r="E22" s="15">
        <f>(X_Cell_Crop_TotalRoundModules*X_Cell_Crop_LintBalesPerRoundModule)*E19*10^-3</f>
        <v>2502.0320000000002</v>
      </c>
      <c r="F22" s="16" t="s">
        <v>19</v>
      </c>
    </row>
    <row r="23" spans="1:6" ht="20.100000000000001" customHeight="1" x14ac:dyDescent="0.2">
      <c r="A23" s="6" t="s">
        <v>2</v>
      </c>
      <c r="D23" s="1" t="s">
        <v>316</v>
      </c>
      <c r="E23" s="15">
        <f>E22/X_Cell_Crop_AreaUnderCropping</f>
        <v>2.5020320000000003</v>
      </c>
      <c r="F23" s="16" t="s">
        <v>317</v>
      </c>
    </row>
    <row r="24" spans="1:6" ht="20.100000000000001" customHeight="1" x14ac:dyDescent="0.2">
      <c r="A24" s="5" t="str">
        <f>HYPERLINK("#'5.1.1.1-2 Inorganic fert N2O'!A1", "5.1.1.1-2 Inorganic fert N2O")</f>
        <v>5.1.1.1-2 Inorganic fert N2O</v>
      </c>
    </row>
    <row r="25" spans="1:6" ht="20.100000000000001" customHeight="1" x14ac:dyDescent="0.2">
      <c r="A25" s="5" t="str">
        <f>HYPERLINK("#'5.1.1.3-4 Inorganic fert CO2'!A1", "5.1.1.3-4 Inorganic fert CO2")</f>
        <v>5.1.1.3-4 Inorganic fert CO2</v>
      </c>
      <c r="D25" s="1" t="s">
        <v>298</v>
      </c>
      <c r="E25" s="76">
        <v>250</v>
      </c>
      <c r="F25" s="16" t="s">
        <v>296</v>
      </c>
    </row>
    <row r="26" spans="1:6" ht="20.100000000000001" customHeight="1" x14ac:dyDescent="0.2">
      <c r="A26" s="5" t="str">
        <f>HYPERLINK("#'5.2.1.1-2 Organic Fert N2O'!A1", "5.2.1.1-2 Organic fert N2O")</f>
        <v>5.2.1.1-2 Organic fert N2O</v>
      </c>
      <c r="D26" s="1" t="s">
        <v>314</v>
      </c>
      <c r="E26" s="15">
        <f>X_Cell_Crop_CottonSeedAmountPerRoundModule*X_Cell_Crop_TotalRoundModules*10^-3</f>
        <v>625</v>
      </c>
      <c r="F26" s="16" t="s">
        <v>19</v>
      </c>
    </row>
    <row r="27" spans="1:6" ht="20.100000000000001" customHeight="1" x14ac:dyDescent="0.2">
      <c r="A27" s="5" t="str">
        <f>HYPERLINK("#'5.3.1.1-2 Lime CO2'!A1", "5.3.1.1-2 Lime CO2")</f>
        <v>5.3.1.1-2 Lime CO2</v>
      </c>
    </row>
    <row r="28" spans="1:6" ht="20.100000000000001" customHeight="1" x14ac:dyDescent="0.2">
      <c r="A28" s="5" t="str">
        <f>HYPERLINK("#'5.4.1.1-4 Atmos deposition'!A1", "5.4.1.1-4 Atmos. deposition")</f>
        <v>5.4.1.1-4 Atmos. deposition</v>
      </c>
      <c r="D28" s="1" t="s">
        <v>315</v>
      </c>
      <c r="E28" s="15">
        <f>(X_Cell_Crop_AverageWeightPerRoundModule*X_Cell_Crop_TotalRoundModules*10^-3)-(X_Cell_Crop_LintYieldTotal+X_Cell_Crop_CottonseedYieldTotal)</f>
        <v>2852.9679999999998</v>
      </c>
      <c r="F28" s="16" t="s">
        <v>19</v>
      </c>
    </row>
    <row r="29" spans="1:6" ht="20.100000000000001" customHeight="1" x14ac:dyDescent="0.2">
      <c r="A29" s="5" t="str">
        <f>HYPERLINK("#'5.5.1.1-2 Leaching and runoff'!A1", "5.5.1.1-2 Leaching &amp; runoff")</f>
        <v>5.5.1.1-2 Leaching &amp; runoff</v>
      </c>
    </row>
    <row r="30" spans="1:6" ht="20.100000000000001" customHeight="1" x14ac:dyDescent="0.2">
      <c r="A30" s="5" t="str">
        <f>HYPERLINK("#'6.1.1.1-2 Crop residue N2O'!A1", "6.1.1.1-2 Crop residue N2O")</f>
        <v>6.1.1.1-2 Crop residue N2O</v>
      </c>
      <c r="D30" s="1" t="s">
        <v>313</v>
      </c>
      <c r="E30" s="15">
        <f>(X_Cell_Crop_AverageWeightPerRoundModule*X_Cell_Crop_TotalRoundModules*10^-3)-X_Cell_Crop_TrashTotalProduced</f>
        <v>3127.0320000000002</v>
      </c>
      <c r="F30" s="16" t="s">
        <v>19</v>
      </c>
    </row>
    <row r="31" spans="1:6" ht="20.100000000000001" customHeight="1" x14ac:dyDescent="0.2">
      <c r="A31" s="5" t="str">
        <f>HYPERLINK("#'6.3.1.1-2 Leach runoff crop'!A1", "6.3.1.1-2 Leach &amp; runoff (crop)")</f>
        <v>6.3.1.1-2 Leach &amp; runoff (crop)</v>
      </c>
    </row>
    <row r="32" spans="1:6" ht="20.100000000000001" customHeight="1" x14ac:dyDescent="0.2">
      <c r="A32" s="5" t="str">
        <f>HYPERLINK("#'8.1.1.1-2 Transport fuel'!A1", "8.1.1.1-2 Transport fuel")</f>
        <v>8.1.1.1-2 Transport fuel</v>
      </c>
    </row>
    <row r="33" spans="1:6" ht="20.100000000000001" customHeight="1" x14ac:dyDescent="0.2">
      <c r="A33" s="5" t="str">
        <f>HYPERLINK("#'8.2.1.1-2 Stationary fuel'!A1", "8.2.1.1-2 Stationary fuel")</f>
        <v>8.2.1.1-2 Stationary fuel</v>
      </c>
      <c r="D33" s="2" t="s">
        <v>284</v>
      </c>
    </row>
    <row r="34" spans="1:6" ht="20.100000000000001" customHeight="1" x14ac:dyDescent="0.2">
      <c r="A34" s="5" t="str">
        <f>HYPERLINK("#'10.1.1-2 Solid waste treatment'!A1", "10.1.1.1-2 Solid waste")</f>
        <v>10.1.1.1-2 Solid waste</v>
      </c>
      <c r="D34" s="1" t="s">
        <v>306</v>
      </c>
      <c r="E34" s="15">
        <f ca="1">Common_InputFunctions.Utility_LookupValueInTableNumber(X_Cell_Crop_CropType, INDIRECT("Table_SourceData_CropAttributes[Crop type]"),INDIRECT("Table_SourceData_CropAttributes[Residue: Crop ratio]"))</f>
        <v>1.9</v>
      </c>
    </row>
    <row r="35" spans="1:6" ht="20.100000000000001" customHeight="1" x14ac:dyDescent="0.2">
      <c r="A35" s="5" t="str">
        <f>HYPERLINK("#'14.1.1-2 Purchased electricity'!A1", "14.1.1-2 Purchased electricity")</f>
        <v>14.1.1-2 Purchased electricity</v>
      </c>
      <c r="D35" s="1" t="s">
        <v>318</v>
      </c>
      <c r="E35" s="15">
        <f ca="1">X_Cell_Crop_LintYieldTotal*X_Cell_Crop_ResidueToCropRatio</f>
        <v>4753.8608000000004</v>
      </c>
      <c r="F35" s="16" t="s">
        <v>19</v>
      </c>
    </row>
    <row r="36" spans="1:6" ht="20.100000000000001" customHeight="1" x14ac:dyDescent="0.2">
      <c r="A36" s="5" t="str">
        <f>HYPERLINK("#'15 Scope 3'!A1", "15 Scope 3")</f>
        <v>15 Scope 3</v>
      </c>
    </row>
    <row r="37" spans="1:6" ht="20.100000000000001" customHeight="1" x14ac:dyDescent="0.2">
      <c r="D37" s="79" t="s">
        <v>285</v>
      </c>
    </row>
    <row r="38" spans="1:6" ht="20.100000000000001" customHeight="1" x14ac:dyDescent="0.2">
      <c r="D38" s="1" t="s">
        <v>286</v>
      </c>
      <c r="E38" s="18">
        <v>0.1</v>
      </c>
      <c r="F38" s="16" t="s">
        <v>308</v>
      </c>
    </row>
    <row r="39" spans="1:6" ht="20.100000000000001" customHeight="1" x14ac:dyDescent="0.2">
      <c r="A39" s="82" t="s">
        <v>1</v>
      </c>
      <c r="D39" s="1" t="s">
        <v>287</v>
      </c>
      <c r="E39" s="18">
        <v>0.6</v>
      </c>
      <c r="F39" s="16" t="s">
        <v>309</v>
      </c>
    </row>
    <row r="40" spans="1:6" ht="20.100000000000001" customHeight="1" x14ac:dyDescent="0.2">
      <c r="A40" s="5" t="str">
        <f>HYPERLINK("#'Constants - Ag Residue'!A1", "Constants - Ag residue")</f>
        <v>Constants - Ag residue</v>
      </c>
      <c r="D40" s="77" t="s">
        <v>288</v>
      </c>
      <c r="E40" s="100">
        <f ca="1">IFERROR((X_Cell_Crop_TotalResidueBaled*10^3)/X_Cell_Crop_AverageWeightPerBale, 0)</f>
        <v>792310.13333333354</v>
      </c>
      <c r="F40" s="16" t="s">
        <v>310</v>
      </c>
    </row>
    <row r="41" spans="1:6" ht="20.100000000000001" customHeight="1" x14ac:dyDescent="0.2">
      <c r="A41" s="5" t="str">
        <f>HYPERLINK("#'Constants - Electricity'!A1", "Constants - Electricity")</f>
        <v>Constants - Electricity</v>
      </c>
      <c r="D41" s="77" t="s">
        <v>289</v>
      </c>
      <c r="E41" s="15">
        <f ca="1">X_Cell_Crop_ResidueAfterHarvest*X_Cell_Crop_PercentResidueBaled</f>
        <v>475.38608000000005</v>
      </c>
      <c r="F41" s="16" t="s">
        <v>307</v>
      </c>
    </row>
    <row r="42" spans="1:6" ht="20.100000000000001" customHeight="1" x14ac:dyDescent="0.2">
      <c r="A42" s="5" t="str">
        <f>HYPERLINK("#'Constants - Fertiliser'!A1", "Constants - Fertiliser")</f>
        <v>Constants - Fertiliser</v>
      </c>
    </row>
    <row r="43" spans="1:6" ht="20.100000000000001" customHeight="1" x14ac:dyDescent="0.2">
      <c r="A43" s="5" t="str">
        <f>HYPERLINK("#'Constants - Fuel'!A1", "Constants - Fuel")</f>
        <v>Constants - Fuel</v>
      </c>
      <c r="D43" s="1" t="s">
        <v>290</v>
      </c>
      <c r="E43" s="15">
        <f ca="1">E35-X_Cell_Crop_TotalResidueBaled</f>
        <v>4278.4747200000002</v>
      </c>
      <c r="F43" s="16" t="s">
        <v>307</v>
      </c>
    </row>
    <row r="44" spans="1:6" ht="20.100000000000001" customHeight="1" x14ac:dyDescent="0.2">
      <c r="A44" s="5" t="str">
        <f>HYPERLINK("#'Constants - Scope 3'!A1", "Constants - Scope 3")</f>
        <v>Constants - Scope 3</v>
      </c>
    </row>
    <row r="45" spans="1:6" ht="20.100000000000001" customHeight="1" x14ac:dyDescent="0.2">
      <c r="A45" s="5" t="str">
        <f>HYPERLINK("#'Constants - Solid Waste'!A1", "Constants - Solid Waste")</f>
        <v>Constants - Solid Waste</v>
      </c>
    </row>
    <row r="46" spans="1:6" ht="20.100000000000001" customHeight="1" x14ac:dyDescent="0.2">
      <c r="A46" s="5" t="str">
        <f>HYPERLINK("#'Constants - Common'!A1", "Constants - Common")</f>
        <v>Constants - Common</v>
      </c>
    </row>
    <row r="47" spans="1:6" ht="20.100000000000001" customHeight="1" x14ac:dyDescent="0.2">
      <c r="A47" s="5" t="str">
        <f>HYPERLINK("#'Constants - Common Livestock'!A1", "Constants - Common Livestock")</f>
        <v>Constants - Common Livestock</v>
      </c>
    </row>
  </sheetData>
  <conditionalFormatting sqref="F43">
    <cfRule type="cellIs" dxfId="78" priority="1" operator="lessThan">
      <formula>0</formula>
    </cfRule>
  </conditionalFormatting>
  <dataValidations count="1">
    <dataValidation type="list" allowBlank="1" showInputMessage="1" showErrorMessage="1" sqref="E10" xr:uid="{17671CC9-537C-4730-851C-300987B94431}">
      <formula1>INDIRECT("Table_SourceData_Fertiliser_IrrigationMethods[Irrigation method]")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47"/>
  <sheetViews>
    <sheetView showGridLines="0" zoomScaleNormal="100" workbookViewId="0">
      <pane xSplit="1" topLeftCell="B1" activePane="topRight" state="frozenSplit"/>
      <selection pane="topRight" activeCell="A46" sqref="A46"/>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160</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70" t="s">
        <v>165</v>
      </c>
      <c r="E5" s="70"/>
      <c r="F5" s="70"/>
      <c r="G5" s="70"/>
    </row>
    <row r="6" spans="1:11" ht="20.100000000000001" customHeight="1" x14ac:dyDescent="0.2">
      <c r="F6" s="16"/>
    </row>
    <row r="7" spans="1:11" ht="20.100000000000001" customHeight="1" x14ac:dyDescent="0.2">
      <c r="D7" s="1" t="s">
        <v>161</v>
      </c>
      <c r="E7" s="15" t="s">
        <v>162</v>
      </c>
      <c r="F7" s="16"/>
    </row>
    <row r="8" spans="1:11" ht="20.100000000000001" customHeight="1" x14ac:dyDescent="0.2">
      <c r="A8" s="7" t="s">
        <v>0</v>
      </c>
      <c r="D8" s="1" t="s">
        <v>163</v>
      </c>
      <c r="E8" s="15" t="str" cm="1">
        <f t="array" ref="E8">_xlfn.IFS(X_Cell_Crop_CropType="Maize", "Maize", X_Cell_Crop_CropType="Cotton", "Cotton", TRUE, "Grains")</f>
        <v>Cotton</v>
      </c>
      <c r="F8" s="16"/>
    </row>
    <row r="9" spans="1:11" ht="20.100000000000001" customHeight="1" x14ac:dyDescent="0.2">
      <c r="A9" s="5" t="str">
        <f>HYPERLINK("#'Input - Enterprise'!A1", "Enterprise")</f>
        <v>Enterprise</v>
      </c>
      <c r="D9" s="1" t="s">
        <v>63</v>
      </c>
      <c r="E9" s="15" t="str" cm="1">
        <f t="array" ref="E9">X_Cell_Crop_IrrigationMethod</f>
        <v>Sprinkler irrigation</v>
      </c>
    </row>
    <row r="10" spans="1:11" ht="20.100000000000001" customHeight="1" x14ac:dyDescent="0.2">
      <c r="A10" s="5" t="str">
        <f>HYPERLINK("#'Input - Site'!A1", "Site")</f>
        <v>Site</v>
      </c>
      <c r="D10" s="1" t="s">
        <v>164</v>
      </c>
      <c r="E10" s="15" cm="1">
        <f t="array" ref="E10">X_Cell_Crop_AreaUnderCropping</f>
        <v>1000</v>
      </c>
    </row>
    <row r="11" spans="1:11" ht="20.100000000000001" customHeight="1" x14ac:dyDescent="0.2">
      <c r="A11" s="5" t="str">
        <f>HYPERLINK("#'Input - Crop'!A1", "Crop")</f>
        <v>Crop</v>
      </c>
    </row>
    <row r="12" spans="1:11" ht="20.100000000000001" customHeight="1" x14ac:dyDescent="0.2">
      <c r="A12" s="108" t="str">
        <f>HYPERLINK("#'Input - Fert Prod System'!A1", "Fert Prod System")</f>
        <v>Fert Prod System</v>
      </c>
    </row>
    <row r="13" spans="1:11" ht="20.100000000000001" customHeight="1" x14ac:dyDescent="0.2">
      <c r="A13" s="5" t="str">
        <f>HYPERLINK("#'Input - Fertiliser'!A1", "Fertiliser")</f>
        <v>Fertiliser</v>
      </c>
    </row>
    <row r="14" spans="1:11" ht="20.100000000000001" customHeight="1" x14ac:dyDescent="0.2">
      <c r="A14" s="5" t="str">
        <f>HYPERLINK("#'Input - Fuel'!A1", "Fuel")</f>
        <v>Fuel</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Crop pasture farm input'!A1", "Crop pasture farm input")</f>
        <v>Crop pasture farm input</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Data quality'!A1", "Data quality")</f>
        <v>Data quality</v>
      </c>
    </row>
    <row r="23" spans="1:1" ht="20.100000000000001" customHeight="1" x14ac:dyDescent="0.2">
      <c r="A23" s="6" t="s">
        <v>2</v>
      </c>
    </row>
    <row r="24" spans="1:1" ht="20.100000000000001" customHeight="1" x14ac:dyDescent="0.2">
      <c r="A24" s="5" t="str">
        <f>HYPERLINK("#'5.1.1.1-2 Inorganic fert N2O'!A1", "5.1.1.1-2 Inorganic fert N2O")</f>
        <v>5.1.1.1-2 Inorganic fert N2O</v>
      </c>
    </row>
    <row r="25" spans="1:1" ht="20.100000000000001" customHeight="1" x14ac:dyDescent="0.2">
      <c r="A25" s="5" t="str">
        <f>HYPERLINK("#'5.1.1.3-4 Inorganic fert CO2'!A1", "5.1.1.3-4 Inorganic fert CO2")</f>
        <v>5.1.1.3-4 Inorganic fert CO2</v>
      </c>
    </row>
    <row r="26" spans="1:1" ht="20.100000000000001" customHeight="1" x14ac:dyDescent="0.2">
      <c r="A26" s="5" t="str">
        <f>HYPERLINK("#'5.2.1.1-2 Organic Fert N2O'!A1", "5.2.1.1-2 Organic fert N2O")</f>
        <v>5.2.1.1-2 Organic fert N2O</v>
      </c>
    </row>
    <row r="27" spans="1:1" ht="20.100000000000001" customHeight="1" x14ac:dyDescent="0.2">
      <c r="A27" s="5" t="str">
        <f>HYPERLINK("#'5.3.1.1-2 Lime CO2'!A1", "5.3.1.1-2 Lime CO2")</f>
        <v>5.3.1.1-2 Lime CO2</v>
      </c>
    </row>
    <row r="28" spans="1:1" ht="20.100000000000001" customHeight="1" x14ac:dyDescent="0.2">
      <c r="A28" s="5" t="str">
        <f>HYPERLINK("#'5.4.1.1-4 Atmos deposition'!A1", "5.4.1.1-4 Atmos. deposition")</f>
        <v>5.4.1.1-4 Atmos. deposition</v>
      </c>
    </row>
    <row r="29" spans="1:1" ht="20.100000000000001" customHeight="1" x14ac:dyDescent="0.2">
      <c r="A29" s="5" t="str">
        <f>HYPERLINK("#'5.5.1.1-2 Leaching and runoff'!A1", "5.5.1.1-2 Leaching &amp; runoff")</f>
        <v>5.5.1.1-2 Leaching &amp; runoff</v>
      </c>
    </row>
    <row r="30" spans="1:1" ht="20.100000000000001" customHeight="1" x14ac:dyDescent="0.2">
      <c r="A30" s="5" t="str">
        <f>HYPERLINK("#'6.1.1.1-2 Crop residue N2O'!A1", "6.1.1.1-2 Crop residue N2O")</f>
        <v>6.1.1.1-2 Crop residue N2O</v>
      </c>
    </row>
    <row r="31" spans="1:1" ht="20.100000000000001" customHeight="1" x14ac:dyDescent="0.2">
      <c r="A31" s="5" t="str">
        <f>HYPERLINK("#'6.3.1.1-2 Leach runoff crop'!A1", "6.3.1.1-2 Leach &amp; runoff (crop)")</f>
        <v>6.3.1.1-2 Leach &amp; runoff (crop)</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5"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5AB0-836F-4719-86C6-F026616B89FD}">
  <sheetPr>
    <tabColor theme="5" tint="-0.249977111117893"/>
  </sheetPr>
  <dimension ref="A1:AA378"/>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333</v>
      </c>
    </row>
    <row r="2" spans="1:27" s="3" customFormat="1" ht="20.100000000000001" customHeight="1" x14ac:dyDescent="0.2">
      <c r="A2"/>
    </row>
    <row r="3" spans="1:27" ht="20.100000000000001" customHeight="1" x14ac:dyDescent="0.2">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EI")</f>
        <v>Results - Product EI</v>
      </c>
      <c r="D5" s="2" t="s">
        <v>334</v>
      </c>
      <c r="E5" s="25"/>
      <c r="F5" s="25"/>
      <c r="G5" s="25"/>
      <c r="H5" s="25"/>
      <c r="I5" s="25"/>
      <c r="J5" s="25"/>
      <c r="K5" s="25"/>
      <c r="L5" s="25"/>
      <c r="M5" s="25"/>
    </row>
    <row r="6" spans="1:27" ht="20.100000000000001" customHeight="1" x14ac:dyDescent="0.2">
      <c r="D6" s="8"/>
      <c r="E6" s="8"/>
      <c r="F6" s="8"/>
      <c r="G6" s="8"/>
      <c r="H6" s="8"/>
      <c r="I6" s="8"/>
      <c r="J6" s="8"/>
      <c r="K6" s="8"/>
      <c r="L6" s="8"/>
      <c r="M6" s="8"/>
    </row>
    <row r="7" spans="1:27" ht="20.100000000000001" customHeight="1" x14ac:dyDescent="0.2">
      <c r="D7" s="105" t="s">
        <v>335</v>
      </c>
      <c r="E7" s="44"/>
      <c r="F7" s="44"/>
      <c r="G7" s="44"/>
      <c r="H7" s="45"/>
      <c r="I7" s="106"/>
      <c r="J7" s="107"/>
      <c r="K7" s="107"/>
      <c r="L7" s="107"/>
      <c r="M7" s="107"/>
    </row>
    <row r="8" spans="1:27" ht="20.100000000000001" customHeight="1" x14ac:dyDescent="0.2">
      <c r="A8" s="7" t="s">
        <v>0</v>
      </c>
      <c r="D8" s="46" t="s">
        <v>336</v>
      </c>
      <c r="E8" s="47"/>
      <c r="F8" s="47"/>
      <c r="G8" s="47"/>
      <c r="H8" s="48"/>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9" t="s">
        <v>337</v>
      </c>
      <c r="E10" s="8"/>
      <c r="F10" s="8"/>
      <c r="G10" s="8"/>
      <c r="H10" s="8"/>
      <c r="I10" s="8"/>
      <c r="J10" s="8"/>
      <c r="K10" s="8"/>
      <c r="L10" s="8"/>
      <c r="M10" s="8"/>
    </row>
    <row r="11" spans="1:27" ht="20.100000000000001" customHeight="1" x14ac:dyDescent="0.2">
      <c r="A11" s="5" t="str">
        <f>HYPERLINK("#'Input - Crop'!A1", "Crop")</f>
        <v>Crop</v>
      </c>
      <c r="D11" s="109" t="s">
        <v>338</v>
      </c>
      <c r="E11" s="110" t="s">
        <v>339</v>
      </c>
      <c r="F11" s="111" t="s">
        <v>340</v>
      </c>
      <c r="G11" s="110" t="s">
        <v>341</v>
      </c>
      <c r="H11" s="111" t="s">
        <v>342</v>
      </c>
      <c r="I11" s="110" t="s">
        <v>343</v>
      </c>
      <c r="J11" s="109" t="s">
        <v>344</v>
      </c>
      <c r="K11" s="109" t="s">
        <v>345</v>
      </c>
      <c r="L11" s="109" t="s">
        <v>346</v>
      </c>
      <c r="M11" s="109" t="s">
        <v>347</v>
      </c>
      <c r="N11" s="109" t="s">
        <v>348</v>
      </c>
      <c r="O11" s="109" t="s">
        <v>349</v>
      </c>
      <c r="P11" s="109" t="s">
        <v>350</v>
      </c>
      <c r="Q11" s="109" t="s">
        <v>351</v>
      </c>
      <c r="R11" s="109" t="s">
        <v>352</v>
      </c>
      <c r="S11" s="109" t="s">
        <v>353</v>
      </c>
      <c r="T11" s="109" t="s">
        <v>354</v>
      </c>
      <c r="U11" s="109" t="s">
        <v>355</v>
      </c>
      <c r="V11" s="109" t="s">
        <v>356</v>
      </c>
      <c r="W11" s="109" t="s">
        <v>357</v>
      </c>
      <c r="X11" s="109" t="s">
        <v>358</v>
      </c>
      <c r="Y11" s="109" t="s">
        <v>359</v>
      </c>
      <c r="Z11" s="109" t="s">
        <v>360</v>
      </c>
    </row>
    <row r="12" spans="1:27" ht="20.100000000000001" customHeight="1" x14ac:dyDescent="0.2">
      <c r="A12" s="5" t="str">
        <f>HYPERLINK("#'Input - Fert Prod System'!A1", "Fert Prod System")</f>
        <v>Fert Prod System</v>
      </c>
      <c r="D12" s="112" t="s">
        <v>361</v>
      </c>
      <c r="E12" s="113">
        <v>100</v>
      </c>
      <c r="F12" s="15" t="str">
        <f>IFERROR(_xlfn.XLOOKUP(Table_Input_InorganicFertiliser_Brands[[#This Row],[Product (select)]],FertiliserProducts[Product],FertiliserProducts[Unit]), "kg")</f>
        <v>kg</v>
      </c>
      <c r="G12" s="113">
        <f t="shared" ref="G12" si="0">X_Cell_Fertiliser_AreaUnderCropping</f>
        <v>1000</v>
      </c>
      <c r="H12" s="114">
        <f>IFERROR(_xlfn.XLOOKUP(Table_Input_InorganicFertiliser_Brands[[#This Row],[Product (select)]],FertiliserProducts[Product],FertiliserProducts[Density]), 1)</f>
        <v>1</v>
      </c>
      <c r="I12" s="115">
        <f>(Table_Input_InorganicFertiliser_Brands[[#This Row],[Amount applied per hectare]]*Table_Input_InorganicFertiliser_Brands[[#This Row],[Density]])*Table_Input_InorganicFertiliser_Brands[[#This Row],[Application area (ha)]]</f>
        <v>100000</v>
      </c>
      <c r="J12" s="115"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15"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15"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15"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15"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15"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15"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15"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15"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15"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15"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15"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15" cm="1">
        <f t="array" ref="W12">IFERROR(Fertiliser_InputFunctions.Fertiliser_FertiliserProductLookup(Table_Input_InorganicFertiliser_Brands[[#This Row],[Product (select)]], "N declared", FertiliserProducts[#Data], FertiliserProducts[Product], FertiliserProducts[#Headers])*0.01, 0)</f>
        <v>0.46</v>
      </c>
      <c r="X12"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15" t="str">
        <f>IFERROR(_xlfn.XLOOKUP(Table_Input_InorganicFertiliser_Brands[[#This Row],[Product (select)]],FertiliserProducts[Product],FertiliserProducts[Urea source]), "")</f>
        <v/>
      </c>
      <c r="Z12" s="115" t="str">
        <f>IFERROR(_xlfn.XLOOKUP(Table_Input_InorganicFertiliser_Brands[[#This Row],[Product (select)]],FertiliserProducts[Product],FertiliserProducts[Ammonia source]), "")</f>
        <v/>
      </c>
    </row>
    <row r="13" spans="1:27" ht="20.100000000000001" customHeight="1" x14ac:dyDescent="0.2">
      <c r="A13" s="108" t="str">
        <f>HYPERLINK("#'Input - Fertiliser'!A1", "Fertiliser")</f>
        <v>Fertiliser</v>
      </c>
      <c r="D13" s="112" t="s">
        <v>362</v>
      </c>
      <c r="E13" s="113">
        <v>100</v>
      </c>
      <c r="F13" s="15" t="str">
        <f>IFERROR(_xlfn.XLOOKUP(Table_Input_InorganicFertiliser_Brands[[#This Row],[Product (select)]],FertiliserProducts[Product],FertiliserProducts[Unit]), "kg")</f>
        <v>kg</v>
      </c>
      <c r="G13" s="113">
        <f t="shared" ref="G13" si="1">X_Cell_Fertiliser_AreaUnderCropping</f>
        <v>1000</v>
      </c>
      <c r="H13" s="114">
        <f>IFERROR(_xlfn.XLOOKUP(Table_Input_InorganicFertiliser_Brands[[#This Row],[Product (select)]],FertiliserProducts[Product],FertiliserProducts[Density]), 1)</f>
        <v>1</v>
      </c>
      <c r="I13" s="115">
        <f>(Table_Input_InorganicFertiliser_Brands[[#This Row],[Amount applied per hectare]]*Table_Input_InorganicFertiliser_Brands[[#This Row],[Density]])*Table_Input_InorganicFertiliser_Brands[[#This Row],[Application area (ha)]]</f>
        <v>100000</v>
      </c>
      <c r="J13" s="115"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15"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15"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15"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15"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15"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15"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15"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15"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15"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15"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15"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16" cm="1">
        <f t="array" ref="W13">IFERROR(Fertiliser_InputFunctions.Fertiliser_FertiliserProductLookup(Table_Input_InorganicFertiliser_Brands[[#This Row],[Product (select)]], "N declared", FertiliserProducts[#Data], FertiliserProducts[Product], FertiliserProducts[#Headers])*0.01, 0)</f>
        <v>0.24</v>
      </c>
      <c r="X13"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15" t="str">
        <f>IFERROR(_xlfn.XLOOKUP(Table_Input_InorganicFertiliser_Brands[[#This Row],[Product (select)]],FertiliserProducts[Product],FertiliserProducts[Urea source]), "")</f>
        <v/>
      </c>
      <c r="Z13" s="115" t="str">
        <f>IFERROR(_xlfn.XLOOKUP(Table_Input_InorganicFertiliser_Brands[[#This Row],[Product (select)]],FertiliserProducts[Product],FertiliserProducts[Ammonia source]), "")</f>
        <v/>
      </c>
    </row>
    <row r="14" spans="1:27" ht="20.100000000000001" customHeight="1" x14ac:dyDescent="0.2">
      <c r="A14" s="5" t="str">
        <f>HYPERLINK("#'Input - Fuel'!A1", "Fuel")</f>
        <v>Fuel</v>
      </c>
      <c r="D14" s="112" t="s">
        <v>363</v>
      </c>
      <c r="E14" s="113">
        <v>100</v>
      </c>
      <c r="F14" s="15" t="str">
        <f>IFERROR(_xlfn.XLOOKUP(Table_Input_InorganicFertiliser_Brands[[#This Row],[Product (select)]],FertiliserProducts[Product],FertiliserProducts[Unit]), "kg")</f>
        <v>kg</v>
      </c>
      <c r="G14" s="113">
        <f t="shared" ref="G14" si="2">X_Cell_Fertiliser_AreaUnderCropping</f>
        <v>1000</v>
      </c>
      <c r="H14" s="114">
        <f>IFERROR(_xlfn.XLOOKUP(Table_Input_InorganicFertiliser_Brands[[#This Row],[Product (select)]],FertiliserProducts[Product],FertiliserProducts[Density]), 1)</f>
        <v>1</v>
      </c>
      <c r="I14" s="115">
        <f>(Table_Input_InorganicFertiliser_Brands[[#This Row],[Amount applied per hectare]]*Table_Input_InorganicFertiliser_Brands[[#This Row],[Density]])*Table_Input_InorganicFertiliser_Brands[[#This Row],[Application area (ha)]]</f>
        <v>100000</v>
      </c>
      <c r="J14" s="115"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15"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15"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15"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15"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15"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15"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15"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15"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15"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15"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15"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16" cm="1">
        <f t="array" ref="W14">IFERROR(Fertiliser_InputFunctions.Fertiliser_FertiliserProductLookup(Table_Input_InorganicFertiliser_Brands[[#This Row],[Product (select)]], "N declared", FertiliserProducts[#Data], FertiliserProducts[Product], FertiliserProducts[#Headers])*0.01, 0)</f>
        <v>0.17899999999999999</v>
      </c>
      <c r="X14"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15" t="str">
        <f>IFERROR(_xlfn.XLOOKUP(Table_Input_InorganicFertiliser_Brands[[#This Row],[Product (select)]],FertiliserProducts[Product],FertiliserProducts[Urea source]), "")</f>
        <v/>
      </c>
      <c r="Z14" s="115" t="str">
        <f>IFERROR(_xlfn.XLOOKUP(Table_Input_InorganicFertiliser_Brands[[#This Row],[Product (select)]],FertiliserProducts[Product],FertiliserProducts[Ammonia source]), "")</f>
        <v/>
      </c>
    </row>
    <row r="15" spans="1:27" ht="20.100000000000001" customHeight="1" x14ac:dyDescent="0.2">
      <c r="A15" s="5" t="str">
        <f>HYPERLINK("#'Input - Electricity'!A1", "Electricity")</f>
        <v>Electricity</v>
      </c>
      <c r="D15" s="112"/>
      <c r="E15" s="113"/>
      <c r="F15" s="15" t="str">
        <f>IFERROR(_xlfn.XLOOKUP(Table_Input_InorganicFertiliser_Brands[[#This Row],[Product (select)]],FertiliserProducts[Product],FertiliserProducts[Unit]), "kg")</f>
        <v>kg</v>
      </c>
      <c r="G15" s="113">
        <f t="shared" ref="G15" si="3">X_Cell_Fertiliser_AreaUnderCropping</f>
        <v>1000</v>
      </c>
      <c r="H15" s="114">
        <f>IFERROR(_xlfn.XLOOKUP(Table_Input_InorganicFertiliser_Brands[[#This Row],[Product (select)]],FertiliserProducts[Product],FertiliserProducts[Density]), 1)</f>
        <v>1</v>
      </c>
      <c r="I15" s="115">
        <f>(Table_Input_InorganicFertiliser_Brands[[#This Row],[Amount applied per hectare]]*Table_Input_InorganicFertiliser_Brands[[#This Row],[Density]])*Table_Input_InorganicFertiliser_Brands[[#This Row],[Application area (ha)]]</f>
        <v>0</v>
      </c>
      <c r="J15" s="115"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15"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15"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15"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15"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15"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15"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15"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15"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15"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15"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15"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16" cm="1">
        <f t="array" ref="W15">IFERROR(Fertiliser_InputFunctions.Fertiliser_FertiliserProductLookup(Table_Input_InorganicFertiliser_Brands[[#This Row],[Product (select)]], "N declared", FertiliserProducts[#Data], FertiliserProducts[Product], FertiliserProducts[#Headers])*0.01, 0)</f>
        <v>0</v>
      </c>
      <c r="X15"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15" t="str">
        <f>IFERROR(_xlfn.XLOOKUP(Table_Input_InorganicFertiliser_Brands[[#This Row],[Product (select)]],FertiliserProducts[Product],FertiliserProducts[Urea source]), "")</f>
        <v/>
      </c>
      <c r="Z15" s="115" t="str">
        <f>IFERROR(_xlfn.XLOOKUP(Table_Input_InorganicFertiliser_Brands[[#This Row],[Product (select)]],FertiliserProducts[Product],FertiliserProducts[Ammonia source]), "")</f>
        <v/>
      </c>
    </row>
    <row r="16" spans="1:27" ht="20.100000000000001" customHeight="1" x14ac:dyDescent="0.2">
      <c r="A16" s="5" t="str">
        <f>HYPERLINK("#'Input - Common farm inputs'!A1", "Common farm inputs")</f>
        <v>Common farm inputs</v>
      </c>
      <c r="D16" s="112"/>
      <c r="E16" s="113"/>
      <c r="F16" s="15" t="str">
        <f>IFERROR(_xlfn.XLOOKUP(Table_Input_InorganicFertiliser_Brands[[#This Row],[Product (select)]],FertiliserProducts[Product],FertiliserProducts[Unit]), "kg")</f>
        <v>kg</v>
      </c>
      <c r="G16" s="113">
        <f t="shared" ref="G16" si="4">X_Cell_Fertiliser_AreaUnderCropping</f>
        <v>1000</v>
      </c>
      <c r="H16" s="114">
        <f>IFERROR(_xlfn.XLOOKUP(Table_Input_InorganicFertiliser_Brands[[#This Row],[Product (select)]],FertiliserProducts[Product],FertiliserProducts[Density]), 1)</f>
        <v>1</v>
      </c>
      <c r="I16" s="115">
        <f>(Table_Input_InorganicFertiliser_Brands[[#This Row],[Amount applied per hectare]]*Table_Input_InorganicFertiliser_Brands[[#This Row],[Density]])*Table_Input_InorganicFertiliser_Brands[[#This Row],[Application area (ha)]]</f>
        <v>0</v>
      </c>
      <c r="J16" s="115"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15"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15"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15"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15"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15"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15"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15"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15"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15"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15"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15"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16" cm="1">
        <f t="array" ref="W16">IFERROR(Fertiliser_InputFunctions.Fertiliser_FertiliserProductLookup(Table_Input_InorganicFertiliser_Brands[[#This Row],[Product (select)]], "N declared", FertiliserProducts[#Data], FertiliserProducts[Product], FertiliserProducts[#Headers])*0.01, 0)</f>
        <v>0</v>
      </c>
      <c r="X16"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15" t="str">
        <f>IFERROR(_xlfn.XLOOKUP(Table_Input_InorganicFertiliser_Brands[[#This Row],[Product (select)]],FertiliserProducts[Product],FertiliserProducts[Urea source]), "")</f>
        <v/>
      </c>
      <c r="Z16" s="115" t="str">
        <f>IFERROR(_xlfn.XLOOKUP(Table_Input_InorganicFertiliser_Brands[[#This Row],[Product (select)]],FertiliserProducts[Product],FertiliserProducts[Ammonia source]), "")</f>
        <v/>
      </c>
    </row>
    <row r="17" spans="1:26" ht="20.100000000000001" customHeight="1" x14ac:dyDescent="0.2">
      <c r="A17" s="5" t="str">
        <f>HYPERLINK("#'Input - Crop pasture farm input'!A1", "Crop pasture farm input")</f>
        <v>Crop pasture farm input</v>
      </c>
      <c r="D17" s="112"/>
      <c r="E17" s="113"/>
      <c r="F17" s="15" t="str">
        <f>IFERROR(_xlfn.XLOOKUP(Table_Input_InorganicFertiliser_Brands[[#This Row],[Product (select)]],FertiliserProducts[Product],FertiliserProducts[Unit]), "kg")</f>
        <v>kg</v>
      </c>
      <c r="G17" s="113">
        <f t="shared" ref="G17" si="5">X_Cell_Fertiliser_AreaUnderCropping</f>
        <v>1000</v>
      </c>
      <c r="H17" s="114">
        <f>IFERROR(_xlfn.XLOOKUP(Table_Input_InorganicFertiliser_Brands[[#This Row],[Product (select)]],FertiliserProducts[Product],FertiliserProducts[Density]), 1)</f>
        <v>1</v>
      </c>
      <c r="I17" s="115">
        <f>(Table_Input_InorganicFertiliser_Brands[[#This Row],[Amount applied per hectare]]*Table_Input_InorganicFertiliser_Brands[[#This Row],[Density]])*Table_Input_InorganicFertiliser_Brands[[#This Row],[Application area (ha)]]</f>
        <v>0</v>
      </c>
      <c r="J17" s="115"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15"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15"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15"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15"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15"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15"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15"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15"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15"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15"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15"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16" cm="1">
        <f t="array" ref="W17">IFERROR(Fertiliser_InputFunctions.Fertiliser_FertiliserProductLookup(Table_Input_InorganicFertiliser_Brands[[#This Row],[Product (select)]], "N declared", FertiliserProducts[#Data], FertiliserProducts[Product], FertiliserProducts[#Headers])*0.01, 0)</f>
        <v>0</v>
      </c>
      <c r="X17"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15" t="str">
        <f>IFERROR(_xlfn.XLOOKUP(Table_Input_InorganicFertiliser_Brands[[#This Row],[Product (select)]],FertiliserProducts[Product],FertiliserProducts[Urea source]), "")</f>
        <v/>
      </c>
      <c r="Z17" s="115" t="str">
        <f>IFERROR(_xlfn.XLOOKUP(Table_Input_InorganicFertiliser_Brands[[#This Row],[Product (select)]],FertiliserProducts[Product],FertiliserProducts[Ammonia source]), "")</f>
        <v/>
      </c>
    </row>
    <row r="18" spans="1:26" ht="20.100000000000001" customHeight="1" x14ac:dyDescent="0.2">
      <c r="A18" s="5" t="str">
        <f>HYPERLINK("#'Input - Freight'!A1", "Freight")</f>
        <v>Freight</v>
      </c>
      <c r="D18" s="112"/>
      <c r="E18" s="113"/>
      <c r="F18" s="15" t="str">
        <f>IFERROR(_xlfn.XLOOKUP(Table_Input_InorganicFertiliser_Brands[[#This Row],[Product (select)]],FertiliserProducts[Product],FertiliserProducts[Unit]), "kg")</f>
        <v>kg</v>
      </c>
      <c r="G18" s="113">
        <f t="shared" ref="G18" si="6">X_Cell_Fertiliser_AreaUnderCropping</f>
        <v>1000</v>
      </c>
      <c r="H18" s="114">
        <f>IFERROR(_xlfn.XLOOKUP(Table_Input_InorganicFertiliser_Brands[[#This Row],[Product (select)]],FertiliserProducts[Product],FertiliserProducts[Density]), 1)</f>
        <v>1</v>
      </c>
      <c r="I18" s="115">
        <f>(Table_Input_InorganicFertiliser_Brands[[#This Row],[Amount applied per hectare]]*Table_Input_InorganicFertiliser_Brands[[#This Row],[Density]])*Table_Input_InorganicFertiliser_Brands[[#This Row],[Application area (ha)]]</f>
        <v>0</v>
      </c>
      <c r="J18" s="115"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15"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15"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15"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15"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15"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15"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15"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15"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15"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15"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15"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16" cm="1">
        <f t="array" ref="W18">IFERROR(Fertiliser_InputFunctions.Fertiliser_FertiliserProductLookup(Table_Input_InorganicFertiliser_Brands[[#This Row],[Product (select)]], "N declared", FertiliserProducts[#Data], FertiliserProducts[Product], FertiliserProducts[#Headers])*0.01, 0)</f>
        <v>0</v>
      </c>
      <c r="X18"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15" t="str">
        <f>IFERROR(_xlfn.XLOOKUP(Table_Input_InorganicFertiliser_Brands[[#This Row],[Product (select)]],FertiliserProducts[Product],FertiliserProducts[Urea source]), "")</f>
        <v/>
      </c>
      <c r="Z18" s="115" t="str">
        <f>IFERROR(_xlfn.XLOOKUP(Table_Input_InorganicFertiliser_Brands[[#This Row],[Product (select)]],FertiliserProducts[Product],FertiliserProducts[Ammonia source]), "")</f>
        <v/>
      </c>
    </row>
    <row r="19" spans="1:26" ht="20.100000000000001" customHeight="1" x14ac:dyDescent="0.2">
      <c r="A19" s="5" t="str">
        <f>HYPERLINK("#'Input - Solid waste'!A1", "Solid waste")</f>
        <v>Solid waste</v>
      </c>
      <c r="D19" s="112"/>
      <c r="E19" s="113"/>
      <c r="F19" s="15" t="str">
        <f>IFERROR(_xlfn.XLOOKUP(Table_Input_InorganicFertiliser_Brands[[#This Row],[Product (select)]],FertiliserProducts[Product],FertiliserProducts[Unit]), "kg")</f>
        <v>kg</v>
      </c>
      <c r="G19" s="113">
        <f t="shared" ref="G19" si="7">X_Cell_Fertiliser_AreaUnderCropping</f>
        <v>1000</v>
      </c>
      <c r="H19" s="114">
        <f>IFERROR(_xlfn.XLOOKUP(Table_Input_InorganicFertiliser_Brands[[#This Row],[Product (select)]],FertiliserProducts[Product],FertiliserProducts[Density]), 1)</f>
        <v>1</v>
      </c>
      <c r="I19" s="115">
        <f>(Table_Input_InorganicFertiliser_Brands[[#This Row],[Amount applied per hectare]]*Table_Input_InorganicFertiliser_Brands[[#This Row],[Density]])*Table_Input_InorganicFertiliser_Brands[[#This Row],[Application area (ha)]]</f>
        <v>0</v>
      </c>
      <c r="J19" s="115"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15"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15"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15"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15"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15"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15"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15"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15"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15"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15"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15"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16" cm="1">
        <f t="array" ref="W19">IFERROR(Fertiliser_InputFunctions.Fertiliser_FertiliserProductLookup(Table_Input_InorganicFertiliser_Brands[[#This Row],[Product (select)]], "N declared", FertiliserProducts[#Data], FertiliserProducts[Product], FertiliserProducts[#Headers])*0.01, 0)</f>
        <v>0</v>
      </c>
      <c r="X19"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15" t="str">
        <f>IFERROR(_xlfn.XLOOKUP(Table_Input_InorganicFertiliser_Brands[[#This Row],[Product (select)]],FertiliserProducts[Product],FertiliserProducts[Urea source]), "")</f>
        <v/>
      </c>
      <c r="Z19" s="115" t="str">
        <f>IFERROR(_xlfn.XLOOKUP(Table_Input_InorganicFertiliser_Brands[[#This Row],[Product (select)]],FertiliserProducts[Product],FertiliserProducts[Ammonia source]), "")</f>
        <v/>
      </c>
    </row>
    <row r="20" spans="1:26" ht="20.100000000000001" customHeight="1" x14ac:dyDescent="0.2">
      <c r="A20" s="5" t="str">
        <f>HYPERLINK("#'Input - Data quality'!A1", "Data quality")</f>
        <v>Data quality</v>
      </c>
      <c r="D20" s="112"/>
      <c r="E20" s="113"/>
      <c r="F20" s="15" t="str">
        <f>IFERROR(_xlfn.XLOOKUP(Table_Input_InorganicFertiliser_Brands[[#This Row],[Product (select)]],FertiliserProducts[Product],FertiliserProducts[Unit]), "kg")</f>
        <v>kg</v>
      </c>
      <c r="G20" s="113">
        <f t="shared" ref="G20" si="8">X_Cell_Fertiliser_AreaUnderCropping</f>
        <v>1000</v>
      </c>
      <c r="H20" s="114">
        <f>IFERROR(_xlfn.XLOOKUP(Table_Input_InorganicFertiliser_Brands[[#This Row],[Product (select)]],FertiliserProducts[Product],FertiliserProducts[Density]), 1)</f>
        <v>1</v>
      </c>
      <c r="I20" s="115">
        <f>(Table_Input_InorganicFertiliser_Brands[[#This Row],[Amount applied per hectare]]*Table_Input_InorganicFertiliser_Brands[[#This Row],[Density]])*Table_Input_InorganicFertiliser_Brands[[#This Row],[Application area (ha)]]</f>
        <v>0</v>
      </c>
      <c r="J20" s="115"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15"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15"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15"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15"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15"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15"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15"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15"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15"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15"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15"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16" cm="1">
        <f t="array" ref="W20">IFERROR(Fertiliser_InputFunctions.Fertiliser_FertiliserProductLookup(Table_Input_InorganicFertiliser_Brands[[#This Row],[Product (select)]], "N declared", FertiliserProducts[#Data], FertiliserProducts[Product], FertiliserProducts[#Headers])*0.01, 0)</f>
        <v>0</v>
      </c>
      <c r="X20"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15" t="str">
        <f>IFERROR(_xlfn.XLOOKUP(Table_Input_InorganicFertiliser_Brands[[#This Row],[Product (select)]],FertiliserProducts[Product],FertiliserProducts[Urea source]), "")</f>
        <v/>
      </c>
      <c r="Z20" s="115" t="str">
        <f>IFERROR(_xlfn.XLOOKUP(Table_Input_InorganicFertiliser_Brands[[#This Row],[Product (select)]],FertiliserProducts[Product],FertiliserProducts[Ammonia source]), "")</f>
        <v/>
      </c>
    </row>
    <row r="21" spans="1:26" ht="20.100000000000001" customHeight="1" x14ac:dyDescent="0.2">
      <c r="D21" s="112"/>
      <c r="E21" s="113"/>
      <c r="F21" s="15" t="str">
        <f>IFERROR(_xlfn.XLOOKUP(Table_Input_InorganicFertiliser_Brands[[#This Row],[Product (select)]],FertiliserProducts[Product],FertiliserProducts[Unit]), "kg")</f>
        <v>kg</v>
      </c>
      <c r="G21" s="113">
        <f t="shared" ref="G21" si="9">X_Cell_Fertiliser_AreaUnderCropping</f>
        <v>1000</v>
      </c>
      <c r="H21" s="114">
        <f>IFERROR(_xlfn.XLOOKUP(Table_Input_InorganicFertiliser_Brands[[#This Row],[Product (select)]],FertiliserProducts[Product],FertiliserProducts[Density]), 1)</f>
        <v>1</v>
      </c>
      <c r="I21" s="115">
        <f>(Table_Input_InorganicFertiliser_Brands[[#This Row],[Amount applied per hectare]]*Table_Input_InorganicFertiliser_Brands[[#This Row],[Density]])*Table_Input_InorganicFertiliser_Brands[[#This Row],[Application area (ha)]]</f>
        <v>0</v>
      </c>
      <c r="J21" s="115"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15"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15"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15"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15"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15"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15"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15"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15"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15"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15"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15"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16" cm="1">
        <f t="array" ref="W21">IFERROR(Fertiliser_InputFunctions.Fertiliser_FertiliserProductLookup(Table_Input_InorganicFertiliser_Brands[[#This Row],[Product (select)]], "N declared", FertiliserProducts[#Data], FertiliserProducts[Product], FertiliserProducts[#Headers])*0.01, 0)</f>
        <v>0</v>
      </c>
      <c r="X21"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15" t="str">
        <f>IFERROR(_xlfn.XLOOKUP(Table_Input_InorganicFertiliser_Brands[[#This Row],[Product (select)]],FertiliserProducts[Product],FertiliserProducts[Urea source]), "")</f>
        <v/>
      </c>
      <c r="Z21" s="115" t="str">
        <f>IFERROR(_xlfn.XLOOKUP(Table_Input_InorganicFertiliser_Brands[[#This Row],[Product (select)]],FertiliserProducts[Product],FertiliserProducts[Ammonia source]), "")</f>
        <v/>
      </c>
    </row>
    <row r="22" spans="1:26" ht="20.100000000000001" customHeight="1" x14ac:dyDescent="0.2">
      <c r="D22" s="117"/>
      <c r="E22" s="118"/>
      <c r="F22" s="119"/>
      <c r="G22" s="119"/>
      <c r="H22" s="119"/>
      <c r="I22" s="119"/>
      <c r="J22" s="120"/>
      <c r="K22" s="120"/>
      <c r="L22" s="121"/>
      <c r="M22" s="121"/>
      <c r="N22" s="122"/>
      <c r="O22" s="122"/>
      <c r="P22" s="122"/>
      <c r="Q22" s="122"/>
      <c r="R22" s="122"/>
      <c r="S22" s="122"/>
      <c r="T22" s="122"/>
      <c r="U22" s="122"/>
      <c r="V22" s="122"/>
      <c r="W22" s="122"/>
      <c r="X22" s="122"/>
    </row>
    <row r="23" spans="1:26" ht="20.100000000000001" customHeight="1" x14ac:dyDescent="0.2">
      <c r="A23" s="6" t="s">
        <v>2</v>
      </c>
      <c r="D23" s="123" t="s">
        <v>364</v>
      </c>
      <c r="E23" s="124"/>
      <c r="F23" s="124"/>
      <c r="G23" s="124"/>
      <c r="H23" s="124"/>
      <c r="I23" s="124"/>
      <c r="J23" s="124"/>
      <c r="K23" s="124"/>
      <c r="L23" s="124"/>
      <c r="M23" s="124"/>
      <c r="N23" s="122"/>
      <c r="O23" s="122"/>
      <c r="P23" s="122"/>
      <c r="Q23" s="122"/>
      <c r="R23" s="122"/>
      <c r="S23" s="122"/>
      <c r="T23" s="122"/>
      <c r="V23" s="122"/>
      <c r="W23" s="122"/>
      <c r="X23" s="122"/>
    </row>
    <row r="24" spans="1:26" ht="20.100000000000001" customHeight="1" x14ac:dyDescent="0.2">
      <c r="A24" s="5" t="str">
        <f>HYPERLINK("#'5.1.1.1-2 Inorganic fert N2O'!A1", "5.1.1.1-2 Inorganic fert N2O")</f>
        <v>5.1.1.1-2 Inorganic fert N2O</v>
      </c>
      <c r="D24" s="110" t="s">
        <v>365</v>
      </c>
      <c r="E24" s="110" t="s">
        <v>366</v>
      </c>
      <c r="F24" s="110" t="s">
        <v>341</v>
      </c>
      <c r="G24" s="110" t="s">
        <v>343</v>
      </c>
      <c r="H24" s="110" t="s">
        <v>367</v>
      </c>
      <c r="I24" s="110" t="s">
        <v>345</v>
      </c>
      <c r="J24" s="110" t="s">
        <v>346</v>
      </c>
      <c r="K24" s="110" t="s">
        <v>347</v>
      </c>
      <c r="L24" s="110" t="s">
        <v>348</v>
      </c>
      <c r="M24" s="110" t="s">
        <v>349</v>
      </c>
      <c r="N24" s="110" t="s">
        <v>350</v>
      </c>
      <c r="O24" s="110" t="s">
        <v>351</v>
      </c>
      <c r="P24" s="110" t="s">
        <v>358</v>
      </c>
      <c r="Q24" s="125" t="s">
        <v>368</v>
      </c>
      <c r="R24" s="125" t="s">
        <v>369</v>
      </c>
      <c r="S24" s="122"/>
      <c r="T24" s="122"/>
      <c r="V24" s="122"/>
      <c r="W24" s="122"/>
      <c r="X24" s="122"/>
    </row>
    <row r="25" spans="1:26" ht="20.100000000000001" customHeight="1" x14ac:dyDescent="0.2">
      <c r="A25" s="5" t="str">
        <f>HYPERLINK("#'5.1.1.3-4 Inorganic fert CO2'!A1", "5.1.1.3-4 Inorganic fert CO2")</f>
        <v>5.1.1.3-4 Inorganic fert CO2</v>
      </c>
      <c r="D25" s="34" t="s">
        <v>370</v>
      </c>
      <c r="E25" s="110">
        <v>100</v>
      </c>
      <c r="F25" s="113">
        <f t="shared" ref="F25:F34" si="10">X_Cell_Fertiliser_AreaUnderCropping</f>
        <v>1000</v>
      </c>
      <c r="G25" s="115">
        <f>Table_Input_InorganicFertiliser_Custom[[#This Row],[Amount applied (kg / ha)]]*Table_Input_InorganicFertiliser_Custom[[#This Row],[Application area (ha)]]</f>
        <v>100000</v>
      </c>
      <c r="H25" s="126" t="s">
        <v>371</v>
      </c>
      <c r="I25" s="127">
        <v>0.5</v>
      </c>
      <c r="J25" s="126" t="s">
        <v>372</v>
      </c>
      <c r="K25" s="127">
        <v>0.2</v>
      </c>
      <c r="L25" s="126" t="s">
        <v>373</v>
      </c>
      <c r="M25" s="127">
        <v>0.2</v>
      </c>
      <c r="N25" s="128" t="s">
        <v>374</v>
      </c>
      <c r="O25" s="18">
        <v>0.1</v>
      </c>
      <c r="P25"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7"/>
      <c r="V25" s="122"/>
    </row>
    <row r="26" spans="1:26" ht="20.100000000000001" customHeight="1" x14ac:dyDescent="0.2">
      <c r="A26" s="5" t="str">
        <f>HYPERLINK("#'5.2.1.1-2 Organic Fert N2O'!A1", "5.2.1.1-2 Organic fert N2O")</f>
        <v>5.2.1.1-2 Organic fert N2O</v>
      </c>
      <c r="D26" s="34" t="s">
        <v>375</v>
      </c>
      <c r="E26" s="110">
        <v>100</v>
      </c>
      <c r="F26" s="113">
        <f t="shared" si="10"/>
        <v>1000</v>
      </c>
      <c r="G26" s="115">
        <f>Table_Input_InorganicFertiliser_Custom[[#This Row],[Amount applied (kg / ha)]]*Table_Input_InorganicFertiliser_Custom[[#This Row],[Application area (ha)]]</f>
        <v>100000</v>
      </c>
      <c r="H26" s="126" t="s">
        <v>361</v>
      </c>
      <c r="I26" s="129">
        <v>1</v>
      </c>
      <c r="J26" s="126"/>
      <c r="K26" s="129"/>
      <c r="L26" s="126"/>
      <c r="M26" s="129"/>
      <c r="N26" s="128"/>
      <c r="O26" s="18"/>
      <c r="P26"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22"/>
      <c r="W26" s="77"/>
    </row>
    <row r="27" spans="1:26" ht="20.100000000000001" customHeight="1" x14ac:dyDescent="0.2">
      <c r="A27" s="5" t="str">
        <f>HYPERLINK("#'5.3.1.1-2 Lime CO2'!A1", "5.3.1.1-2 Lime CO2")</f>
        <v>5.3.1.1-2 Lime CO2</v>
      </c>
      <c r="D27" s="34" t="s">
        <v>376</v>
      </c>
      <c r="E27" s="110">
        <v>100</v>
      </c>
      <c r="F27" s="113">
        <f t="shared" si="10"/>
        <v>1000</v>
      </c>
      <c r="G27" s="115">
        <f>Table_Input_InorganicFertiliser_Custom[[#This Row],[Amount applied (kg / ha)]]*Table_Input_InorganicFertiliser_Custom[[#This Row],[Application area (ha)]]</f>
        <v>100000</v>
      </c>
      <c r="H27" s="126" t="s">
        <v>377</v>
      </c>
      <c r="I27" s="129">
        <v>0.5</v>
      </c>
      <c r="J27" s="126"/>
      <c r="K27" s="129"/>
      <c r="L27" s="126"/>
      <c r="M27" s="129"/>
      <c r="N27" s="128"/>
      <c r="O27" s="18"/>
      <c r="P27"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22"/>
    </row>
    <row r="28" spans="1:26" ht="20.100000000000001" customHeight="1" x14ac:dyDescent="0.2">
      <c r="A28" s="5" t="str">
        <f>HYPERLINK("#'5.4.1.1-4 Atmos deposition'!A1", "5.4.1.1-4 Atmos. deposition")</f>
        <v>5.4.1.1-4 Atmos. deposition</v>
      </c>
      <c r="D28" s="34"/>
      <c r="E28" s="110"/>
      <c r="F28" s="130">
        <f t="shared" si="10"/>
        <v>1000</v>
      </c>
      <c r="G28" s="115">
        <f>Table_Input_InorganicFertiliser_Custom[[#This Row],[Amount applied (kg / ha)]]*Table_Input_InorganicFertiliser_Custom[[#This Row],[Application area (ha)]]</f>
        <v>0</v>
      </c>
      <c r="H28" s="126"/>
      <c r="I28" s="129"/>
      <c r="J28" s="126"/>
      <c r="K28" s="129"/>
      <c r="L28" s="126"/>
      <c r="M28" s="129"/>
      <c r="N28" s="128"/>
      <c r="O28" s="18"/>
      <c r="P28"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
      <c r="A29" s="5" t="str">
        <f>HYPERLINK("#'5.5.1.1-2 Leaching and runoff'!A1", "5.5.1.1-2 Leaching &amp; runoff")</f>
        <v>5.5.1.1-2 Leaching &amp; runoff</v>
      </c>
      <c r="D29" s="34"/>
      <c r="E29" s="110"/>
      <c r="F29" s="130">
        <f t="shared" si="10"/>
        <v>1000</v>
      </c>
      <c r="G29" s="115">
        <f>Table_Input_InorganicFertiliser_Custom[[#This Row],[Amount applied (kg / ha)]]*Table_Input_InorganicFertiliser_Custom[[#This Row],[Application area (ha)]]</f>
        <v>0</v>
      </c>
      <c r="H29" s="126"/>
      <c r="I29" s="129"/>
      <c r="J29" s="126"/>
      <c r="K29" s="129"/>
      <c r="L29" s="126"/>
      <c r="M29" s="129"/>
      <c r="N29" s="128"/>
      <c r="O29" s="18"/>
      <c r="P29"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HYPERLINK("#'6.1.1.1-2 Crop residue N2O'!A1", "6.1.1.1-2 Crop residue N2O")</f>
        <v>6.1.1.1-2 Crop residue N2O</v>
      </c>
      <c r="D30" s="34"/>
      <c r="E30" s="110"/>
      <c r="F30" s="130">
        <f t="shared" si="10"/>
        <v>1000</v>
      </c>
      <c r="G30" s="115">
        <f>Table_Input_InorganicFertiliser_Custom[[#This Row],[Amount applied (kg / ha)]]*Table_Input_InorganicFertiliser_Custom[[#This Row],[Application area (ha)]]</f>
        <v>0</v>
      </c>
      <c r="H30" s="126"/>
      <c r="I30" s="129"/>
      <c r="J30" s="126"/>
      <c r="K30" s="129"/>
      <c r="L30" s="126"/>
      <c r="M30" s="129"/>
      <c r="N30" s="128"/>
      <c r="O30" s="18"/>
      <c r="P30"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HYPERLINK("#'6.3.1.1-2 Leach runoff crop'!A1", "6.3.1.1-2 Leach &amp; runoff (crop)")</f>
        <v>6.3.1.1-2 Leach &amp; runoff (crop)</v>
      </c>
      <c r="D31" s="34"/>
      <c r="E31" s="110"/>
      <c r="F31" s="130">
        <f t="shared" si="10"/>
        <v>1000</v>
      </c>
      <c r="G31" s="115">
        <f>Table_Input_InorganicFertiliser_Custom[[#This Row],[Amount applied (kg / ha)]]*Table_Input_InorganicFertiliser_Custom[[#This Row],[Application area (ha)]]</f>
        <v>0</v>
      </c>
      <c r="H31" s="126"/>
      <c r="I31" s="129"/>
      <c r="J31" s="126"/>
      <c r="K31" s="129"/>
      <c r="L31" s="126"/>
      <c r="M31" s="129"/>
      <c r="N31" s="128"/>
      <c r="O31" s="18"/>
      <c r="P31"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HYPERLINK("#'8.1.1.1-2 Transport fuel'!A1", "8.1.1.1-2 Transport fuel")</f>
        <v>8.1.1.1-2 Transport fuel</v>
      </c>
      <c r="D32" s="34"/>
      <c r="E32" s="110"/>
      <c r="F32" s="130">
        <f t="shared" si="10"/>
        <v>1000</v>
      </c>
      <c r="G32" s="115">
        <f>Table_Input_InorganicFertiliser_Custom[[#This Row],[Amount applied (kg / ha)]]*Table_Input_InorganicFertiliser_Custom[[#This Row],[Application area (ha)]]</f>
        <v>0</v>
      </c>
      <c r="H32" s="126"/>
      <c r="I32" s="129"/>
      <c r="J32" s="126"/>
      <c r="K32" s="129"/>
      <c r="L32" s="126"/>
      <c r="M32" s="129"/>
      <c r="N32" s="128"/>
      <c r="O32" s="18"/>
      <c r="P32"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HYPERLINK("#'8.2.1.1-2 Stationary fuel'!A1", "8.2.1.1-2 Stationary fuel")</f>
        <v>8.2.1.1-2 Stationary fuel</v>
      </c>
      <c r="D33" s="34"/>
      <c r="E33" s="110"/>
      <c r="F33" s="130">
        <f t="shared" si="10"/>
        <v>1000</v>
      </c>
      <c r="G33" s="115">
        <f>Table_Input_InorganicFertiliser_Custom[[#This Row],[Amount applied (kg / ha)]]*Table_Input_InorganicFertiliser_Custom[[#This Row],[Application area (ha)]]</f>
        <v>0</v>
      </c>
      <c r="H33" s="126"/>
      <c r="I33" s="129"/>
      <c r="J33" s="126"/>
      <c r="K33" s="129"/>
      <c r="L33" s="126"/>
      <c r="M33" s="129"/>
      <c r="N33" s="128"/>
      <c r="O33" s="18"/>
      <c r="P33"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HYPERLINK("#'10.1.1-2 Solid waste treatment'!A1", "10.1.1.1-2 Solid waste")</f>
        <v>10.1.1.1-2 Solid waste</v>
      </c>
      <c r="D34" s="34"/>
      <c r="E34" s="110"/>
      <c r="F34" s="130">
        <f t="shared" si="10"/>
        <v>1000</v>
      </c>
      <c r="G34" s="115">
        <f>Table_Input_InorganicFertiliser_Custom[[#This Row],[Amount applied (kg / ha)]]*Table_Input_InorganicFertiliser_Custom[[#This Row],[Application area (ha)]]</f>
        <v>0</v>
      </c>
      <c r="H34" s="126"/>
      <c r="I34" s="129"/>
      <c r="J34" s="126"/>
      <c r="K34" s="129"/>
      <c r="L34" s="126"/>
      <c r="M34" s="129"/>
      <c r="N34" s="128"/>
      <c r="O34" s="18"/>
      <c r="P34"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HYPERLINK("#'14.1.1-2 Purchased electricity'!A1", "14.1.1-2 Purchased electricity")</f>
        <v>14.1.1-2 Purchased electricity</v>
      </c>
    </row>
    <row r="36" spans="1:27" ht="20.100000000000001" customHeight="1" x14ac:dyDescent="0.2">
      <c r="A36" s="5" t="str">
        <f>HYPERLINK("#'15 Scope 3'!A1", "15 Scope 3")</f>
        <v>15 Scope 3</v>
      </c>
      <c r="D36" s="2" t="s">
        <v>378</v>
      </c>
      <c r="E36" s="25"/>
      <c r="F36" s="25"/>
      <c r="G36" s="25"/>
      <c r="H36" s="25"/>
      <c r="I36" s="25"/>
      <c r="J36" s="25"/>
      <c r="K36" s="8"/>
      <c r="L36" s="8"/>
      <c r="M36" s="8"/>
    </row>
    <row r="37" spans="1:27" ht="20.100000000000001" customHeight="1" x14ac:dyDescent="0.2">
      <c r="D37" s="105" t="s">
        <v>379</v>
      </c>
      <c r="E37" s="44"/>
      <c r="F37" s="45"/>
      <c r="G37" s="105"/>
      <c r="H37" s="45"/>
      <c r="I37" s="25"/>
      <c r="J37" s="25"/>
      <c r="K37" s="8"/>
      <c r="L37" s="8"/>
      <c r="M37" s="25"/>
    </row>
    <row r="38" spans="1:27" ht="20.100000000000001" customHeight="1" x14ac:dyDescent="0.2">
      <c r="C38" s="122"/>
      <c r="D38" s="131" t="s">
        <v>380</v>
      </c>
      <c r="E38" s="132"/>
      <c r="F38" s="133"/>
      <c r="G38" s="131"/>
      <c r="H38" s="133"/>
      <c r="I38" s="8"/>
      <c r="J38" s="8"/>
      <c r="K38" s="8"/>
      <c r="L38" s="8"/>
      <c r="M38" s="8"/>
    </row>
    <row r="39" spans="1:27" ht="20.100000000000001" customHeight="1" x14ac:dyDescent="0.2">
      <c r="A39" s="82" t="s">
        <v>1</v>
      </c>
      <c r="C39" s="122"/>
      <c r="D39" s="46" t="s">
        <v>336</v>
      </c>
      <c r="E39" s="47"/>
      <c r="F39" s="47"/>
      <c r="G39" s="47"/>
      <c r="H39" s="48"/>
      <c r="I39" s="8"/>
      <c r="J39" s="8"/>
      <c r="K39" s="8"/>
      <c r="L39" s="8"/>
      <c r="M39" s="25"/>
    </row>
    <row r="40" spans="1:27" s="134" customFormat="1" ht="20.100000000000001" customHeight="1" x14ac:dyDescent="0.2">
      <c r="A40" s="5" t="str">
        <f>HYPERLINK("#'Constants - Ag Residue'!A1", "Constants - Ag residue")</f>
        <v>Constants - Ag residue</v>
      </c>
      <c r="C40" s="1"/>
      <c r="D40" s="89"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34" customFormat="1" ht="20.100000000000001" customHeight="1" x14ac:dyDescent="0.2">
      <c r="A41" s="5" t="str">
        <f>HYPERLINK("#'Constants - Electricity'!A1", "Constants - Electricity")</f>
        <v>Constants - Electricity</v>
      </c>
      <c r="C41" s="1"/>
      <c r="D41" s="135" t="s">
        <v>130</v>
      </c>
      <c r="E41" s="135" t="s">
        <v>381</v>
      </c>
      <c r="F41" s="135" t="s">
        <v>341</v>
      </c>
      <c r="G41" s="135" t="s">
        <v>382</v>
      </c>
      <c r="H41" s="135" t="s">
        <v>383</v>
      </c>
      <c r="I41" s="135" t="s">
        <v>384</v>
      </c>
      <c r="J41" s="135" t="s">
        <v>385</v>
      </c>
      <c r="K41" s="135" t="s">
        <v>4</v>
      </c>
      <c r="L41" s="1"/>
      <c r="M41" s="1"/>
      <c r="N41" s="1"/>
      <c r="O41" s="1"/>
      <c r="P41" s="1"/>
      <c r="Q41" s="1"/>
      <c r="R41" s="1"/>
      <c r="S41" s="122"/>
      <c r="T41" s="1"/>
      <c r="U41" s="1"/>
      <c r="V41" s="1"/>
      <c r="W41" s="1"/>
      <c r="X41" s="1"/>
      <c r="Y41" s="1"/>
      <c r="Z41" s="1"/>
      <c r="AA41" s="1"/>
    </row>
    <row r="42" spans="1:27" ht="20.100000000000001" customHeight="1" x14ac:dyDescent="0.2">
      <c r="A42" s="5" t="str">
        <f>HYPERLINK("#'Constants - Fertiliser'!A1", "Constants - Fertiliser")</f>
        <v>Constants - Fertiliser</v>
      </c>
      <c r="D42" s="136" t="s">
        <v>386</v>
      </c>
      <c r="E42" s="113">
        <v>1</v>
      </c>
      <c r="F42" s="113">
        <f>X_Cell_Fertiliser_AreaUnderCropping</f>
        <v>1000</v>
      </c>
      <c r="G42" s="115">
        <f>IFERROR(Table_Input_Lime[[#This Row],[Amount applied (t/hectare)]]*Table_Input_Lime[[#This Row],[Application area (ha)]], 0)</f>
        <v>1000</v>
      </c>
      <c r="H42" s="137">
        <v>0.8</v>
      </c>
      <c r="I42" s="137">
        <v>0.1</v>
      </c>
      <c r="J42" s="137">
        <v>0.1</v>
      </c>
      <c r="K42" s="138">
        <f>SUM(Table_Input_Lime[[#This Row],[Percent Lime CaCO3]:[Percent Gypsum]])</f>
        <v>1</v>
      </c>
      <c r="S42" s="122"/>
    </row>
    <row r="43" spans="1:27" ht="20.100000000000001" customHeight="1" x14ac:dyDescent="0.2">
      <c r="A43" s="5" t="str">
        <f>HYPERLINK("#'Constants - Fuel'!A1", "Constants - Fuel")</f>
        <v>Constants - Fuel</v>
      </c>
      <c r="D43" s="136" t="s">
        <v>387</v>
      </c>
      <c r="E43" s="113">
        <v>1</v>
      </c>
      <c r="F43" s="113">
        <f>X_Cell_Fertiliser_AreaUnderCropping</f>
        <v>1000</v>
      </c>
      <c r="G43" s="115">
        <f>IFERROR(Table_Input_Lime[[#This Row],[Amount applied (t/hectare)]]*Table_Input_Lime[[#This Row],[Application area (ha)]], 0)</f>
        <v>1000</v>
      </c>
      <c r="H43" s="137">
        <v>1</v>
      </c>
      <c r="I43" s="137"/>
      <c r="J43" s="137"/>
      <c r="K43" s="138">
        <f>SUM(Table_Input_Lime[[#This Row],[Percent Lime CaCO3]:[Percent Gypsum]])</f>
        <v>1</v>
      </c>
    </row>
    <row r="44" spans="1:27" ht="20.100000000000001" customHeight="1" x14ac:dyDescent="0.2">
      <c r="A44" s="5" t="str">
        <f>HYPERLINK("#'Constants - Scope 3'!A1", "Constants - Scope 3")</f>
        <v>Constants - Scope 3</v>
      </c>
      <c r="D44" s="136" t="s">
        <v>388</v>
      </c>
      <c r="E44" s="113">
        <v>1</v>
      </c>
      <c r="F44" s="113">
        <f>X_Cell_Fertiliser_AreaUnderCropping</f>
        <v>1000</v>
      </c>
      <c r="G44" s="115">
        <f>IFERROR(Table_Input_Lime[[#This Row],[Amount applied (t/hectare)]]*Table_Input_Lime[[#This Row],[Application area (ha)]], 0)</f>
        <v>1000</v>
      </c>
      <c r="H44" s="137">
        <v>0</v>
      </c>
      <c r="I44" s="137"/>
      <c r="J44" s="137">
        <v>1</v>
      </c>
      <c r="K44" s="138">
        <f>SUM(Table_Input_Lime[[#This Row],[Percent Lime CaCO3]:[Percent Gypsum]])</f>
        <v>1</v>
      </c>
      <c r="L44" s="25"/>
    </row>
    <row r="45" spans="1:27" ht="20.100000000000001" customHeight="1" x14ac:dyDescent="0.2">
      <c r="A45" s="5" t="str">
        <f>HYPERLINK("#'Constants - Solid Waste'!A1", "Constants - Solid Waste")</f>
        <v>Constants - Solid Waste</v>
      </c>
      <c r="L45" s="25"/>
      <c r="M45" s="25"/>
    </row>
    <row r="46" spans="1:27" ht="20.100000000000001" customHeight="1" x14ac:dyDescent="0.2">
      <c r="A46" s="5" t="str">
        <f>HYPERLINK("#'Constants - Common'!A1", "Constants - Common")</f>
        <v>Constants - Common</v>
      </c>
      <c r="D46" s="8"/>
      <c r="E46" s="8"/>
      <c r="F46" s="8"/>
      <c r="G46" s="8"/>
      <c r="H46" s="8"/>
      <c r="I46" s="8"/>
      <c r="J46" s="8"/>
      <c r="L46" s="8"/>
      <c r="M46" s="25"/>
    </row>
    <row r="47" spans="1:27" ht="20.100000000000001" customHeight="1" x14ac:dyDescent="0.2">
      <c r="A47" s="5" t="str">
        <f>HYPERLINK("#'Constants - Common Livestock'!A1", "Constants - Common Livestock")</f>
        <v>Constants - Common Livestock</v>
      </c>
      <c r="D47" s="8"/>
      <c r="E47" s="8"/>
      <c r="F47" s="8"/>
      <c r="G47" s="8"/>
      <c r="H47" s="8"/>
      <c r="I47" s="8"/>
      <c r="J47" s="139"/>
      <c r="K47" s="25"/>
      <c r="L47" s="8"/>
      <c r="M47" s="8"/>
    </row>
    <row r="48" spans="1:27" ht="20.100000000000001" customHeight="1" x14ac:dyDescent="0.2">
      <c r="D48" s="2" t="s">
        <v>389</v>
      </c>
      <c r="E48" s="25"/>
      <c r="F48" s="25"/>
      <c r="G48" s="25"/>
      <c r="H48" s="8"/>
      <c r="I48" s="8"/>
      <c r="J48" s="8"/>
      <c r="K48" s="8"/>
      <c r="L48" s="8"/>
      <c r="M48" s="8"/>
    </row>
    <row r="49" spans="4:18" ht="20.100000000000001" customHeight="1" x14ac:dyDescent="0.2">
      <c r="D49" s="8"/>
      <c r="E49" s="8"/>
      <c r="F49" s="8"/>
      <c r="G49" s="8"/>
      <c r="H49" s="8"/>
      <c r="I49" s="8"/>
      <c r="J49" s="8"/>
      <c r="K49" s="8"/>
      <c r="L49" s="8"/>
      <c r="M49" s="8"/>
      <c r="Q49" s="122"/>
      <c r="R49" s="122"/>
    </row>
    <row r="50" spans="4:18" ht="20.100000000000001" customHeight="1" x14ac:dyDescent="0.2">
      <c r="D50" s="105" t="s">
        <v>379</v>
      </c>
      <c r="E50" s="44"/>
      <c r="F50" s="44"/>
      <c r="G50" s="44"/>
      <c r="H50" s="45"/>
      <c r="I50" s="8"/>
      <c r="J50" s="8"/>
      <c r="K50" s="8"/>
      <c r="L50" s="8"/>
      <c r="M50" s="8"/>
      <c r="O50" s="122"/>
      <c r="P50" s="122"/>
      <c r="Q50" s="122"/>
      <c r="R50" s="122"/>
    </row>
    <row r="51" spans="4:18" ht="20.100000000000001" customHeight="1" x14ac:dyDescent="0.2">
      <c r="D51" s="46" t="s">
        <v>336</v>
      </c>
      <c r="E51" s="47"/>
      <c r="F51" s="47"/>
      <c r="G51" s="47"/>
      <c r="H51" s="48"/>
      <c r="I51" s="8"/>
      <c r="J51" s="8"/>
      <c r="K51" s="8"/>
      <c r="L51" s="124"/>
      <c r="M51" s="122"/>
      <c r="N51" s="122"/>
      <c r="O51" s="122"/>
      <c r="P51" s="122"/>
    </row>
    <row r="52" spans="4:18" ht="20.100000000000001" customHeight="1" x14ac:dyDescent="0.2">
      <c r="D52" s="8"/>
      <c r="E52" s="8"/>
      <c r="F52" s="8"/>
      <c r="G52" s="8"/>
      <c r="H52" s="8"/>
      <c r="I52" s="8"/>
      <c r="J52" s="8"/>
      <c r="K52" s="8"/>
      <c r="L52" s="124"/>
      <c r="M52" s="122"/>
      <c r="N52" s="122"/>
    </row>
    <row r="53" spans="4:18" ht="20.100000000000001" customHeight="1" x14ac:dyDescent="0.2">
      <c r="D53" s="135" t="s">
        <v>390</v>
      </c>
      <c r="E53" s="135" t="s">
        <v>391</v>
      </c>
      <c r="F53" s="135" t="s">
        <v>392</v>
      </c>
      <c r="G53" s="135" t="s">
        <v>393</v>
      </c>
      <c r="H53" s="135" t="s">
        <v>341</v>
      </c>
      <c r="I53" s="135" t="s">
        <v>394</v>
      </c>
      <c r="J53" s="135" t="s">
        <v>395</v>
      </c>
      <c r="K53" s="124"/>
    </row>
    <row r="54" spans="4:18" ht="20.100000000000001" customHeight="1" x14ac:dyDescent="0.2">
      <c r="D54" s="112" t="s">
        <v>396</v>
      </c>
      <c r="E54" s="137">
        <v>0.3</v>
      </c>
      <c r="F54" s="113">
        <v>10</v>
      </c>
      <c r="G54" s="115">
        <f>Table_Input_OrganicFertiliser[[#This Row],[Amount applied (kg/hectare)]]*Table_Input_OrganicFertiliser[[#This Row],[Percentage of N in fertiliser]]</f>
        <v>3</v>
      </c>
      <c r="H54" s="113">
        <f>X_Cell_Fertiliser_AreaUnderCropping</f>
        <v>1000</v>
      </c>
      <c r="I54" s="115">
        <f>Table_Input_OrganicFertiliser[[#This Row],[Amount applied (kg/hectare)]]*Table_Input_OrganicFertiliser[[#This Row],[Application area (ha)]]</f>
        <v>10000</v>
      </c>
      <c r="J54" s="115">
        <f>IFERROR(Table_Input_OrganicFertiliser[[#This Row],[Amount N applied (kg/hectare)]]*Table_Input_OrganicFertiliser[[#This Row],[Application area (ha)]], 0)</f>
        <v>3000</v>
      </c>
      <c r="K54" s="124"/>
    </row>
    <row r="55" spans="4:18" ht="20.100000000000001" customHeight="1" x14ac:dyDescent="0.2">
      <c r="D55" s="112" t="s">
        <v>397</v>
      </c>
      <c r="E55" s="137">
        <v>0.25</v>
      </c>
      <c r="F55" s="113">
        <v>10</v>
      </c>
      <c r="G55" s="115">
        <f>Table_Input_OrganicFertiliser[[#This Row],[Amount applied (kg/hectare)]]*Table_Input_OrganicFertiliser[[#This Row],[Percentage of N in fertiliser]]</f>
        <v>2.5</v>
      </c>
      <c r="H55" s="113">
        <f>X_Cell_Fertiliser_AreaUnderCropping</f>
        <v>1000</v>
      </c>
      <c r="I55" s="115">
        <f>Table_Input_OrganicFertiliser[[#This Row],[Amount applied (kg/hectare)]]*Table_Input_OrganicFertiliser[[#This Row],[Application area (ha)]]</f>
        <v>10000</v>
      </c>
      <c r="J55" s="115">
        <f>IFERROR(Table_Input_OrganicFertiliser[[#This Row],[Amount N applied (kg/hectare)]]*Table_Input_OrganicFertiliser[[#This Row],[Application area (ha)]], 0)</f>
        <v>2500</v>
      </c>
    </row>
    <row r="56" spans="4:18" ht="20.100000000000001" customHeight="1" x14ac:dyDescent="0.2">
      <c r="D56" s="112" t="s">
        <v>398</v>
      </c>
      <c r="E56" s="137">
        <v>0.16</v>
      </c>
      <c r="F56" s="113">
        <v>10</v>
      </c>
      <c r="G56" s="115">
        <f>Table_Input_OrganicFertiliser[[#This Row],[Amount applied (kg/hectare)]]*Table_Input_OrganicFertiliser[[#This Row],[Percentage of N in fertiliser]]</f>
        <v>1.6</v>
      </c>
      <c r="H56" s="113">
        <f>X_Cell_Fertiliser_AreaUnderCropping</f>
        <v>1000</v>
      </c>
      <c r="I56" s="115">
        <f>Table_Input_OrganicFertiliser[[#This Row],[Amount applied (kg/hectare)]]*Table_Input_OrganicFertiliser[[#This Row],[Application area (ha)]]</f>
        <v>10000</v>
      </c>
      <c r="J56" s="115">
        <f>IFERROR(Table_Input_OrganicFertiliser[[#This Row],[Amount N applied (kg/hectare)]]*Table_Input_OrganicFertiliser[[#This Row],[Application area (ha)]], 0)</f>
        <v>1600</v>
      </c>
    </row>
    <row r="126" spans="13:13" ht="20.100000000000001" customHeight="1" x14ac:dyDescent="0.2">
      <c r="M126" s="25"/>
    </row>
    <row r="127" spans="13:13" ht="20.100000000000001" customHeight="1" x14ac:dyDescent="0.2">
      <c r="M127" s="25"/>
    </row>
    <row r="128" spans="13:13" ht="20.100000000000001" customHeight="1" x14ac:dyDescent="0.2">
      <c r="M128" s="25"/>
    </row>
    <row r="129" spans="13:13" ht="20.100000000000001" customHeight="1" x14ac:dyDescent="0.2">
      <c r="M129" s="25"/>
    </row>
    <row r="130" spans="13:13" ht="20.100000000000001" customHeight="1" x14ac:dyDescent="0.2">
      <c r="M130" s="25"/>
    </row>
    <row r="131" spans="13:13" ht="20.100000000000001" customHeight="1" x14ac:dyDescent="0.2">
      <c r="M131" s="25"/>
    </row>
    <row r="132" spans="13:13" ht="20.100000000000001" customHeight="1" x14ac:dyDescent="0.2">
      <c r="M132" s="25"/>
    </row>
    <row r="133" spans="13:13" ht="20.100000000000001" customHeight="1" x14ac:dyDescent="0.2">
      <c r="M133" s="25"/>
    </row>
    <row r="134" spans="13:13" ht="20.100000000000001" customHeight="1" x14ac:dyDescent="0.2">
      <c r="M134" s="25"/>
    </row>
    <row r="135" spans="13:13" ht="20.100000000000001" customHeight="1" x14ac:dyDescent="0.2">
      <c r="M135" s="25"/>
    </row>
    <row r="136" spans="13:13" ht="20.100000000000001" customHeight="1" x14ac:dyDescent="0.2">
      <c r="M136" s="25"/>
    </row>
    <row r="137" spans="13:13" ht="20.100000000000001" customHeight="1" x14ac:dyDescent="0.2">
      <c r="M137" s="25"/>
    </row>
    <row r="138" spans="13:13" ht="20.100000000000001" customHeight="1" x14ac:dyDescent="0.2">
      <c r="M138" s="25"/>
    </row>
    <row r="139" spans="13:13" ht="20.100000000000001" customHeight="1" x14ac:dyDescent="0.2">
      <c r="M139" s="25"/>
    </row>
    <row r="140" spans="13:13" ht="20.100000000000001" customHeight="1" x14ac:dyDescent="0.2">
      <c r="M140" s="25"/>
    </row>
    <row r="141" spans="13:13" ht="20.100000000000001" customHeight="1" x14ac:dyDescent="0.2">
      <c r="M141" s="25"/>
    </row>
    <row r="142" spans="13:13" ht="20.100000000000001" customHeight="1" x14ac:dyDescent="0.2">
      <c r="M142" s="25"/>
    </row>
    <row r="143" spans="13:13" ht="20.100000000000001" customHeight="1" x14ac:dyDescent="0.2">
      <c r="M143" s="25"/>
    </row>
    <row r="144" spans="13:13" ht="20.100000000000001" customHeight="1" x14ac:dyDescent="0.2">
      <c r="M144" s="25"/>
    </row>
    <row r="145" spans="13:13" ht="20.100000000000001" customHeight="1" x14ac:dyDescent="0.2">
      <c r="M145" s="25"/>
    </row>
    <row r="146" spans="13:13" ht="20.100000000000001" customHeight="1" x14ac:dyDescent="0.2">
      <c r="M146" s="25"/>
    </row>
    <row r="147" spans="13:13" ht="20.100000000000001" customHeight="1" x14ac:dyDescent="0.2">
      <c r="M147" s="25"/>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9"/>
    </row>
  </sheetData>
  <conditionalFormatting sqref="F155:F156">
    <cfRule type="cellIs" dxfId="77" priority="15" operator="lessThan">
      <formula>0</formula>
    </cfRule>
  </conditionalFormatting>
  <conditionalFormatting sqref="F167:F168">
    <cfRule type="cellIs" dxfId="76" priority="14" operator="lessThan">
      <formula>0</formula>
    </cfRule>
  </conditionalFormatting>
  <conditionalFormatting sqref="F179:F180">
    <cfRule type="cellIs" dxfId="75" priority="13" operator="lessThan">
      <formula>0</formula>
    </cfRule>
  </conditionalFormatting>
  <conditionalFormatting sqref="F267:F268">
    <cfRule type="cellIs" dxfId="74" priority="26" operator="lessThan">
      <formula>0</formula>
    </cfRule>
  </conditionalFormatting>
  <conditionalFormatting sqref="F272:F273">
    <cfRule type="cellIs" dxfId="73" priority="25" operator="lessThan">
      <formula>0</formula>
    </cfRule>
  </conditionalFormatting>
  <conditionalFormatting sqref="F277:F278">
    <cfRule type="cellIs" dxfId="72" priority="24" operator="lessThan">
      <formula>0</formula>
    </cfRule>
  </conditionalFormatting>
  <conditionalFormatting sqref="F301:F302">
    <cfRule type="cellIs" dxfId="71" priority="23" operator="lessThan">
      <formula>0</formula>
    </cfRule>
  </conditionalFormatting>
  <conditionalFormatting sqref="F306:F307">
    <cfRule type="cellIs" dxfId="70" priority="22" operator="lessThan">
      <formula>0</formula>
    </cfRule>
  </conditionalFormatting>
  <conditionalFormatting sqref="F311:F312">
    <cfRule type="cellIs" dxfId="69" priority="21" operator="lessThan">
      <formula>0</formula>
    </cfRule>
  </conditionalFormatting>
  <conditionalFormatting sqref="H53 F143:F144">
    <cfRule type="cellIs" dxfId="6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7" priority="20" operator="lessThan">
      <formula>0</formula>
    </cfRule>
  </conditionalFormatting>
  <conditionalFormatting sqref="I41:I44 I46:I47 F58 I75:I78 L198 K200 L202:L203 K204:K205 L206:L207 K208:K209 L212:L213 K214:K215 L216:L217 K218:K219 L223:L228 K225">
    <cfRule type="cellIs" dxfId="66" priority="18" operator="lessThan">
      <formula>0</formula>
    </cfRule>
  </conditionalFormatting>
  <conditionalFormatting sqref="I82 M119 I141:J141">
    <cfRule type="cellIs" dxfId="65" priority="19" operator="lessThan">
      <formula>0</formula>
    </cfRule>
  </conditionalFormatting>
  <conditionalFormatting sqref="I93:I95">
    <cfRule type="cellIs" dxfId="64" priority="3" operator="lessThan">
      <formula>0</formula>
    </cfRule>
  </conditionalFormatting>
  <conditionalFormatting sqref="I99:I102">
    <cfRule type="cellIs" dxfId="63" priority="2" operator="lessThan">
      <formula>0</formula>
    </cfRule>
  </conditionalFormatting>
  <conditionalFormatting sqref="I106:I110">
    <cfRule type="cellIs" dxfId="62" priority="1" operator="lessThan">
      <formula>0</formula>
    </cfRule>
  </conditionalFormatting>
  <conditionalFormatting sqref="J169">
    <cfRule type="cellIs" dxfId="61" priority="17" operator="lessThan">
      <formula>0</formula>
    </cfRule>
  </conditionalFormatting>
  <conditionalFormatting sqref="L131:L134">
    <cfRule type="cellIs" dxfId="60" priority="7" operator="lessThan">
      <formula>0</formula>
    </cfRule>
  </conditionalFormatting>
  <conditionalFormatting sqref="L137">
    <cfRule type="cellIs" dxfId="59" priority="12" operator="lessThan">
      <formula>0</formula>
    </cfRule>
  </conditionalFormatting>
  <conditionalFormatting sqref="L143:L146">
    <cfRule type="cellIs" dxfId="58" priority="6" operator="lessThan">
      <formula>0</formula>
    </cfRule>
  </conditionalFormatting>
  <conditionalFormatting sqref="L149">
    <cfRule type="cellIs" dxfId="57" priority="11" operator="lessThan">
      <formula>0</formula>
    </cfRule>
  </conditionalFormatting>
  <conditionalFormatting sqref="L155:L158">
    <cfRule type="cellIs" dxfId="56" priority="5" operator="lessThan">
      <formula>0</formula>
    </cfRule>
  </conditionalFormatting>
  <conditionalFormatting sqref="L161">
    <cfRule type="cellIs" dxfId="55" priority="10" operator="lessThan">
      <formula>0</formula>
    </cfRule>
  </conditionalFormatting>
  <conditionalFormatting sqref="L167:L170">
    <cfRule type="cellIs" dxfId="54" priority="4" operator="lessThan">
      <formula>0</formula>
    </cfRule>
  </conditionalFormatting>
  <conditionalFormatting sqref="L173">
    <cfRule type="cellIs" dxfId="53" priority="9" operator="lessThan">
      <formula>0</formula>
    </cfRule>
  </conditionalFormatting>
  <conditionalFormatting sqref="L177:L178">
    <cfRule type="cellIs" dxfId="52" priority="8" operator="lessThan">
      <formula>0</formula>
    </cfRule>
  </conditionalFormatting>
  <conditionalFormatting sqref="L230 L232:L235 L237 J245:J247 J250:J252">
    <cfRule type="cellIs" dxfId="51" priority="27" operator="lessThan">
      <formula>0</formula>
    </cfRule>
  </conditionalFormatting>
  <dataValidations count="9">
    <dataValidation type="list" allowBlank="1" showInputMessage="1" showErrorMessage="1" sqref="D12:D21" xr:uid="{8EA9617A-A5AE-47E6-870C-5BFA44CB0B75}">
      <formula1>INDIRECT("FertiliserProducts[Product]")</formula1>
    </dataValidation>
    <dataValidation type="list" allowBlank="1" showInputMessage="1" showErrorMessage="1" sqref="Q25:R34" xr:uid="{D46CDE14-D0ED-42B5-A2D4-EADDBB68606C}">
      <formula1>INDIRECT("Table_SourceData_Fertiliser_UreaAmmoniaSources[Source]")</formula1>
    </dataValidation>
    <dataValidation type="list" allowBlank="1" showInputMessage="1" showErrorMessage="1" sqref="D54:D56" xr:uid="{74A90D25-5D33-4630-8102-9D90A78F0319}">
      <formula1>INDIRECT("Table_SourceData_OrganicFertiliserTypes[Organic fertiliser type]")</formula1>
    </dataValidation>
    <dataValidation type="list" allowBlank="1" showInputMessage="1" showErrorMessage="1" sqref="H25:H34 J25:J34 L25:L34 N25:N34" xr:uid="{9377505E-D3BB-47F6-AC8C-B371E88B5F7C}">
      <formula1>INDIRECT("Table_Fertiliser_ChemicalCompounds[Fertiliser type f]")</formula1>
    </dataValidation>
    <dataValidation type="list" allowBlank="1" showInputMessage="1" showErrorMessage="1" sqref="E81" xr:uid="{CA5667DF-2202-42A3-BD94-240C52E5D710}">
      <formula1>INDIRECT("Table_SourceData_Swine_CropProdSystems[Production system]")</formula1>
    </dataValidation>
    <dataValidation type="list" allowBlank="1" showInputMessage="1" showErrorMessage="1" sqref="E82" xr:uid="{92CEB16F-0566-4D47-9910-8828594E10E8}">
      <formula1>INDIRECT("Table_SourceData_Swine_IrrigationMethods[Irrigation method]")</formula1>
    </dataValidation>
    <dataValidation type="list" allowBlank="1" showInputMessage="1" showErrorMessage="1" sqref="E266 E271 E276 E310 E305 E300 E178 E166 E142 E154" xr:uid="{3D725C2A-6DC7-4ED0-AD56-A26F5D0F3615}">
      <formula1>"Yes, No"</formula1>
    </dataValidation>
    <dataValidation type="list" allowBlank="1" showInputMessage="1" showErrorMessage="1" sqref="E242" xr:uid="{AE0BDD6C-8749-44DF-8BA3-B123976F2CEC}">
      <formula1>INDIRECT("Table_SourceData_Dairy_ProductionSystemTemplates[Area]")</formula1>
    </dataValidation>
    <dataValidation type="list" allowBlank="1" showInputMessage="1" showErrorMessage="1" sqref="D294" xr:uid="{54263601-C09A-4626-968D-664D9E4DADC1}">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00CEE-FDD3-447C-B02A-700B51F78E5C}">
  <sheetPr>
    <tabColor theme="5" tint="-0.249977111117893"/>
  </sheetPr>
  <dimension ref="A1:K346"/>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576</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2" t="s">
        <v>577</v>
      </c>
      <c r="E5" s="25"/>
      <c r="F5" s="25"/>
      <c r="G5" s="25"/>
      <c r="H5" s="25"/>
    </row>
    <row r="6" spans="1:11" ht="20.100000000000001" customHeight="1" x14ac:dyDescent="0.2">
      <c r="D6" s="8"/>
      <c r="E6" s="8"/>
      <c r="F6" s="8"/>
      <c r="G6" s="8"/>
      <c r="H6" s="8"/>
      <c r="I6" s="8"/>
      <c r="J6" s="8"/>
    </row>
    <row r="7" spans="1:11" ht="20.100000000000001" customHeight="1" x14ac:dyDescent="0.2">
      <c r="D7" s="1" t="s">
        <v>578</v>
      </c>
    </row>
    <row r="8" spans="1:11" ht="20.100000000000001" customHeight="1" x14ac:dyDescent="0.2">
      <c r="A8" s="7" t="s">
        <v>0</v>
      </c>
      <c r="D8" s="1" t="s">
        <v>579</v>
      </c>
    </row>
    <row r="9" spans="1:11" ht="20.100000000000001" customHeight="1" x14ac:dyDescent="0.2">
      <c r="A9" s="5" t="str">
        <f>HYPERLINK("#'Input - Enterprise'!A1", "Enterprise")</f>
        <v>Enterprise</v>
      </c>
      <c r="D9" s="1" t="s">
        <v>580</v>
      </c>
    </row>
    <row r="10" spans="1:11" ht="20.100000000000001" customHeight="1" x14ac:dyDescent="0.2">
      <c r="A10" s="5" t="str">
        <f>HYPERLINK("#'Input - Site'!A1", "Site")</f>
        <v>Site</v>
      </c>
    </row>
    <row r="11" spans="1:11" ht="20.100000000000001" customHeight="1" x14ac:dyDescent="0.2">
      <c r="A11" s="5" t="str">
        <f>HYPERLINK("#'Input - Crop'!A1", "Crop")</f>
        <v>Crop</v>
      </c>
      <c r="D11" s="1" t="s">
        <v>581</v>
      </c>
      <c r="E11" s="13" t="s">
        <v>582</v>
      </c>
      <c r="F11" s="16" t="s">
        <v>100</v>
      </c>
    </row>
    <row r="12" spans="1:11" ht="20.100000000000001" customHeight="1" x14ac:dyDescent="0.2">
      <c r="A12" s="5" t="str">
        <f>HYPERLINK("#'Input - Fert Prod System'!A1", "Fert Prod System")</f>
        <v>Fert Prod System</v>
      </c>
    </row>
    <row r="13" spans="1:11" ht="20.100000000000001" customHeight="1" x14ac:dyDescent="0.2">
      <c r="A13" s="5" t="str">
        <f>HYPERLINK("#'Input - Fertiliser'!A1", "Fertiliser")</f>
        <v>Fertiliser</v>
      </c>
      <c r="D13" s="105" t="s">
        <v>549</v>
      </c>
      <c r="E13" s="44"/>
      <c r="F13" s="44"/>
      <c r="G13" s="44"/>
      <c r="H13" s="45"/>
    </row>
    <row r="14" spans="1:11" ht="20.100000000000001" customHeight="1" x14ac:dyDescent="0.2">
      <c r="A14" s="108" t="str">
        <f>HYPERLINK("#'Input - Fuel'!A1", "Fuel")</f>
        <v>Fuel</v>
      </c>
      <c r="D14" s="46" t="s">
        <v>583</v>
      </c>
      <c r="E14" s="47"/>
      <c r="F14" s="47"/>
      <c r="G14" s="47"/>
      <c r="H14" s="48"/>
    </row>
    <row r="15" spans="1:11" ht="20.100000000000001" customHeight="1" x14ac:dyDescent="0.2">
      <c r="A15" s="5" t="str">
        <f>HYPERLINK("#'Input - Electricity'!A1", "Electricity")</f>
        <v>Electricity</v>
      </c>
      <c r="D15" s="8"/>
      <c r="E15" s="8"/>
      <c r="F15" s="8"/>
      <c r="G15" s="8"/>
      <c r="H15" s="8"/>
      <c r="I15" s="8"/>
      <c r="J15" s="8"/>
    </row>
    <row r="16" spans="1:11" ht="20.100000000000001" customHeight="1" x14ac:dyDescent="0.2">
      <c r="A16" s="5" t="str">
        <f>HYPERLINK("#'Input - Common farm inputs'!A1", "Common farm inputs")</f>
        <v>Common farm inputs</v>
      </c>
      <c r="D16" s="80" t="s">
        <v>584</v>
      </c>
      <c r="E16" s="80" t="s">
        <v>585</v>
      </c>
      <c r="F16" s="80" t="s">
        <v>586</v>
      </c>
      <c r="G16" s="80" t="s">
        <v>587</v>
      </c>
      <c r="H16" s="80" t="s">
        <v>588</v>
      </c>
      <c r="I16" s="80" t="s">
        <v>589</v>
      </c>
      <c r="J16" s="80" t="s">
        <v>590</v>
      </c>
    </row>
    <row r="17" spans="1:10" ht="20.100000000000001" customHeight="1" x14ac:dyDescent="0.2">
      <c r="A17" s="5" t="str">
        <f>HYPERLINK("#'Input - Crop pasture farm input'!A1", "Crop pasture farm input")</f>
        <v>Crop pasture farm input</v>
      </c>
      <c r="D17" s="13" t="s">
        <v>591</v>
      </c>
      <c r="E17" s="13" t="s">
        <v>592</v>
      </c>
      <c r="F17" s="179">
        <v>100</v>
      </c>
      <c r="G17" s="15" t="str" cm="1">
        <f t="array" ref="G17">Common_InputFunctions.Utility_LookupValueInTable(Table_Input_Fuel[[#This Row],[Fuel type (select)]],Table_FuelTypes_Units[Fuel type], Table_FuelTypes_Units[Input Unit])</f>
        <v>GJ</v>
      </c>
      <c r="H17" s="180">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Freight'!A1", "Freight")</f>
        <v>Freight</v>
      </c>
      <c r="D18" s="13" t="s">
        <v>591</v>
      </c>
      <c r="E18" s="13" t="s">
        <v>593</v>
      </c>
      <c r="F18" s="179">
        <v>10000</v>
      </c>
      <c r="G18" s="15" t="str" cm="1">
        <f t="array" ref="G18">Common_InputFunctions.Utility_LookupValueInTable(Table_Input_Fuel[[#This Row],[Fuel type (select)]],Table_FuelTypes_Units[Fuel type], Table_FuelTypes_Units[Input Unit])</f>
        <v>L</v>
      </c>
      <c r="H18" s="181">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Solid waste'!A1", "Solid waste")</f>
        <v>Solid waste</v>
      </c>
      <c r="D19" s="13" t="s">
        <v>594</v>
      </c>
      <c r="E19" s="13" t="s">
        <v>595</v>
      </c>
      <c r="F19" s="179">
        <v>10000</v>
      </c>
      <c r="G19" s="15" t="str" cm="1">
        <f t="array" ref="G19">Common_InputFunctions.Utility_LookupValueInTable(Table_Input_Fuel[[#This Row],[Fuel type (select)]],Table_FuelTypes_Units[Fuel type], Table_FuelTypes_Units[Input Unit])</f>
        <v>L</v>
      </c>
      <c r="H19" s="181">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Data quality'!A1", "Data quality")</f>
        <v>Data quality</v>
      </c>
      <c r="D20" s="13" t="s">
        <v>596</v>
      </c>
      <c r="E20" s="13" t="s">
        <v>595</v>
      </c>
      <c r="F20" s="179">
        <v>10000</v>
      </c>
      <c r="G20" s="15" t="str" cm="1">
        <f t="array" ref="G20">Common_InputFunctions.Utility_LookupValueInTable(Table_Input_Fuel[[#This Row],[Fuel type (select)]],Table_FuelTypes_Units[Fuel type], Table_FuelTypes_Units[Input Unit])</f>
        <v>L</v>
      </c>
      <c r="H20" s="181">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D21" s="86" t="s">
        <v>597</v>
      </c>
      <c r="E21" s="86" t="s">
        <v>598</v>
      </c>
      <c r="F21" s="179">
        <v>10000</v>
      </c>
      <c r="G21" s="182" t="str" cm="1">
        <f t="array" ref="G21">Common_InputFunctions.Utility_LookupValueInTable(Table_Input_Fuel[[#This Row],[Fuel type (select)]],Table_FuelTypes_Units[Fuel type], Table_FuelTypes_Units[Input Unit])</f>
        <v>L</v>
      </c>
      <c r="H21" s="183">
        <f>1</f>
        <v>1</v>
      </c>
      <c r="I21" s="182">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3" spans="1:10" ht="20.100000000000001" customHeight="1" x14ac:dyDescent="0.2">
      <c r="A23" s="6" t="s">
        <v>2</v>
      </c>
    </row>
    <row r="24" spans="1:10" ht="20.100000000000001" customHeight="1" x14ac:dyDescent="0.2">
      <c r="A24" s="5" t="str">
        <f>HYPERLINK("#'5.1.1.1-2 Inorganic fert N2O'!A1", "5.1.1.1-2 Inorganic fert N2O")</f>
        <v>5.1.1.1-2 Inorganic fert N2O</v>
      </c>
    </row>
    <row r="25" spans="1:10" ht="20.100000000000001" customHeight="1" x14ac:dyDescent="0.2">
      <c r="A25" s="5" t="str">
        <f>HYPERLINK("#'5.1.1.3-4 Inorganic fert CO2'!A1", "5.1.1.3-4 Inorganic fert CO2")</f>
        <v>5.1.1.3-4 Inorganic fert CO2</v>
      </c>
    </row>
    <row r="26" spans="1:10" ht="20.100000000000001" customHeight="1" x14ac:dyDescent="0.2">
      <c r="A26" s="5" t="str">
        <f>HYPERLINK("#'5.2.1.1-2 Organic Fert N2O'!A1", "5.2.1.1-2 Organic fert N2O")</f>
        <v>5.2.1.1-2 Organic fert N2O</v>
      </c>
    </row>
    <row r="27" spans="1:10" ht="20.100000000000001" customHeight="1" x14ac:dyDescent="0.2">
      <c r="A27" s="5" t="str">
        <f>HYPERLINK("#'5.3.1.1-2 Lime CO2'!A1", "5.3.1.1-2 Lime CO2")</f>
        <v>5.3.1.1-2 Lime CO2</v>
      </c>
    </row>
    <row r="28" spans="1:10" ht="20.100000000000001" customHeight="1" x14ac:dyDescent="0.2">
      <c r="A28" s="5" t="str">
        <f>HYPERLINK("#'5.4.1.1-4 Atmos deposition'!A1", "5.4.1.1-4 Atmos. deposition")</f>
        <v>5.4.1.1-4 Atmos. deposition</v>
      </c>
    </row>
    <row r="29" spans="1:10" ht="20.100000000000001" customHeight="1" x14ac:dyDescent="0.2">
      <c r="A29" s="5" t="str">
        <f>HYPERLINK("#'5.5.1.1-2 Leaching and runoff'!A1", "5.5.1.1-2 Leaching &amp; runoff")</f>
        <v>5.5.1.1-2 Leaching &amp; runoff</v>
      </c>
    </row>
    <row r="30" spans="1:10" ht="20.100000000000001" customHeight="1" x14ac:dyDescent="0.2">
      <c r="A30" s="5" t="str">
        <f>HYPERLINK("#'6.1.1.1-2 Crop residue N2O'!A1", "6.1.1.1-2 Crop residue N2O")</f>
        <v>6.1.1.1-2 Crop residue N2O</v>
      </c>
    </row>
    <row r="31" spans="1:10" ht="20.100000000000001" customHeight="1" x14ac:dyDescent="0.2">
      <c r="A31" s="5" t="str">
        <f>HYPERLINK("#'6.3.1.1-2 Leach runoff crop'!A1", "6.3.1.1-2 Leach &amp; runoff (crop)")</f>
        <v>6.3.1.1-2 Leach &amp; runoff (crop)</v>
      </c>
    </row>
    <row r="32" spans="1:10" ht="20.100000000000001" customHeight="1" x14ac:dyDescent="0.2">
      <c r="A32" s="5" t="str">
        <f>HYPERLINK("#'8.1.1.1-2 Transport fuel'!A1", "8.1.1.1-2 Transport fuel")</f>
        <v>8.1.1.1-2 Transport fuel</v>
      </c>
    </row>
    <row r="33" spans="1:11" ht="20.100000000000001" customHeight="1" x14ac:dyDescent="0.2">
      <c r="A33" s="5" t="str">
        <f>HYPERLINK("#'8.2.1.1-2 Stationary fuel'!A1", "8.2.1.1-2 Stationary fuel")</f>
        <v>8.2.1.1-2 Stationary fuel</v>
      </c>
    </row>
    <row r="34" spans="1:11" ht="20.100000000000001" customHeight="1" x14ac:dyDescent="0.2">
      <c r="A34" s="5" t="str">
        <f>HYPERLINK("#'10.1.1-2 Solid waste treatment'!A1", "10.1.1.1-2 Solid waste")</f>
        <v>10.1.1.1-2 Solid waste</v>
      </c>
    </row>
    <row r="35" spans="1:11" ht="20.100000000000001" customHeight="1" x14ac:dyDescent="0.2">
      <c r="A35" s="5" t="str">
        <f>HYPERLINK("#'14.1.1-2 Purchased electricity'!A1", "14.1.1-2 Purchased electricity")</f>
        <v>14.1.1-2 Purchased electricity</v>
      </c>
    </row>
    <row r="36" spans="1:11" ht="20.100000000000001" customHeight="1" x14ac:dyDescent="0.2">
      <c r="A36" s="5" t="str">
        <f>HYPERLINK("#'15 Scope 3'!A1", "15 Scope 3")</f>
        <v>15 Scope 3</v>
      </c>
    </row>
    <row r="38" spans="1:11" ht="20.100000000000001" customHeight="1" x14ac:dyDescent="0.2">
      <c r="C38" s="122"/>
      <c r="K38" s="122"/>
    </row>
    <row r="39" spans="1:11" ht="20.100000000000001" customHeight="1" x14ac:dyDescent="0.2">
      <c r="A39" s="82" t="s">
        <v>1</v>
      </c>
      <c r="C39" s="122"/>
      <c r="K39" s="122"/>
    </row>
    <row r="40" spans="1:11" s="134" customFormat="1" ht="20.100000000000001" customHeight="1" x14ac:dyDescent="0.2">
      <c r="A40" s="5" t="str">
        <f>HYPERLINK("#'Constants - Ag Residue'!A1", "Constants - Ag residue")</f>
        <v>Constants - Ag residue</v>
      </c>
      <c r="C40" s="1"/>
      <c r="D40" s="1"/>
      <c r="E40" s="1"/>
      <c r="F40" s="1"/>
      <c r="G40" s="1"/>
      <c r="H40" s="1"/>
      <c r="I40" s="1"/>
      <c r="J40" s="1"/>
      <c r="K40" s="1"/>
    </row>
    <row r="41" spans="1:11" s="134" customFormat="1" ht="20.100000000000001" customHeight="1" x14ac:dyDescent="0.2">
      <c r="A41" s="5" t="str">
        <f>HYPERLINK("#'Constants - Electricity'!A1", "Constants - Electricity")</f>
        <v>Constants - Electricity</v>
      </c>
      <c r="C41" s="1"/>
      <c r="D41" s="1"/>
      <c r="E41" s="1"/>
      <c r="F41" s="1"/>
      <c r="G41" s="1"/>
      <c r="H41" s="1"/>
      <c r="I41" s="1"/>
      <c r="J41" s="1"/>
      <c r="K41" s="1"/>
    </row>
    <row r="42" spans="1:11" ht="20.100000000000001" customHeight="1" x14ac:dyDescent="0.2">
      <c r="A42" s="5" t="str">
        <f>HYPERLINK("#'Constants - Fertiliser'!A1", "Constants - Fertiliser")</f>
        <v>Constants - Fertiliser</v>
      </c>
    </row>
    <row r="43" spans="1:11" ht="20.100000000000001" customHeight="1" x14ac:dyDescent="0.2">
      <c r="A43" s="5" t="str">
        <f>HYPERLINK("#'Constants - Fuel'!A1", "Constants - Fuel")</f>
        <v>Constants - Fuel</v>
      </c>
    </row>
    <row r="44" spans="1:11" ht="20.100000000000001" customHeight="1" x14ac:dyDescent="0.2">
      <c r="A44" s="5" t="str">
        <f>HYPERLINK("#'Constants - Scope 3'!A1", "Constants - Scope 3")</f>
        <v>Constants - Scope 3</v>
      </c>
    </row>
    <row r="45" spans="1:11" ht="20.100000000000001" customHeight="1" x14ac:dyDescent="0.2">
      <c r="A45" s="5" t="str">
        <f>HYPERLINK("#'Constants - Solid Waste'!A1", "Constants - Solid Waste")</f>
        <v>Constants - Solid Waste</v>
      </c>
    </row>
    <row r="46" spans="1:11" ht="20.100000000000001" customHeight="1" x14ac:dyDescent="0.2">
      <c r="A46" s="5" t="str">
        <f>HYPERLINK("#'Constants - Common'!A1", "Constants - Common")</f>
        <v>Constants - Common</v>
      </c>
    </row>
    <row r="47" spans="1:11" ht="20.100000000000001" customHeight="1" x14ac:dyDescent="0.2">
      <c r="A47" s="5" t="str">
        <f>HYPERLINK("#'Constants - Common Livestock'!A1", "Constants - Common Livestock")</f>
        <v>Constants - Common Livestock</v>
      </c>
    </row>
    <row r="346" spans="4:4" ht="20.100000000000001" customHeight="1" x14ac:dyDescent="0.2">
      <c r="D346" s="89"/>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2CC3515A-A263-491E-A451-580555D65948}">
      <formula1>_xlfn.TRIMRANGE(INDIRECT("Table_FuelTypesPerUse["&amp;D17&amp;"]"))</formula1>
    </dataValidation>
    <dataValidation type="list" allowBlank="1" showInputMessage="1" showErrorMessage="1" sqref="D17:D21" xr:uid="{150EAC96-C6A8-435A-BD7E-107C8972EF4C}">
      <formula1>INDIRECT("Table_FuelTypesPerUse[#Headers]")</formula1>
    </dataValidation>
    <dataValidation type="list" allowBlank="1" showInputMessage="1" showErrorMessage="1" sqref="E11" xr:uid="{71ABD211-7087-4841-9069-664678481868}">
      <formula1>"Metro, Non-metro"</formula1>
    </dataValidation>
    <dataValidation type="list" allowBlank="1" showInputMessage="1" showErrorMessage="1" sqref="D29:D30" xr:uid="{ECE6613E-8EFA-45AE-9C98-A8F138785719}">
      <formula1>INDIRECT("Table_SourceData_OrganicFertiliserTypes[Organic fertiliser type]")</formula1>
    </dataValidation>
    <dataValidation type="list" allowBlank="1" showInputMessage="1" showErrorMessage="1" sqref="E49" xr:uid="{CF560CD4-90A9-4DAC-8078-C6264D7C2E95}">
      <formula1>INDIRECT("Table_SourceData_Swine_CropProdSystems[Production system]")</formula1>
    </dataValidation>
    <dataValidation type="list" allowBlank="1" showInputMessage="1" showErrorMessage="1" sqref="E50" xr:uid="{81342B21-FECB-4592-AB8F-9CB41B1E4251}">
      <formula1>INDIRECT("Table_SourceData_Swine_IrrigationMethods[Irrigation method]")</formula1>
    </dataValidation>
    <dataValidation type="list" allowBlank="1" showInputMessage="1" showErrorMessage="1" sqref="E234 E239 E244 E278 E273 E268 E146 E134 E110 E122" xr:uid="{AC417B18-0081-4978-AF41-9ADAFC971DF9}">
      <formula1>"Yes, No"</formula1>
    </dataValidation>
    <dataValidation type="list" allowBlank="1" showInputMessage="1" showErrorMessage="1" sqref="E210" xr:uid="{951BAD70-CD3E-4431-BF33-B45B4F80732A}">
      <formula1>INDIRECT("Table_SourceData_Dairy_ProductionSystemTemplates[Area]")</formula1>
    </dataValidation>
    <dataValidation type="list" allowBlank="1" showInputMessage="1" showErrorMessage="1" sqref="D262" xr:uid="{8ADA563C-369F-4C25-8788-96756358F62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2FBB-D6DF-426E-8514-BA39DDBBE449}">
  <sheetPr>
    <tabColor theme="5" tint="-0.249977111117893"/>
  </sheetPr>
  <dimension ref="A1:L36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530</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c r="D5" s="1" t="s">
        <v>531</v>
      </c>
      <c r="E5" s="13" t="s">
        <v>532</v>
      </c>
      <c r="F5" s="16" t="s">
        <v>100</v>
      </c>
    </row>
    <row r="6" spans="1:10" ht="20.100000000000001" customHeight="1" x14ac:dyDescent="0.2">
      <c r="E6" s="89"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5"/>
      <c r="D8" s="85"/>
      <c r="E8" s="85"/>
      <c r="F8" s="85"/>
      <c r="G8" s="85"/>
      <c r="H8" s="85"/>
      <c r="I8" s="85"/>
      <c r="J8" s="85"/>
    </row>
    <row r="9" spans="1:10" ht="20.100000000000001" customHeight="1" x14ac:dyDescent="0.2">
      <c r="A9" s="5" t="str">
        <f>HYPERLINK("#'Input - Enterprise'!A1", "Enterprise")</f>
        <v>Enterprise</v>
      </c>
      <c r="D9" s="2" t="s">
        <v>533</v>
      </c>
    </row>
    <row r="10" spans="1:10" ht="20.100000000000001" customHeight="1" x14ac:dyDescent="0.2">
      <c r="A10" s="5" t="str">
        <f>HYPERLINK("#'Input - Site'!A1", "Site")</f>
        <v>Site</v>
      </c>
    </row>
    <row r="11" spans="1:10" ht="20.100000000000001" customHeight="1" x14ac:dyDescent="0.2">
      <c r="A11" s="5" t="str">
        <f>HYPERLINK("#'Input - Crop'!A1", "Crop")</f>
        <v>Crop</v>
      </c>
      <c r="D11" s="79" t="s">
        <v>534</v>
      </c>
    </row>
    <row r="12" spans="1:10" ht="20.100000000000001" customHeight="1" x14ac:dyDescent="0.2">
      <c r="A12" s="5" t="str">
        <f>HYPERLINK("#'Input - Fert Prod System'!A1", "Fert Prod System")</f>
        <v>Fert Prod System</v>
      </c>
    </row>
    <row r="13" spans="1:10" ht="20.100000000000001" customHeight="1" x14ac:dyDescent="0.2">
      <c r="A13" s="5" t="str">
        <f>HYPERLINK("#'Input - Fertiliser'!A1", "Fertiliser")</f>
        <v>Fertiliser</v>
      </c>
      <c r="D13" s="36" t="s">
        <v>535</v>
      </c>
      <c r="E13" s="39"/>
      <c r="F13" s="8"/>
    </row>
    <row r="14" spans="1:10" ht="20.100000000000001" customHeight="1" x14ac:dyDescent="0.2">
      <c r="A14" s="5" t="str">
        <f>HYPERLINK("#'Input - Fuel'!A1", "Fuel")</f>
        <v>Fuel</v>
      </c>
      <c r="D14" s="8"/>
      <c r="E14" s="8"/>
      <c r="F14" s="8"/>
    </row>
    <row r="15" spans="1:10" ht="20.100000000000001" customHeight="1" x14ac:dyDescent="0.2">
      <c r="A15" s="108" t="str">
        <f>HYPERLINK("#'Input - Electricity'!A1", "Electricity")</f>
        <v>Electricity</v>
      </c>
      <c r="D15" s="1" t="s">
        <v>536</v>
      </c>
      <c r="E15" s="99">
        <v>30000</v>
      </c>
      <c r="F15" s="16" t="s">
        <v>537</v>
      </c>
    </row>
    <row r="16" spans="1:10" ht="20.100000000000001" customHeight="1" x14ac:dyDescent="0.2">
      <c r="A16" s="5" t="str">
        <f>HYPERLINK("#'Input - Common farm inputs'!A1", "Common farm inputs")</f>
        <v>Common farm inputs</v>
      </c>
      <c r="D16" s="1" t="s">
        <v>538</v>
      </c>
      <c r="E16" s="15" t="str">
        <f>IF(X_Cell_Site_State="Western Australia", X_Cell_Site_Region, X_Cell_Site_State)</f>
        <v>Western Australia - Outback (South)</v>
      </c>
      <c r="F16" s="8"/>
    </row>
    <row r="17" spans="1:11" ht="20.100000000000001" customHeight="1" x14ac:dyDescent="0.2">
      <c r="A17" s="5" t="str">
        <f>HYPERLINK("#'Input - Crop pasture farm input'!A1", "Crop pasture farm input")</f>
        <v>Crop pasture farm input</v>
      </c>
      <c r="D17" s="1" t="s">
        <v>539</v>
      </c>
      <c r="E17" s="13" t="s">
        <v>540</v>
      </c>
      <c r="F17" s="16" t="s">
        <v>100</v>
      </c>
    </row>
    <row r="18" spans="1:11" ht="20.100000000000001" customHeight="1" x14ac:dyDescent="0.2">
      <c r="A18" s="5" t="str">
        <f>HYPERLINK("#'Input - Freight'!A1", "Freight")</f>
        <v>Freight</v>
      </c>
    </row>
    <row r="19" spans="1:11" ht="20.100000000000001" customHeight="1" x14ac:dyDescent="0.2">
      <c r="A19" s="5" t="str">
        <f>HYPERLINK("#'Input - Solid waste'!A1", "Solid waste")</f>
        <v>Solid waste</v>
      </c>
    </row>
    <row r="20" spans="1:11" ht="20.100000000000001" customHeight="1" x14ac:dyDescent="0.2">
      <c r="A20" s="5" t="str">
        <f>HYPERLINK("#'Input - Data quality'!A1", "Data quality")</f>
        <v>Data quality</v>
      </c>
      <c r="C20" s="85"/>
      <c r="D20" s="85"/>
      <c r="E20" s="85"/>
      <c r="F20" s="85"/>
      <c r="G20" s="85"/>
      <c r="H20" s="85"/>
      <c r="I20" s="85"/>
      <c r="J20" s="85"/>
    </row>
    <row r="21" spans="1:11" ht="20.100000000000001" customHeight="1" x14ac:dyDescent="0.2">
      <c r="D21" s="2" t="s">
        <v>541</v>
      </c>
    </row>
    <row r="22" spans="1:11" ht="20.100000000000001" customHeight="1" x14ac:dyDescent="0.2">
      <c r="E22" s="89" t="str">
        <f>IF(E16="ACT", "", "ALERT: Your farm is not in the ACT, so the JRPP is not applicable")</f>
        <v>ALERT: Your farm is not in the ACT, so the JRPP is not applicable</v>
      </c>
    </row>
    <row r="23" spans="1:11" ht="20.100000000000001" customHeight="1" x14ac:dyDescent="0.2">
      <c r="A23" s="6" t="s">
        <v>2</v>
      </c>
      <c r="D23" s="1" t="s">
        <v>542</v>
      </c>
      <c r="E23" s="99">
        <v>30000</v>
      </c>
      <c r="F23" s="16" t="s">
        <v>537</v>
      </c>
    </row>
    <row r="24" spans="1:11" ht="20.100000000000001" customHeight="1" x14ac:dyDescent="0.2">
      <c r="A24" s="5" t="str">
        <f>HYPERLINK("#'5.1.1.1-2 Inorganic fert N2O'!A1", "5.1.1.1-2 Inorganic fert N2O")</f>
        <v>5.1.1.1-2 Inorganic fert N2O</v>
      </c>
      <c r="D24" s="1" t="s">
        <v>543</v>
      </c>
      <c r="E24" s="18">
        <v>0.1</v>
      </c>
      <c r="F24" s="16" t="s">
        <v>146</v>
      </c>
    </row>
    <row r="25" spans="1:11" ht="20.100000000000001" customHeight="1" x14ac:dyDescent="0.2">
      <c r="A25" s="5" t="str">
        <f>HYPERLINK("#'5.1.1.3-4 Inorganic fert CO2'!A1", "5.1.1.3-4 Inorganic fert CO2")</f>
        <v>5.1.1.3-4 Inorganic fert CO2</v>
      </c>
      <c r="D25" s="1" t="s">
        <v>544</v>
      </c>
      <c r="E25" s="18">
        <v>0.1</v>
      </c>
      <c r="F25" s="16" t="s">
        <v>146</v>
      </c>
    </row>
    <row r="26" spans="1:11" ht="20.100000000000001" customHeight="1" x14ac:dyDescent="0.2">
      <c r="A26" s="5" t="str">
        <f>HYPERLINK("#'5.2.1.1-2 Organic Fert N2O'!A1", "5.2.1.1-2 Organic fert N2O")</f>
        <v>5.2.1.1-2 Organic fert N2O</v>
      </c>
    </row>
    <row r="27" spans="1:11" ht="20.100000000000001" customHeight="1" x14ac:dyDescent="0.2">
      <c r="A27" s="5" t="str">
        <f>HYPERLINK("#'5.3.1.1-2 Lime CO2'!A1", "5.3.1.1-2 Lime CO2")</f>
        <v>5.3.1.1-2 Lime CO2</v>
      </c>
      <c r="D27" s="1" t="s">
        <v>545</v>
      </c>
      <c r="E27" s="99">
        <v>10000</v>
      </c>
      <c r="F27" s="16" t="s">
        <v>537</v>
      </c>
    </row>
    <row r="28" spans="1:11" ht="20.100000000000001" customHeight="1" x14ac:dyDescent="0.2">
      <c r="A28" s="5" t="str">
        <f>HYPERLINK("#'5.4.1.1-4 Atmos deposition'!A1", "5.4.1.1-4 Atmos. deposition")</f>
        <v>5.4.1.1-4 Atmos. deposition</v>
      </c>
    </row>
    <row r="29" spans="1:11" ht="20.100000000000001" customHeight="1" x14ac:dyDescent="0.2">
      <c r="A29" s="5" t="str">
        <f>HYPERLINK("#'5.5.1.1-2 Leaching and runoff'!A1", "5.5.1.1-2 Leaching &amp; runoff")</f>
        <v>5.5.1.1-2 Leaching &amp; runoff</v>
      </c>
      <c r="D29" s="1" t="s">
        <v>546</v>
      </c>
      <c r="E29" s="172" t="str">
        <f>TEXT(X_Cell_Site_StartDate, "dd mmm yyyy")</f>
        <v>01 Jan 2025</v>
      </c>
      <c r="K29" s="134"/>
    </row>
    <row r="30" spans="1:11" ht="20.100000000000001" customHeight="1" x14ac:dyDescent="0.2">
      <c r="A30" s="5" t="str">
        <f>HYPERLINK("#'6.1.1.1-2 Crop residue N2O'!A1", "6.1.1.1-2 Crop residue N2O")</f>
        <v>6.1.1.1-2 Crop residue N2O</v>
      </c>
      <c r="D30" s="1" t="s">
        <v>547</v>
      </c>
      <c r="E30" s="172" t="str">
        <f>TEXT(X_Cell_Site_EndDate, "dd mmm yyyy")</f>
        <v>31 Dec 2025</v>
      </c>
      <c r="K30" s="134"/>
    </row>
    <row r="31" spans="1:11" ht="20.100000000000001" customHeight="1" x14ac:dyDescent="0.2">
      <c r="A31" s="5" t="str">
        <f>HYPERLINK("#'6.3.1.1-2 Leach runoff crop'!A1", "6.3.1.1-2 Leach &amp; runoff (crop)")</f>
        <v>6.3.1.1-2 Leach &amp; runoff (crop)</v>
      </c>
      <c r="K31" s="134"/>
    </row>
    <row r="32" spans="1:11" ht="20.100000000000001" customHeight="1" x14ac:dyDescent="0.2">
      <c r="A32" s="5" t="str">
        <f>HYPERLINK("#'8.1.1.1-2 Transport fuel'!A1", "8.1.1.1-2 Transport fuel")</f>
        <v>8.1.1.1-2 Transport fuel</v>
      </c>
      <c r="D32" s="79" t="s">
        <v>548</v>
      </c>
      <c r="K32" s="134"/>
    </row>
    <row r="33" spans="1:12" ht="20.100000000000001" customHeight="1" x14ac:dyDescent="0.2">
      <c r="A33" s="5" t="str">
        <f>HYPERLINK("#'8.2.1.1-2 Stationary fuel'!A1", "8.2.1.1-2 Stationary fuel")</f>
        <v>8.2.1.1-2 Stationary fuel</v>
      </c>
      <c r="K33" s="134"/>
    </row>
    <row r="34" spans="1:12" ht="20.100000000000001" customHeight="1" x14ac:dyDescent="0.2">
      <c r="A34" s="5" t="str">
        <f>HYPERLINK("#'10.1.1-2 Solid waste treatment'!A1", "10.1.1.1-2 Solid waste")</f>
        <v>10.1.1.1-2 Solid waste</v>
      </c>
      <c r="D34" s="36" t="s">
        <v>549</v>
      </c>
      <c r="E34" s="39"/>
      <c r="K34" s="134"/>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c r="D36" s="80" t="s">
        <v>175</v>
      </c>
      <c r="E36" s="80" t="s">
        <v>550</v>
      </c>
      <c r="F36" s="80" t="s">
        <v>551</v>
      </c>
      <c r="G36" s="80" t="s">
        <v>552</v>
      </c>
      <c r="H36" s="80" t="s">
        <v>553</v>
      </c>
      <c r="I36" s="80" t="s">
        <v>554</v>
      </c>
      <c r="L36" s="134"/>
    </row>
    <row r="37" spans="1:12" ht="20.100000000000001" customHeight="1" x14ac:dyDescent="0.2">
      <c r="D37" s="20" t="s">
        <v>555</v>
      </c>
      <c r="E37" s="13" t="s">
        <v>556</v>
      </c>
      <c r="F37" s="173">
        <v>44185</v>
      </c>
      <c r="G37" s="20">
        <v>12</v>
      </c>
      <c r="H37" s="15">
        <f>Table_Input_RECSurrendered[[#This Row],[Number of certificates]]</f>
        <v>12</v>
      </c>
      <c r="I37" s="15" t="str">
        <f>IF(DATEDIF(Table_Input_RECSurrendered[[#This Row],[Generation date]],DATEVALUE($E$30),"M")&gt;36,"Ineligible - older than 36 months","Elegible")</f>
        <v>Ineligible - older than 36 months</v>
      </c>
      <c r="L37" s="134"/>
    </row>
    <row r="38" spans="1:12" ht="20.100000000000001" customHeight="1" x14ac:dyDescent="0.2">
      <c r="D38" s="20" t="s">
        <v>557</v>
      </c>
      <c r="E38" s="13" t="s">
        <v>558</v>
      </c>
      <c r="F38" s="173">
        <v>44575</v>
      </c>
      <c r="G38" s="20">
        <v>5</v>
      </c>
      <c r="H38" s="15">
        <f>Table_Input_RECSurrendered[[#This Row],[Number of certificates]]</f>
        <v>5</v>
      </c>
      <c r="I38" s="15" t="str">
        <f>IF(DATEDIF(Table_Input_RECSurrendered[[#This Row],[Generation date]],DATEVALUE($E$30),"M")&gt;36,"Ineligible - older than 36 months","Elegible")</f>
        <v>Ineligible - older than 36 months</v>
      </c>
    </row>
    <row r="39" spans="1:12" ht="20.100000000000001" customHeight="1" x14ac:dyDescent="0.2">
      <c r="A39" s="82" t="s">
        <v>1</v>
      </c>
      <c r="D39" s="20" t="s">
        <v>559</v>
      </c>
      <c r="E39" s="13" t="s">
        <v>556</v>
      </c>
      <c r="F39" s="173">
        <v>45438</v>
      </c>
      <c r="G39" s="20">
        <v>5</v>
      </c>
      <c r="H39" s="15">
        <f>Table_Input_RECSurrendered[[#This Row],[Number of certificates]]</f>
        <v>5</v>
      </c>
      <c r="I39" s="15" t="str">
        <f>IF(DATEDIF(Table_Input_RECSurrendered[[#This Row],[Generation date]],DATEVALUE($E$30),"M")&gt;36,"Ineligible - older than 36 months","Elegible")</f>
        <v>Elegible</v>
      </c>
    </row>
    <row r="40" spans="1:12" s="134" customFormat="1" ht="20.100000000000001" customHeight="1" x14ac:dyDescent="0.2">
      <c r="A40" s="5" t="str">
        <f>HYPERLINK("#'Constants - Ag Residue'!A1", "Constants - Ag residue")</f>
        <v>Constants - Ag residue</v>
      </c>
      <c r="C40" s="1"/>
      <c r="D40" s="1"/>
      <c r="E40" s="1"/>
      <c r="F40" s="1"/>
      <c r="G40" s="1"/>
      <c r="H40" s="1"/>
      <c r="I40" s="1"/>
      <c r="J40" s="1"/>
    </row>
    <row r="41" spans="1:12" s="134" customFormat="1" ht="20.100000000000001" customHeight="1" x14ac:dyDescent="0.2">
      <c r="A41" s="5" t="str">
        <f>HYPERLINK("#'Constants - Electricity'!A1", "Constants - Electricity")</f>
        <v>Constants - Electricity</v>
      </c>
      <c r="C41" s="1"/>
      <c r="D41" s="1" t="s">
        <v>560</v>
      </c>
      <c r="E41" s="15">
        <f>SUMIF(Table_Input_RECSurrendered[Elegibility], "Elegible", Table_Input_RECSurrendered[MWh])</f>
        <v>5</v>
      </c>
      <c r="F41" s="16" t="s">
        <v>553</v>
      </c>
      <c r="G41" s="1"/>
      <c r="H41" s="1"/>
      <c r="I41" s="1"/>
      <c r="J41" s="1"/>
      <c r="L41" s="134" t="s">
        <v>561</v>
      </c>
    </row>
    <row r="42" spans="1:12" ht="20.100000000000001" customHeight="1" x14ac:dyDescent="0.2">
      <c r="A42" s="5" t="str">
        <f>HYPERLINK("#'Constants - Fertiliser'!A1", "Constants - Fertiliser")</f>
        <v>Constants - Fertiliser</v>
      </c>
      <c r="C42" s="122"/>
    </row>
    <row r="43" spans="1:12" ht="20.100000000000001" customHeight="1" x14ac:dyDescent="0.2">
      <c r="A43" s="5" t="str">
        <f>HYPERLINK("#'Constants - Fuel'!A1", "Constants - Fuel")</f>
        <v>Constants - Fuel</v>
      </c>
      <c r="C43" s="122"/>
      <c r="D43" s="79" t="s">
        <v>562</v>
      </c>
      <c r="J43" s="122"/>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c r="D45" s="80" t="s">
        <v>175</v>
      </c>
      <c r="E45" s="80" t="s">
        <v>498</v>
      </c>
      <c r="F45" s="80" t="s">
        <v>551</v>
      </c>
      <c r="G45" s="80" t="s">
        <v>552</v>
      </c>
      <c r="H45" s="80" t="s">
        <v>553</v>
      </c>
      <c r="I45" s="80" t="s">
        <v>554</v>
      </c>
    </row>
    <row r="46" spans="1:12" ht="20.100000000000001" customHeight="1" x14ac:dyDescent="0.2">
      <c r="A46" s="5" t="str">
        <f>HYPERLINK("#'Constants - Common'!A1", "Constants - Common")</f>
        <v>Constants - Common</v>
      </c>
      <c r="D46" s="20" t="s">
        <v>563</v>
      </c>
      <c r="E46" s="174" t="str">
        <f>"Issued for generated electricity"</f>
        <v>Issued for generated electricity</v>
      </c>
      <c r="F46" s="173">
        <v>44697</v>
      </c>
      <c r="G46" s="20">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A47" s="5" t="str">
        <f>HYPERLINK("#'Constants - Common Livestock'!A1", "Constants - Common Livestock")</f>
        <v>Constants - Common Livestock</v>
      </c>
      <c r="D47" s="20" t="s">
        <v>564</v>
      </c>
      <c r="E47" s="174" t="str">
        <f>"Issued for generated electricity"</f>
        <v>Issued for generated electricity</v>
      </c>
      <c r="F47" s="173">
        <v>45483</v>
      </c>
      <c r="G47" s="20">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
      <c r="D48" s="175">
        <v>45597</v>
      </c>
      <c r="E48" s="174" t="str">
        <f>"Issued for generated electricity"</f>
        <v>Issued for generated electricity</v>
      </c>
      <c r="F48" s="173">
        <v>45607</v>
      </c>
      <c r="G48" s="20">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Ineligible - outside reporting year</v>
      </c>
    </row>
    <row r="50" spans="4:6" ht="20.100000000000001" customHeight="1" x14ac:dyDescent="0.2">
      <c r="D50" s="1" t="s">
        <v>565</v>
      </c>
      <c r="E50" s="15">
        <f>SUMIF(Table_Input_RECConsumedByEntity[Elegibility], "Elegible", Table_Input_RECConsumedByEntity[Number of certificates])</f>
        <v>0</v>
      </c>
      <c r="F50" s="16" t="s">
        <v>553</v>
      </c>
    </row>
    <row r="55" spans="4:6" ht="20.100000000000001" customHeight="1" x14ac:dyDescent="0.2">
      <c r="D55" s="176"/>
    </row>
    <row r="56" spans="4:6" ht="20.100000000000001" customHeight="1" x14ac:dyDescent="0.2">
      <c r="D56" s="176"/>
    </row>
    <row r="365" spans="4:4" ht="20.100000000000001" customHeight="1" x14ac:dyDescent="0.2">
      <c r="D365" s="89"/>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01A6609D-91CF-41A6-99EE-FA920B32F07E}">
      <formula1>"Location-based (simpler), Market-based (more complex)"</formula1>
    </dataValidation>
    <dataValidation type="list" allowBlank="1" showInputMessage="1" showErrorMessage="1" sqref="E37:E39" xr:uid="{49368241-FB40-4A1D-8C90-41FF430FCC20}">
      <formula1>"Purchased certificate, Issued for generated electricity"</formula1>
    </dataValidation>
    <dataValidation type="list" allowBlank="1" showInputMessage="1" showErrorMessage="1" sqref="E17" xr:uid="{0FB43F74-AF1C-4C49-9157-4871EF61ECB7}">
      <formula1>INDIRECT("Table_SourceData_ElectricityEFs[State, Territory or grid description]")</formula1>
    </dataValidation>
    <dataValidation type="list" allowBlank="1" showInputMessage="1" showErrorMessage="1" sqref="E69" xr:uid="{5967D572-1EF9-4159-AF8F-EC1ACC63E38E}">
      <formula1>INDIRECT("Table_SourceData_Swine_IrrigationMethods[Irrigation method]")</formula1>
    </dataValidation>
    <dataValidation type="list" allowBlank="1" showInputMessage="1" showErrorMessage="1" sqref="E253 E258 E263 E297 E292 E287 E165 E153 E129 E141" xr:uid="{B4BDFFB9-90AD-45FB-8E91-75D5DD29EE0D}">
      <formula1>"Yes, No"</formula1>
    </dataValidation>
    <dataValidation type="list" allowBlank="1" showInputMessage="1" showErrorMessage="1" sqref="E229" xr:uid="{3CBA402D-37FF-4163-A42D-9246FFE25C55}">
      <formula1>INDIRECT("Table_SourceData_Dairy_ProductionSystemTemplates[Area]")</formula1>
    </dataValidation>
    <dataValidation type="list" allowBlank="1" showInputMessage="1" showErrorMessage="1" sqref="D281" xr:uid="{D35B83AB-2935-4C3E-85E7-0598E9D99B4B}">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AF1A-4927-4C1A-8ED8-3F8604DAB8D2}">
  <sheetPr>
    <tabColor theme="5" tint="-0.249977111117893"/>
  </sheetPr>
  <dimension ref="A1:S195"/>
  <sheetViews>
    <sheetView showGridLines="0" zoomScaleNormal="100" workbookViewId="0">
      <pane xSplit="1" topLeftCell="B1" activePane="topRight" state="frozenSplit"/>
      <selection pane="topRight" activeCell="A46" sqref="A46"/>
    </sheetView>
  </sheetViews>
  <sheetFormatPr defaultColWidth="9" defaultRowHeight="20.100000000000001" customHeight="1" x14ac:dyDescent="0.2"/>
  <cols>
    <col min="1" max="1" width="36.7109375" style="231" customWidth="1"/>
    <col min="2" max="2" width="4.140625" style="231" customWidth="1"/>
    <col min="3" max="3" width="4.140625" style="232" customWidth="1"/>
    <col min="4" max="4" width="41.28515625" style="232" customWidth="1"/>
    <col min="5" max="10" width="26.85546875" style="232" customWidth="1"/>
    <col min="11" max="18" width="30.5703125" style="1" customWidth="1"/>
    <col min="19" max="19" width="4.5703125" style="1" customWidth="1"/>
    <col min="20" max="16384" width="9" style="231"/>
  </cols>
  <sheetData>
    <row r="1" spans="1:19" ht="30" customHeight="1" x14ac:dyDescent="0.35">
      <c r="A1" s="10" t="e" vm="1">
        <v>#VALUE!</v>
      </c>
      <c r="C1" s="28" t="s">
        <v>788</v>
      </c>
      <c r="D1" s="22"/>
      <c r="E1" s="22"/>
      <c r="F1" s="22"/>
      <c r="G1" s="22"/>
      <c r="H1" s="22"/>
      <c r="I1" s="22"/>
      <c r="J1" s="22"/>
      <c r="K1" s="22"/>
      <c r="L1" s="22"/>
      <c r="M1" s="22"/>
      <c r="N1" s="22"/>
      <c r="O1" s="22"/>
      <c r="P1" s="22"/>
      <c r="Q1" s="22"/>
      <c r="R1" s="22"/>
      <c r="S1" s="22"/>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c r="C4" s="25"/>
      <c r="D4" s="25"/>
      <c r="E4" s="25"/>
      <c r="F4" s="25"/>
      <c r="G4" s="25"/>
      <c r="H4" s="25"/>
      <c r="I4" s="25"/>
      <c r="J4" s="25"/>
    </row>
    <row r="5" spans="1:19" ht="20.100000000000001" customHeight="1" x14ac:dyDescent="0.2">
      <c r="A5" s="5" t="str">
        <f>HYPERLINK("#'Results - Product EI'!A1", "Results - Product EI")</f>
        <v>Results - Product EI</v>
      </c>
      <c r="C5" s="1"/>
      <c r="D5" s="2" t="s">
        <v>789</v>
      </c>
      <c r="E5" s="25"/>
      <c r="F5" s="25"/>
      <c r="G5" s="25"/>
      <c r="H5" s="25"/>
      <c r="I5" s="25"/>
      <c r="J5" s="25"/>
    </row>
    <row r="6" spans="1:19" ht="20.100000000000001" customHeight="1" x14ac:dyDescent="0.2">
      <c r="A6"/>
      <c r="C6" s="1"/>
    </row>
    <row r="7" spans="1:19" ht="20.100000000000001" customHeight="1" x14ac:dyDescent="0.2">
      <c r="A7"/>
      <c r="C7" s="1"/>
      <c r="D7" s="80" t="s">
        <v>790</v>
      </c>
      <c r="E7" s="80" t="s">
        <v>791</v>
      </c>
      <c r="F7" s="80" t="s">
        <v>792</v>
      </c>
    </row>
    <row r="8" spans="1:19" ht="20.100000000000001" customHeight="1" x14ac:dyDescent="0.2">
      <c r="A8" s="7" t="s">
        <v>0</v>
      </c>
      <c r="C8" s="1"/>
      <c r="D8" s="34" t="s">
        <v>793</v>
      </c>
      <c r="E8" s="13" t="s">
        <v>794</v>
      </c>
      <c r="F8" s="76">
        <v>100</v>
      </c>
    </row>
    <row r="9" spans="1:19" ht="20.100000000000001" customHeight="1" x14ac:dyDescent="0.2">
      <c r="A9" s="5" t="str">
        <f>HYPERLINK("#'Input - Enterprise'!A1", "Enterprise")</f>
        <v>Enterprise</v>
      </c>
      <c r="C9" s="1"/>
      <c r="D9" s="34" t="s">
        <v>795</v>
      </c>
      <c r="E9" s="86" t="s">
        <v>796</v>
      </c>
      <c r="F9" s="233">
        <v>100</v>
      </c>
    </row>
    <row r="10" spans="1:19" ht="20.100000000000001" customHeight="1" x14ac:dyDescent="0.2">
      <c r="A10" s="5" t="str">
        <f>HYPERLINK("#'Input - Site'!A1", "Site")</f>
        <v>Site</v>
      </c>
      <c r="D10" s="34" t="s">
        <v>797</v>
      </c>
      <c r="E10" s="86" t="s">
        <v>798</v>
      </c>
      <c r="F10" s="233">
        <v>100</v>
      </c>
    </row>
    <row r="11" spans="1:19" ht="20.100000000000001" customHeight="1" x14ac:dyDescent="0.2">
      <c r="A11" s="5" t="str">
        <f>HYPERLINK("#'Input - Crop'!A1", "Crop")</f>
        <v>Crop</v>
      </c>
      <c r="D11" s="34" t="s">
        <v>797</v>
      </c>
      <c r="E11" s="86" t="s">
        <v>798</v>
      </c>
      <c r="F11" s="233">
        <v>100</v>
      </c>
    </row>
    <row r="12" spans="1:19" ht="20.100000000000001" customHeight="1" x14ac:dyDescent="0.2">
      <c r="A12" s="5" t="str">
        <f>HYPERLINK("#'Input - Fert Prod System'!A1", "Fert Prod System")</f>
        <v>Fert Prod System</v>
      </c>
      <c r="C12" s="1"/>
      <c r="D12" s="34" t="s">
        <v>793</v>
      </c>
      <c r="E12" s="86" t="s">
        <v>794</v>
      </c>
      <c r="F12" s="233">
        <v>100</v>
      </c>
    </row>
    <row r="13" spans="1:19" ht="20.100000000000001" customHeight="1" x14ac:dyDescent="0.2">
      <c r="A13" s="5" t="str">
        <f>HYPERLINK("#'Input - Fertiliser'!A1", "Fertiliser")</f>
        <v>Fertiliser</v>
      </c>
      <c r="C13" s="1"/>
      <c r="D13" s="34" t="s">
        <v>793</v>
      </c>
      <c r="E13" s="86" t="s">
        <v>794</v>
      </c>
      <c r="F13" s="233">
        <v>100</v>
      </c>
    </row>
    <row r="14" spans="1:19" ht="20.100000000000001" customHeight="1" x14ac:dyDescent="0.2">
      <c r="A14" s="5" t="str">
        <f>HYPERLINK("#'Input - Fuel'!A1", "Fuel")</f>
        <v>Fuel</v>
      </c>
      <c r="D14" s="34"/>
      <c r="E14" s="13"/>
      <c r="F14" s="76"/>
    </row>
    <row r="15" spans="1:19" ht="20.100000000000001" customHeight="1" x14ac:dyDescent="0.2">
      <c r="A15" s="5" t="str">
        <f>HYPERLINK("#'Input - Electricity'!A1", "Electricity")</f>
        <v>Electricity</v>
      </c>
      <c r="D15" s="34"/>
      <c r="E15" s="13"/>
      <c r="F15" s="76"/>
    </row>
    <row r="16" spans="1:19" ht="20.100000000000001" customHeight="1" x14ac:dyDescent="0.2">
      <c r="A16" s="108" t="str">
        <f>HYPERLINK("#'Input - Common farm inputs'!A1", "Common farm inputs")</f>
        <v>Common farm inputs</v>
      </c>
      <c r="D16" s="34"/>
      <c r="E16" s="13"/>
      <c r="F16" s="76"/>
    </row>
    <row r="17" spans="1:10" ht="20.100000000000001" customHeight="1" x14ac:dyDescent="0.2">
      <c r="A17" s="5" t="str">
        <f>HYPERLINK("#'Input - Crop pasture farm input'!A1", "Crop pasture farm input")</f>
        <v>Crop pasture farm input</v>
      </c>
      <c r="C17" s="1"/>
      <c r="D17" s="34"/>
      <c r="E17" s="13"/>
      <c r="F17" s="76"/>
    </row>
    <row r="18" spans="1:10" ht="20.100000000000001" customHeight="1" x14ac:dyDescent="0.2">
      <c r="A18" s="5" t="str">
        <f>HYPERLINK("#'Input - Freight'!A1", "Freight")</f>
        <v>Freight</v>
      </c>
      <c r="C18" s="1"/>
    </row>
    <row r="19" spans="1:10" ht="20.100000000000001" customHeight="1" x14ac:dyDescent="0.2">
      <c r="A19" s="5" t="str">
        <f>HYPERLINK("#'Input - Solid waste'!A1", "Solid waste")</f>
        <v>Solid waste</v>
      </c>
    </row>
    <row r="20" spans="1:10" ht="20.100000000000001" customHeight="1" x14ac:dyDescent="0.2">
      <c r="A20" s="5" t="str">
        <f>HYPERLINK("#'Input - Data quality'!A1", "Data quality")</f>
        <v>Data quality</v>
      </c>
      <c r="D20" s="2" t="s">
        <v>799</v>
      </c>
    </row>
    <row r="21" spans="1:10" ht="20.100000000000001" customHeight="1" x14ac:dyDescent="0.2">
      <c r="A21"/>
      <c r="D21" s="26"/>
      <c r="I21" s="25"/>
      <c r="J21" s="25"/>
    </row>
    <row r="22" spans="1:10" ht="20.100000000000001" customHeight="1" x14ac:dyDescent="0.2">
      <c r="A22"/>
      <c r="D22" s="234" t="s">
        <v>800</v>
      </c>
      <c r="E22" s="234" t="s">
        <v>801</v>
      </c>
      <c r="F22" s="234" t="s">
        <v>802</v>
      </c>
      <c r="G22" s="234" t="s">
        <v>587</v>
      </c>
    </row>
    <row r="23" spans="1:10" ht="20.100000000000001" customHeight="1" x14ac:dyDescent="0.2">
      <c r="A23" s="6" t="s">
        <v>2</v>
      </c>
      <c r="D23" s="34" t="s">
        <v>803</v>
      </c>
      <c r="E23" s="34" t="s">
        <v>804</v>
      </c>
      <c r="F23" s="76">
        <v>10000</v>
      </c>
      <c r="G23" s="13" t="s">
        <v>805</v>
      </c>
    </row>
    <row r="24" spans="1:10" ht="20.100000000000001" customHeight="1" x14ac:dyDescent="0.2">
      <c r="A24" s="5" t="str">
        <f>HYPERLINK("#'5.1.1.1-2 Inorganic fert N2O'!A1", "5.1.1.1-2 Inorganic fert N2O")</f>
        <v>5.1.1.1-2 Inorganic fert N2O</v>
      </c>
      <c r="D24" s="34" t="s">
        <v>806</v>
      </c>
      <c r="E24" s="34" t="s">
        <v>807</v>
      </c>
      <c r="F24" s="76">
        <v>1000</v>
      </c>
      <c r="G24" s="13" t="s">
        <v>808</v>
      </c>
    </row>
    <row r="25" spans="1:10" ht="20.100000000000001" customHeight="1" x14ac:dyDescent="0.2">
      <c r="A25" s="5" t="str">
        <f>HYPERLINK("#'5.1.1.3-4 Inorganic fert CO2'!A1", "5.1.1.3-4 Inorganic fert CO2")</f>
        <v>5.1.1.3-4 Inorganic fert CO2</v>
      </c>
      <c r="C25" s="1"/>
      <c r="D25" s="34"/>
      <c r="E25" s="34"/>
      <c r="F25" s="76"/>
      <c r="G25" s="13"/>
    </row>
    <row r="26" spans="1:10" ht="20.100000000000001" customHeight="1" x14ac:dyDescent="0.2">
      <c r="A26" s="5" t="str">
        <f>HYPERLINK("#'5.2.1.1-2 Organic Fert N2O'!A1", "5.2.1.1-2 Organic fert N2O")</f>
        <v>5.2.1.1-2 Organic fert N2O</v>
      </c>
      <c r="C26" s="1"/>
      <c r="D26" s="34"/>
      <c r="E26" s="34"/>
      <c r="F26" s="76"/>
      <c r="G26" s="13"/>
    </row>
    <row r="27" spans="1:10" ht="20.100000000000001" customHeight="1" x14ac:dyDescent="0.2">
      <c r="A27" s="5" t="str">
        <f>HYPERLINK("#'5.3.1.1-2 Lime CO2'!A1", "5.3.1.1-2 Lime CO2")</f>
        <v>5.3.1.1-2 Lime CO2</v>
      </c>
      <c r="C27" s="1"/>
      <c r="D27" s="34"/>
      <c r="E27" s="34"/>
      <c r="F27" s="76"/>
      <c r="G27" s="13"/>
    </row>
    <row r="28" spans="1:10" ht="20.100000000000001" customHeight="1" x14ac:dyDescent="0.2">
      <c r="A28" s="5" t="str">
        <f>HYPERLINK("#'5.4.1.1-4 Atmos deposition'!A1", "5.4.1.1-4 Atmos. deposition")</f>
        <v>5.4.1.1-4 Atmos. deposition</v>
      </c>
      <c r="D28" s="34"/>
      <c r="E28" s="34"/>
      <c r="F28" s="76"/>
      <c r="G28" s="13"/>
    </row>
    <row r="29" spans="1:10" ht="20.100000000000001" customHeight="1" x14ac:dyDescent="0.2">
      <c r="A29" s="5" t="str">
        <f>HYPERLINK("#'5.5.1.1-2 Leaching and runoff'!A1", "5.5.1.1-2 Leaching &amp; runoff")</f>
        <v>5.5.1.1-2 Leaching &amp; runoff</v>
      </c>
      <c r="D29" s="34"/>
      <c r="E29" s="34"/>
      <c r="F29" s="76"/>
      <c r="G29" s="13"/>
    </row>
    <row r="30" spans="1:10" ht="20.100000000000001" customHeight="1" x14ac:dyDescent="0.2">
      <c r="A30" s="5" t="str">
        <f>HYPERLINK("#'6.1.1.1-2 Crop residue N2O'!A1", "6.1.1.1-2 Crop residue N2O")</f>
        <v>6.1.1.1-2 Crop residue N2O</v>
      </c>
      <c r="D30" s="34"/>
      <c r="E30" s="34"/>
      <c r="F30" s="76"/>
      <c r="G30" s="13"/>
    </row>
    <row r="31" spans="1:10" ht="20.100000000000001" customHeight="1" x14ac:dyDescent="0.2">
      <c r="A31" s="5" t="str">
        <f>HYPERLINK("#'6.3.1.1-2 Leach runoff crop'!A1", "6.3.1.1-2 Leach &amp; runoff (crop)")</f>
        <v>6.3.1.1-2 Leach &amp; runoff (crop)</v>
      </c>
      <c r="D31" s="34"/>
      <c r="E31" s="34"/>
      <c r="F31" s="76"/>
      <c r="G31" s="13"/>
    </row>
    <row r="32" spans="1:10" ht="20.100000000000001" customHeight="1" x14ac:dyDescent="0.2">
      <c r="A32" s="5" t="str">
        <f>HYPERLINK("#'8.1.1.1-2 Transport fuel'!A1", "8.1.1.1-2 Transport fuel")</f>
        <v>8.1.1.1-2 Transport fuel</v>
      </c>
      <c r="D32" s="34"/>
      <c r="E32" s="34"/>
      <c r="F32" s="76"/>
      <c r="G32" s="13"/>
    </row>
    <row r="33" spans="1:6" ht="20.100000000000001" customHeight="1" x14ac:dyDescent="0.2">
      <c r="A33" s="5" t="str">
        <f>HYPERLINK("#'8.2.1.1-2 Stationary fuel'!A1", "8.2.1.1-2 Stationary fuel")</f>
        <v>8.2.1.1-2 Stationary fuel</v>
      </c>
    </row>
    <row r="34" spans="1:6" ht="20.100000000000001" customHeight="1" x14ac:dyDescent="0.2">
      <c r="A34" s="5" t="str">
        <f>HYPERLINK("#'10.1.1-2 Solid waste treatment'!A1", "10.1.1.1-2 Solid waste")</f>
        <v>10.1.1.1-2 Solid waste</v>
      </c>
    </row>
    <row r="35" spans="1:6" ht="20.100000000000001" customHeight="1" x14ac:dyDescent="0.2">
      <c r="A35" s="5" t="str">
        <f>HYPERLINK("#'14.1.1-2 Purchased electricity'!A1", "14.1.1-2 Purchased electricity")</f>
        <v>14.1.1-2 Purchased electricity</v>
      </c>
      <c r="D35" s="2" t="s">
        <v>809</v>
      </c>
    </row>
    <row r="36" spans="1:6" ht="20.100000000000001" customHeight="1" x14ac:dyDescent="0.2">
      <c r="A36" s="5" t="str">
        <f>HYPERLINK("#'15 Scope 3'!A1", "15 Scope 3")</f>
        <v>15 Scope 3</v>
      </c>
      <c r="D36" s="26"/>
    </row>
    <row r="37" spans="1:6" ht="20.100000000000001" customHeight="1" x14ac:dyDescent="0.2">
      <c r="A37"/>
      <c r="D37" s="80" t="s">
        <v>810</v>
      </c>
      <c r="E37" s="80" t="s">
        <v>678</v>
      </c>
      <c r="F37" s="80" t="s">
        <v>587</v>
      </c>
    </row>
    <row r="38" spans="1:6" ht="20.100000000000001" customHeight="1" x14ac:dyDescent="0.2">
      <c r="A38"/>
      <c r="D38" s="34" t="s">
        <v>811</v>
      </c>
      <c r="E38" s="76">
        <v>1000</v>
      </c>
      <c r="F38" s="34" t="s">
        <v>406</v>
      </c>
    </row>
    <row r="39" spans="1:6" ht="20.100000000000001" customHeight="1" x14ac:dyDescent="0.2">
      <c r="A39" s="82" t="s">
        <v>1</v>
      </c>
      <c r="D39" s="34"/>
      <c r="E39" s="76"/>
      <c r="F39" s="34"/>
    </row>
    <row r="40" spans="1:6" ht="20.100000000000001" customHeight="1" x14ac:dyDescent="0.2">
      <c r="A40" s="5" t="str">
        <f>HYPERLINK("#'Constants - Ag Residue'!A1", "Constants - Ag residue")</f>
        <v>Constants - Ag residue</v>
      </c>
      <c r="D40" s="34"/>
      <c r="E40" s="76"/>
      <c r="F40" s="34"/>
    </row>
    <row r="41" spans="1:6" ht="20.100000000000001" customHeight="1" x14ac:dyDescent="0.2">
      <c r="A41" s="5" t="str">
        <f>HYPERLINK("#'Constants - Electricity'!A1", "Constants - Electricity")</f>
        <v>Constants - Electricity</v>
      </c>
      <c r="D41" s="34"/>
      <c r="E41" s="76"/>
      <c r="F41" s="34"/>
    </row>
    <row r="42" spans="1:6" ht="20.100000000000001" customHeight="1" x14ac:dyDescent="0.2">
      <c r="A42" s="5" t="str">
        <f>HYPERLINK("#'Constants - Fertiliser'!A1", "Constants - Fertiliser")</f>
        <v>Constants - Fertiliser</v>
      </c>
      <c r="D42" s="34"/>
      <c r="E42" s="76"/>
      <c r="F42" s="34"/>
    </row>
    <row r="43" spans="1:6" ht="20.100000000000001" customHeight="1" x14ac:dyDescent="0.2">
      <c r="A43" s="5" t="str">
        <f>HYPERLINK("#'Constants - Fuel'!A1", "Constants - Fuel")</f>
        <v>Constants - Fuel</v>
      </c>
      <c r="D43" s="34"/>
      <c r="E43" s="76"/>
      <c r="F43" s="34"/>
    </row>
    <row r="44" spans="1:6" ht="20.100000000000001" customHeight="1" x14ac:dyDescent="0.2">
      <c r="A44" s="5" t="str">
        <f>HYPERLINK("#'Constants - Scope 3'!A1", "Constants - Scope 3")</f>
        <v>Constants - Scope 3</v>
      </c>
      <c r="C44" s="1"/>
      <c r="D44" s="34"/>
      <c r="E44" s="76"/>
      <c r="F44" s="34"/>
    </row>
    <row r="45" spans="1:6" ht="20.100000000000001" customHeight="1" x14ac:dyDescent="0.2">
      <c r="A45" s="5" t="str">
        <f>HYPERLINK("#'Constants - Solid Waste'!A1", "Constants - Solid Waste")</f>
        <v>Constants - Solid Waste</v>
      </c>
      <c r="C45" s="1"/>
      <c r="D45" s="34"/>
      <c r="E45" s="76"/>
      <c r="F45" s="34"/>
    </row>
    <row r="46" spans="1:6" ht="20.100000000000001" customHeight="1" x14ac:dyDescent="0.2">
      <c r="A46" s="5" t="str">
        <f>HYPERLINK("#'Constants - Common'!A1", "Constants - Common")</f>
        <v>Constants - Common</v>
      </c>
      <c r="C46" s="1"/>
      <c r="D46" s="34"/>
      <c r="E46" s="76"/>
      <c r="F46" s="34"/>
    </row>
    <row r="47" spans="1:6" ht="20.100000000000001" customHeight="1" x14ac:dyDescent="0.2">
      <c r="A47" s="5" t="str">
        <f>HYPERLINK("#'Constants - Common Livestock'!A1", "Constants - Common Livestock")</f>
        <v>Constants - Common Livestock</v>
      </c>
      <c r="C47" s="1"/>
      <c r="D47" s="34"/>
      <c r="E47" s="76"/>
      <c r="F47" s="34"/>
    </row>
    <row r="48" spans="1:6" ht="20.100000000000001" customHeight="1" x14ac:dyDescent="0.2">
      <c r="A48"/>
      <c r="C48" s="1"/>
    </row>
    <row r="49" spans="1:3" ht="20.100000000000001" customHeight="1" x14ac:dyDescent="0.2">
      <c r="A49"/>
      <c r="C49" s="1"/>
    </row>
    <row r="50" spans="1:3" ht="20.100000000000001" customHeight="1" x14ac:dyDescent="0.2">
      <c r="A50"/>
    </row>
    <row r="51" spans="1:3" ht="20.100000000000001" customHeight="1" x14ac:dyDescent="0.2">
      <c r="A51"/>
    </row>
    <row r="52" spans="1:3" ht="20.100000000000001" customHeight="1" x14ac:dyDescent="0.2">
      <c r="A52"/>
    </row>
    <row r="53" spans="1:3" ht="20.100000000000001" customHeight="1" x14ac:dyDescent="0.2">
      <c r="A53"/>
    </row>
    <row r="54" spans="1:3" ht="20.100000000000001" customHeight="1" x14ac:dyDescent="0.2">
      <c r="A54"/>
    </row>
    <row r="55" spans="1:3" ht="20.100000000000001" customHeight="1" x14ac:dyDescent="0.2">
      <c r="A55"/>
    </row>
    <row r="56" spans="1:3" ht="20.100000000000001" customHeight="1" x14ac:dyDescent="0.2">
      <c r="A56"/>
    </row>
    <row r="57" spans="1:3" ht="20.100000000000001" customHeight="1" x14ac:dyDescent="0.2">
      <c r="A57"/>
    </row>
    <row r="58" spans="1:3" ht="20.100000000000001" customHeight="1" x14ac:dyDescent="0.2">
      <c r="A58"/>
    </row>
    <row r="59" spans="1:3" ht="20.100000000000001" customHeight="1" x14ac:dyDescent="0.2">
      <c r="A59"/>
    </row>
    <row r="60" spans="1:3" ht="20.100000000000001" customHeight="1" x14ac:dyDescent="0.2">
      <c r="A60"/>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32"/>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5"/>
    </row>
    <row r="93" spans="1:10" ht="20.100000000000001" customHeight="1" x14ac:dyDescent="0.2">
      <c r="A93"/>
      <c r="J93" s="25"/>
    </row>
    <row r="94" spans="1:10" ht="20.100000000000001" customHeight="1" x14ac:dyDescent="0.2">
      <c r="A94"/>
      <c r="J94" s="25"/>
    </row>
    <row r="95" spans="1:10" ht="20.100000000000001" customHeight="1" x14ac:dyDescent="0.2">
      <c r="A95"/>
      <c r="J95" s="25"/>
    </row>
    <row r="96" spans="1:10" ht="20.100000000000001" customHeight="1" x14ac:dyDescent="0.2">
      <c r="A96"/>
      <c r="J96" s="25"/>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5"/>
      <c r="M113" s="25"/>
      <c r="N113" s="25"/>
      <c r="O113" s="25"/>
      <c r="P113" s="25"/>
    </row>
    <row r="114" spans="1:16" ht="20.100000000000001" customHeight="1" x14ac:dyDescent="0.2">
      <c r="A114"/>
      <c r="J114" s="1"/>
      <c r="L114" s="25"/>
      <c r="M114" s="25"/>
      <c r="N114" s="25"/>
      <c r="O114" s="25"/>
      <c r="P114" s="25"/>
    </row>
    <row r="115" spans="1:16" ht="20.100000000000001" customHeight="1" x14ac:dyDescent="0.2">
      <c r="A115"/>
      <c r="J115" s="1"/>
      <c r="L115" s="25"/>
      <c r="M115" s="25"/>
      <c r="N115" s="25"/>
      <c r="O115" s="25"/>
      <c r="P115" s="25"/>
    </row>
    <row r="116" spans="1:16" ht="20.100000000000001" customHeight="1" x14ac:dyDescent="0.2">
      <c r="A116"/>
      <c r="I116" s="25"/>
      <c r="J116" s="1"/>
      <c r="N116" s="25"/>
      <c r="O116" s="25"/>
      <c r="P116" s="25"/>
    </row>
    <row r="117" spans="1:16" ht="20.100000000000001" customHeight="1" x14ac:dyDescent="0.2">
      <c r="A117"/>
      <c r="I117" s="25"/>
      <c r="J117" s="1"/>
      <c r="N117" s="25"/>
      <c r="O117" s="25"/>
      <c r="P117" s="25"/>
    </row>
    <row r="118" spans="1:16" ht="20.100000000000001" customHeight="1" x14ac:dyDescent="0.2">
      <c r="A118"/>
      <c r="J118" s="25"/>
      <c r="N118" s="2"/>
      <c r="O118" s="2"/>
      <c r="P118" s="25"/>
    </row>
    <row r="119" spans="1:16" ht="20.100000000000001" customHeight="1" x14ac:dyDescent="0.2">
      <c r="A119"/>
      <c r="J119" s="25"/>
      <c r="P119" s="8"/>
    </row>
    <row r="120" spans="1:16" ht="20.100000000000001" customHeight="1" x14ac:dyDescent="0.2">
      <c r="A120"/>
      <c r="J120" s="25"/>
      <c r="P120" s="8"/>
    </row>
    <row r="121" spans="1:16" ht="20.100000000000001" customHeight="1" x14ac:dyDescent="0.2">
      <c r="A121"/>
      <c r="J121" s="2"/>
      <c r="P121" s="8"/>
    </row>
    <row r="122" spans="1:16" ht="20.100000000000001" customHeight="1" x14ac:dyDescent="0.2">
      <c r="A122"/>
      <c r="G122" s="25"/>
      <c r="H122" s="1"/>
      <c r="J122" s="1"/>
      <c r="P122" s="8"/>
    </row>
    <row r="123" spans="1:16" ht="20.100000000000001" customHeight="1" x14ac:dyDescent="0.2">
      <c r="A123"/>
      <c r="G123" s="25"/>
      <c r="H123" s="1"/>
      <c r="J123" s="1"/>
      <c r="P123" s="8"/>
    </row>
    <row r="124" spans="1:16" ht="20.100000000000001" customHeight="1" x14ac:dyDescent="0.2">
      <c r="A124"/>
      <c r="G124" s="25"/>
      <c r="H124" s="25"/>
      <c r="J124" s="1"/>
      <c r="N124" s="25"/>
      <c r="O124" s="25"/>
      <c r="P124" s="25"/>
    </row>
    <row r="125" spans="1:16" ht="20.100000000000001" customHeight="1" x14ac:dyDescent="0.2">
      <c r="A125"/>
      <c r="G125" s="25"/>
      <c r="H125" s="25"/>
      <c r="I125" s="25"/>
      <c r="J125" s="1"/>
      <c r="N125" s="25"/>
      <c r="O125" s="25"/>
      <c r="P125" s="25"/>
    </row>
    <row r="126" spans="1:16" ht="20.100000000000001" customHeight="1" x14ac:dyDescent="0.2">
      <c r="A126"/>
      <c r="G126" s="25"/>
      <c r="I126" s="25"/>
      <c r="J126" s="1"/>
    </row>
    <row r="127" spans="1:16" ht="20.100000000000001" customHeight="1" x14ac:dyDescent="0.2">
      <c r="A127"/>
      <c r="I127" s="25"/>
      <c r="J127" s="25"/>
    </row>
    <row r="128" spans="1:16" ht="20.100000000000001" customHeight="1" x14ac:dyDescent="0.2">
      <c r="A128"/>
      <c r="I128" s="25"/>
      <c r="J128" s="25"/>
    </row>
    <row r="129" spans="1:13" ht="20.100000000000001" customHeight="1" x14ac:dyDescent="0.2">
      <c r="A129"/>
      <c r="I129" s="25"/>
      <c r="L129" s="25"/>
      <c r="M129" s="25"/>
    </row>
    <row r="130" spans="1:13" ht="20.100000000000001" customHeight="1" x14ac:dyDescent="0.2">
      <c r="A130"/>
      <c r="I130" s="25"/>
      <c r="L130" s="25"/>
      <c r="M130" s="25"/>
    </row>
    <row r="131" spans="1:13" ht="20.100000000000001" customHeight="1" x14ac:dyDescent="0.2">
      <c r="A131"/>
      <c r="G131" s="1"/>
      <c r="I131" s="1"/>
      <c r="L131" s="2"/>
      <c r="M131" s="2"/>
    </row>
    <row r="132" spans="1:13" ht="20.100000000000001" customHeight="1" x14ac:dyDescent="0.2">
      <c r="A132"/>
      <c r="G132" s="25"/>
      <c r="I132" s="1"/>
    </row>
    <row r="133" spans="1:13" ht="20.100000000000001" customHeight="1" x14ac:dyDescent="0.2">
      <c r="A133"/>
      <c r="G133" s="25"/>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5"/>
    </row>
    <row r="137" spans="1:13" ht="20.100000000000001" customHeight="1" x14ac:dyDescent="0.2">
      <c r="A137"/>
      <c r="I137" s="25"/>
      <c r="L137" s="25"/>
      <c r="M137" s="25"/>
    </row>
    <row r="138" spans="1:13" ht="20.100000000000001" customHeight="1" x14ac:dyDescent="0.2">
      <c r="A138"/>
      <c r="L138" s="25"/>
      <c r="M138" s="25"/>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31"/>
    </row>
    <row r="166" spans="1:19" ht="20.100000000000001" customHeight="1" x14ac:dyDescent="0.2">
      <c r="A166"/>
      <c r="S166" s="231"/>
    </row>
    <row r="167" spans="1:19" ht="20.100000000000001" customHeight="1" x14ac:dyDescent="0.2">
      <c r="A167"/>
      <c r="S167" s="231"/>
    </row>
    <row r="168" spans="1:19" ht="20.100000000000001" customHeight="1" x14ac:dyDescent="0.2">
      <c r="A168"/>
      <c r="S168" s="231"/>
    </row>
    <row r="169" spans="1:19" ht="20.100000000000001" customHeight="1" x14ac:dyDescent="0.2">
      <c r="A169"/>
      <c r="S169" s="231"/>
    </row>
    <row r="170" spans="1:19" ht="20.100000000000001" customHeight="1" x14ac:dyDescent="0.2">
      <c r="A170"/>
      <c r="S170" s="231"/>
    </row>
    <row r="171" spans="1:19" ht="20.100000000000001" customHeight="1" x14ac:dyDescent="0.2">
      <c r="A171"/>
      <c r="S171" s="231"/>
    </row>
    <row r="172" spans="1:19" ht="20.100000000000001" customHeight="1" x14ac:dyDescent="0.2">
      <c r="A172"/>
      <c r="S172" s="231"/>
    </row>
    <row r="173" spans="1:19" ht="20.100000000000001" customHeight="1" x14ac:dyDescent="0.2">
      <c r="A173"/>
      <c r="S173" s="231"/>
    </row>
    <row r="174" spans="1:19" ht="20.100000000000001" customHeight="1" x14ac:dyDescent="0.2">
      <c r="A174"/>
      <c r="S174" s="231"/>
    </row>
    <row r="175" spans="1:19" ht="20.100000000000001" customHeight="1" x14ac:dyDescent="0.2">
      <c r="A175"/>
      <c r="S175" s="231"/>
    </row>
    <row r="176" spans="1:19" ht="20.100000000000001" customHeight="1" x14ac:dyDescent="0.2">
      <c r="A176"/>
      <c r="K176" s="25"/>
    </row>
    <row r="177" spans="1:19" ht="20.100000000000001" customHeight="1" x14ac:dyDescent="0.2">
      <c r="A177"/>
      <c r="K177" s="25"/>
    </row>
    <row r="178" spans="1:19" ht="20.100000000000001" customHeight="1" x14ac:dyDescent="0.2">
      <c r="A178"/>
    </row>
    <row r="179" spans="1:19" ht="20.100000000000001" customHeight="1" x14ac:dyDescent="0.2">
      <c r="A179"/>
    </row>
    <row r="180" spans="1:19" ht="20.100000000000001" customHeight="1" x14ac:dyDescent="0.2">
      <c r="A180"/>
      <c r="S180" s="231"/>
    </row>
    <row r="181" spans="1:19" ht="20.100000000000001" customHeight="1" x14ac:dyDescent="0.2">
      <c r="A181"/>
      <c r="S181" s="231"/>
    </row>
    <row r="182" spans="1:19" ht="20.100000000000001" customHeight="1" x14ac:dyDescent="0.2">
      <c r="A182"/>
      <c r="S182" s="231"/>
    </row>
    <row r="183" spans="1:19" ht="20.100000000000001" customHeight="1" x14ac:dyDescent="0.2">
      <c r="A183"/>
      <c r="S183" s="231"/>
    </row>
    <row r="184" spans="1:19" ht="20.100000000000001" customHeight="1" x14ac:dyDescent="0.2">
      <c r="A184"/>
      <c r="S184" s="231"/>
    </row>
    <row r="185" spans="1:19" ht="20.100000000000001" customHeight="1" x14ac:dyDescent="0.2">
      <c r="A185"/>
      <c r="S185" s="231"/>
    </row>
    <row r="186" spans="1:19" ht="20.100000000000001" customHeight="1" x14ac:dyDescent="0.2">
      <c r="A186"/>
      <c r="S186" s="231"/>
    </row>
    <row r="187" spans="1:19" ht="20.100000000000001" customHeight="1" x14ac:dyDescent="0.2">
      <c r="A187"/>
      <c r="S187" s="231"/>
    </row>
    <row r="188" spans="1:19" ht="20.100000000000001" customHeight="1" x14ac:dyDescent="0.2">
      <c r="A188"/>
      <c r="S188" s="231"/>
    </row>
    <row r="189" spans="1:19" ht="20.100000000000001" customHeight="1" x14ac:dyDescent="0.2">
      <c r="A189"/>
      <c r="S189" s="231"/>
    </row>
    <row r="190" spans="1:19" ht="20.100000000000001" customHeight="1" x14ac:dyDescent="0.2">
      <c r="A190"/>
      <c r="S190" s="231"/>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29B0EE4E-0EC1-473A-AB16-4F7D2AB047F3}">
      <formula1>INDIRECT("Table_Scope3_AquacultureFeedBait[Feed / Bait ingredient]")</formula1>
    </dataValidation>
    <dataValidation type="list" allowBlank="1" showInputMessage="1" showErrorMessage="1" sqref="G23:G32" xr:uid="{28B5640B-B55A-4142-8F23-9C9327290921}">
      <formula1>"Hour, Hectare"</formula1>
    </dataValidation>
    <dataValidation type="list" allowBlank="1" showInputMessage="1" showErrorMessage="1" sqref="E8:E17" xr:uid="{95A2B517-2BC2-4D79-BA77-80DDCA9886D4}">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80DBE-48B7-4622-9B35-AE9C1C929EEC}">
  <sheetPr>
    <tabColor theme="5" tint="-0.249977111117893"/>
  </sheetPr>
  <dimension ref="A1:S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18" width="30.5703125" style="1" customWidth="1"/>
    <col min="19" max="19" width="4.5703125" style="1" customWidth="1"/>
  </cols>
  <sheetData>
    <row r="1" spans="1:19" s="10" customFormat="1" ht="30" customHeight="1" x14ac:dyDescent="0.35">
      <c r="C1" s="10" t="s">
        <v>812</v>
      </c>
    </row>
    <row r="2" spans="1:19" s="3" customFormat="1" ht="20.100000000000001" customHeight="1" x14ac:dyDescent="0.2">
      <c r="A2"/>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EI")</f>
        <v>Results - Product EI</v>
      </c>
      <c r="D5" s="235" t="s">
        <v>813</v>
      </c>
      <c r="E5" s="8"/>
      <c r="F5" s="8"/>
      <c r="G5" s="8"/>
      <c r="H5" s="8"/>
      <c r="I5" s="8"/>
      <c r="J5" s="8"/>
    </row>
    <row r="6" spans="1:19" ht="20.100000000000001" customHeight="1" x14ac:dyDescent="0.2">
      <c r="D6" s="236" t="s">
        <v>814</v>
      </c>
      <c r="E6" s="236"/>
      <c r="F6" s="105"/>
      <c r="G6" s="45"/>
      <c r="H6" s="25"/>
      <c r="I6" s="25"/>
      <c r="J6" s="25"/>
    </row>
    <row r="7" spans="1:19" ht="20.100000000000001" customHeight="1" x14ac:dyDescent="0.2">
      <c r="D7" s="46" t="s">
        <v>815</v>
      </c>
      <c r="E7" s="47"/>
      <c r="F7" s="47"/>
      <c r="G7" s="48"/>
      <c r="H7" s="25"/>
      <c r="I7" s="25"/>
      <c r="J7" s="25"/>
    </row>
    <row r="8" spans="1:19" ht="20.100000000000001" customHeight="1" x14ac:dyDescent="0.2">
      <c r="A8" s="7" t="s">
        <v>0</v>
      </c>
      <c r="D8" s="8"/>
      <c r="E8" s="8"/>
      <c r="F8" s="8"/>
      <c r="G8" s="8"/>
      <c r="H8" s="8"/>
      <c r="I8" s="8"/>
      <c r="J8" s="8"/>
      <c r="K8" s="89"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9"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9"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ht="20.100000000000001" customHeight="1" x14ac:dyDescent="0.2">
      <c r="A9" s="5" t="str">
        <f>HYPERLINK("#'Input - Enterprise'!A1", "Enterprise")</f>
        <v>Enterprise</v>
      </c>
      <c r="D9" s="110" t="s">
        <v>790</v>
      </c>
      <c r="E9" s="110" t="s">
        <v>816</v>
      </c>
      <c r="F9" s="110" t="s">
        <v>817</v>
      </c>
      <c r="G9" s="110" t="s">
        <v>341</v>
      </c>
      <c r="H9" s="110" t="s">
        <v>818</v>
      </c>
      <c r="I9" s="110" t="s">
        <v>819</v>
      </c>
      <c r="J9" s="110" t="s">
        <v>820</v>
      </c>
      <c r="K9" s="237" t="s">
        <v>821</v>
      </c>
      <c r="L9" s="237" t="s">
        <v>822</v>
      </c>
      <c r="M9" s="237" t="s">
        <v>823</v>
      </c>
      <c r="N9" s="237" t="s">
        <v>824</v>
      </c>
      <c r="O9" s="237" t="s">
        <v>825</v>
      </c>
      <c r="P9" s="237" t="s">
        <v>826</v>
      </c>
      <c r="Q9" s="237" t="s">
        <v>827</v>
      </c>
      <c r="R9" s="237" t="s">
        <v>828</v>
      </c>
    </row>
    <row r="10" spans="1:19" ht="20.100000000000001" customHeight="1" x14ac:dyDescent="0.2">
      <c r="A10" s="5" t="str">
        <f>HYPERLINK("#'Input - Site'!A1", "Site")</f>
        <v>Site</v>
      </c>
      <c r="D10" s="238" t="s">
        <v>829</v>
      </c>
      <c r="E10" s="239">
        <v>10</v>
      </c>
      <c r="F10" s="13" t="s">
        <v>405</v>
      </c>
      <c r="G10" s="76">
        <v>100</v>
      </c>
      <c r="H10" s="15">
        <f>Table_Input_Pesticides[[#This Row],[Amount applied per ha]]*Table_Input_Pesticides[[#This Row],[Application area (ha)]]</f>
        <v>1000</v>
      </c>
      <c r="I10" s="13" t="s">
        <v>830</v>
      </c>
      <c r="J10" s="13" t="s">
        <v>831</v>
      </c>
      <c r="K10" s="76">
        <v>100</v>
      </c>
      <c r="L10" s="15">
        <f>Table_Input_Pesticides[[#This Row],[Total applied]]*Table_Input_Pesticides[[#This Row],[Active ingredient 1 amount]]*IF(Table_Input_Pesticides[[#This Row],[Constituent unit (select)]]="fraction of product", 1, 10^-3)</f>
        <v>100</v>
      </c>
      <c r="M10" s="13" t="s">
        <v>831</v>
      </c>
      <c r="N10" s="76">
        <v>100</v>
      </c>
      <c r="O10" s="15">
        <f>Table_Input_Pesticides[[#This Row],[Total applied]]*Table_Input_Pesticides[[#This Row],[Active ingredient 2 amount]]*IF(Table_Input_Pesticides[[#This Row],[Constituent unit (select)]]="fraction of product", 1, 10^-3)</f>
        <v>100</v>
      </c>
      <c r="P10" s="13" t="s">
        <v>832</v>
      </c>
      <c r="Q10" s="76">
        <v>100</v>
      </c>
      <c r="R10" s="15">
        <f>Table_Input_Pesticides[[#This Row],[Total applied]]*Table_Input_Pesticides[[#This Row],[Active ingredient 3 amount]]*IF(Table_Input_Pesticides[[#This Row],[Constituent unit (select)]]="fraction of product", 1, 10^-3)</f>
        <v>100</v>
      </c>
    </row>
    <row r="11" spans="1:19" ht="20.100000000000001" customHeight="1" x14ac:dyDescent="0.2">
      <c r="A11" s="5" t="str">
        <f>HYPERLINK("#'Input - Crop'!A1", "Crop")</f>
        <v>Crop</v>
      </c>
      <c r="D11" s="238" t="s">
        <v>833</v>
      </c>
      <c r="E11" s="239">
        <v>10</v>
      </c>
      <c r="F11" s="13" t="s">
        <v>834</v>
      </c>
      <c r="G11" s="76">
        <v>100</v>
      </c>
      <c r="H11" s="15">
        <f>Table_Input_Pesticides[[#This Row],[Amount applied per ha]]*Table_Input_Pesticides[[#This Row],[Application area (ha)]]</f>
        <v>1000</v>
      </c>
      <c r="I11" s="13" t="s">
        <v>830</v>
      </c>
      <c r="J11" s="13" t="s">
        <v>831</v>
      </c>
      <c r="K11" s="76">
        <v>100</v>
      </c>
      <c r="L11" s="15">
        <f>Table_Input_Pesticides[[#This Row],[Total applied]]*Table_Input_Pesticides[[#This Row],[Active ingredient 1 amount]]*IF(Table_Input_Pesticides[[#This Row],[Constituent unit (select)]]="fraction of product", 1, 10^-3)</f>
        <v>100</v>
      </c>
      <c r="M11" s="13" t="s">
        <v>835</v>
      </c>
      <c r="N11" s="76">
        <v>100</v>
      </c>
      <c r="O11" s="15">
        <f>Table_Input_Pesticides[[#This Row],[Total applied]]*Table_Input_Pesticides[[#This Row],[Active ingredient 2 amount]]*IF(Table_Input_Pesticides[[#This Row],[Constituent unit (select)]]="fraction of product", 1, 10^-3)</f>
        <v>100</v>
      </c>
      <c r="P11" s="13" t="s">
        <v>836</v>
      </c>
      <c r="Q11" s="76">
        <v>100</v>
      </c>
      <c r="R11" s="15">
        <f>Table_Input_Pesticides[[#This Row],[Total applied]]*Table_Input_Pesticides[[#This Row],[Active ingredient 3 amount]]*IF(Table_Input_Pesticides[[#This Row],[Constituent unit (select)]]="fraction of product", 1, 10^-3)</f>
        <v>100</v>
      </c>
    </row>
    <row r="12" spans="1:19" ht="20.100000000000001" customHeight="1" x14ac:dyDescent="0.2">
      <c r="A12" s="5" t="str">
        <f>HYPERLINK("#'Input - Fert Prod System'!A1", "Fert Prod System")</f>
        <v>Fert Prod System</v>
      </c>
      <c r="D12" s="238" t="s">
        <v>837</v>
      </c>
      <c r="E12" s="239">
        <v>10</v>
      </c>
      <c r="F12" s="13" t="s">
        <v>405</v>
      </c>
      <c r="G12" s="76">
        <v>100</v>
      </c>
      <c r="H12" s="15">
        <f>Table_Input_Pesticides[[#This Row],[Amount applied per ha]]*Table_Input_Pesticides[[#This Row],[Application area (ha)]]</f>
        <v>1000</v>
      </c>
      <c r="I12" s="13" t="s">
        <v>830</v>
      </c>
      <c r="J12" s="13" t="s">
        <v>831</v>
      </c>
      <c r="K12" s="76">
        <v>100</v>
      </c>
      <c r="L12" s="15">
        <f>Table_Input_Pesticides[[#This Row],[Total applied]]*Table_Input_Pesticides[[#This Row],[Active ingredient 1 amount]]*IF(Table_Input_Pesticides[[#This Row],[Constituent unit (select)]]="fraction of product", 1, 10^-3)</f>
        <v>100</v>
      </c>
      <c r="M12" s="13" t="s">
        <v>838</v>
      </c>
      <c r="N12" s="76">
        <v>100</v>
      </c>
      <c r="O12" s="15">
        <f>Table_Input_Pesticides[[#This Row],[Total applied]]*Table_Input_Pesticides[[#This Row],[Active ingredient 2 amount]]*IF(Table_Input_Pesticides[[#This Row],[Constituent unit (select)]]="fraction of product", 1, 10^-3)</f>
        <v>100</v>
      </c>
      <c r="P12" s="13" t="s">
        <v>839</v>
      </c>
      <c r="Q12" s="76">
        <v>100</v>
      </c>
      <c r="R12" s="15">
        <f>Table_Input_Pesticides[[#This Row],[Total applied]]*Table_Input_Pesticides[[#This Row],[Active ingredient 3 amount]]*IF(Table_Input_Pesticides[[#This Row],[Constituent unit (select)]]="fraction of product", 1, 10^-3)</f>
        <v>100</v>
      </c>
    </row>
    <row r="13" spans="1:19" ht="20.100000000000001" customHeight="1" x14ac:dyDescent="0.2">
      <c r="A13" s="5" t="str">
        <f>HYPERLINK("#'Input - Fertiliser'!A1", "Fertiliser")</f>
        <v>Fertiliser</v>
      </c>
      <c r="D13" s="238"/>
      <c r="E13" s="239"/>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ht="20.100000000000001" customHeight="1" x14ac:dyDescent="0.2">
      <c r="A14" s="5" t="str">
        <f>HYPERLINK("#'Input - Fuel'!A1", "Fuel")</f>
        <v>Fuel</v>
      </c>
      <c r="D14" s="238"/>
      <c r="E14" s="239"/>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ht="20.100000000000001" customHeight="1" x14ac:dyDescent="0.2">
      <c r="A15" s="5" t="str">
        <f>HYPERLINK("#'Input - Electricity'!A1", "Electricity")</f>
        <v>Electricity</v>
      </c>
      <c r="D15" s="238"/>
      <c r="E15" s="239"/>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ht="20.100000000000001" customHeight="1" x14ac:dyDescent="0.2">
      <c r="A16" s="5" t="str">
        <f>HYPERLINK("#'Input - Common farm inputs'!A1", "Common farm inputs")</f>
        <v>Common farm inputs</v>
      </c>
      <c r="D16" s="238"/>
      <c r="E16" s="239"/>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ht="20.100000000000001" customHeight="1" x14ac:dyDescent="0.2">
      <c r="A17" s="108" t="str">
        <f>HYPERLINK("#'Input - Crop pasture farm input'!A1", "Crop pasture farm input")</f>
        <v>Crop pasture farm input</v>
      </c>
      <c r="D17" s="238"/>
      <c r="E17" s="239"/>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ht="20.100000000000001" customHeight="1" x14ac:dyDescent="0.2">
      <c r="A18" s="5" t="str">
        <f>HYPERLINK("#'Input - Freight'!A1", "Freight")</f>
        <v>Freight</v>
      </c>
      <c r="D18" s="238"/>
      <c r="E18" s="239"/>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ht="20.100000000000001" customHeight="1" x14ac:dyDescent="0.2">
      <c r="A19" s="5" t="str">
        <f>HYPERLINK("#'Input - Solid waste'!A1", "Solid waste")</f>
        <v>Solid waste</v>
      </c>
      <c r="D19" s="238"/>
      <c r="E19" s="239"/>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ht="20.100000000000001" customHeight="1" x14ac:dyDescent="0.2">
      <c r="A20" s="5" t="str">
        <f>HYPERLINK("#'Input - Data quality'!A1", "Data quality")</f>
        <v>Data quality</v>
      </c>
    </row>
    <row r="22" spans="1:18" ht="20.100000000000001" customHeight="1" x14ac:dyDescent="0.2">
      <c r="D22" s="2" t="s">
        <v>840</v>
      </c>
      <c r="E22" s="232"/>
      <c r="F22" s="232"/>
    </row>
    <row r="23" spans="1:18" ht="20.100000000000001" customHeight="1" x14ac:dyDescent="0.2">
      <c r="A23" s="6" t="s">
        <v>2</v>
      </c>
      <c r="D23" s="1" t="str">
        <f>'Constants - Scope 3'!E204</f>
        <v>Barley grain (for seed)</v>
      </c>
      <c r="E23" s="76">
        <v>500</v>
      </c>
      <c r="F23" s="16" t="s">
        <v>406</v>
      </c>
    </row>
    <row r="24" spans="1:18" ht="20.100000000000001" customHeight="1" x14ac:dyDescent="0.2">
      <c r="A24" s="5" t="str">
        <f>HYPERLINK("#'5.1.1.1-2 Inorganic fert N2O'!A1", "5.1.1.1-2 Inorganic fert N2O")</f>
        <v>5.1.1.1-2 Inorganic fert N2O</v>
      </c>
      <c r="D24" s="1" t="str">
        <f>'Constants - Scope 3'!E205</f>
        <v>Maize grain (for seed)</v>
      </c>
      <c r="E24" s="76">
        <v>600</v>
      </c>
      <c r="F24" s="16" t="s">
        <v>406</v>
      </c>
    </row>
    <row r="25" spans="1:18" ht="20.100000000000001" customHeight="1" x14ac:dyDescent="0.2">
      <c r="A25" s="5" t="str">
        <f>HYPERLINK("#'5.1.1.3-4 Inorganic fert CO2'!A1", "5.1.1.3-4 Inorganic fert CO2")</f>
        <v>5.1.1.3-4 Inorganic fert CO2</v>
      </c>
      <c r="D25" s="1" t="str">
        <f>'Constants - Scope 3'!E207</f>
        <v>Oat grain (for seed)</v>
      </c>
      <c r="E25" s="76">
        <v>700</v>
      </c>
      <c r="F25" s="16" t="s">
        <v>406</v>
      </c>
    </row>
    <row r="26" spans="1:18" ht="20.100000000000001" customHeight="1" x14ac:dyDescent="0.2">
      <c r="A26" s="5" t="str">
        <f>HYPERLINK("#'5.2.1.1-2 Organic Fert N2O'!A1", "5.2.1.1-2 Organic fert N2O")</f>
        <v>5.2.1.1-2 Organic fert N2O</v>
      </c>
      <c r="D26" s="1" t="str">
        <f>'Constants - Scope 3'!E208</f>
        <v>Sorghum grain (for seed)</v>
      </c>
      <c r="E26" s="76">
        <v>800</v>
      </c>
      <c r="F26" s="16" t="s">
        <v>406</v>
      </c>
    </row>
    <row r="27" spans="1:18" ht="20.100000000000001" customHeight="1" x14ac:dyDescent="0.2">
      <c r="A27" s="5" t="str">
        <f>HYPERLINK("#'5.3.1.1-2 Lime CO2'!A1", "5.3.1.1-2 Lime CO2")</f>
        <v>5.3.1.1-2 Lime CO2</v>
      </c>
      <c r="D27" s="1" t="str">
        <f>'Constants - Scope 3'!E209</f>
        <v>Wheat grain (for seed)</v>
      </c>
      <c r="E27" s="76">
        <v>900</v>
      </c>
      <c r="F27" s="16" t="s">
        <v>406</v>
      </c>
    </row>
    <row r="28" spans="1:18" ht="20.100000000000001" customHeight="1" x14ac:dyDescent="0.2">
      <c r="A28" s="5" t="str">
        <f>HYPERLINK("#'5.4.1.1-4 Atmos deposition'!A1", "5.4.1.1-4 Atmos. deposition")</f>
        <v>5.4.1.1-4 Atmos. deposition</v>
      </c>
    </row>
    <row r="29" spans="1:18" ht="20.100000000000001" customHeight="1" x14ac:dyDescent="0.2">
      <c r="A29" s="5" t="str">
        <f>HYPERLINK("#'5.5.1.1-2 Leaching and runoff'!A1", "5.5.1.1-2 Leaching &amp; runoff")</f>
        <v>5.5.1.1-2 Leaching &amp; runoff</v>
      </c>
    </row>
    <row r="30" spans="1:18" ht="20.100000000000001" customHeight="1" x14ac:dyDescent="0.2">
      <c r="A30" s="5" t="str">
        <f>HYPERLINK("#'6.1.1.1-2 Crop residue N2O'!A1", "6.1.1.1-2 Crop residue N2O")</f>
        <v>6.1.1.1-2 Crop residue N2O</v>
      </c>
    </row>
    <row r="31" spans="1:18" ht="20.100000000000001" customHeight="1" x14ac:dyDescent="0.2">
      <c r="A31" s="5" t="str">
        <f>HYPERLINK("#'6.3.1.1-2 Leach runoff crop'!A1", "6.3.1.1-2 Leach &amp; runoff (crop)")</f>
        <v>6.3.1.1-2 Leach &amp; runoff (crop)</v>
      </c>
    </row>
    <row r="32" spans="1:18"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5"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dataValidations count="3">
    <dataValidation type="list" allowBlank="1" showInputMessage="1" showErrorMessage="1" sqref="J10:J19 M10:M19 P10:P19" xr:uid="{ACFAEB25-DDCC-413F-AC2A-52884643E51C}">
      <formula1>INDIRECT("Table_SourceData_Scope3_Pesticides[Product]")</formula1>
    </dataValidation>
    <dataValidation type="list" allowBlank="1" showInputMessage="1" showErrorMessage="1" sqref="I10:I19" xr:uid="{53A43DA0-B0D3-4A35-AB75-ABB852D16315}">
      <formula1>"grams/litre or grams/kg, fraction of product"</formula1>
    </dataValidation>
    <dataValidation type="list" allowBlank="1" showInputMessage="1" showErrorMessage="1" sqref="F10:F19" xr:uid="{F7B9CE87-894D-402E-8344-D682AC909790}">
      <formula1>"kg / hectare, litre / hectare"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31FE2-2B29-4642-BFF5-9B67DCBF16D2}">
  <sheetPr>
    <tabColor theme="5" tint="-0.249977111117893"/>
  </sheetPr>
  <dimension ref="A1:J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841</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row>
    <row r="6" spans="1:10" ht="20.100000000000001" customHeight="1" x14ac:dyDescent="0.2">
      <c r="D6" s="2" t="s">
        <v>842</v>
      </c>
    </row>
    <row r="8" spans="1:10" ht="20.100000000000001" customHeight="1" x14ac:dyDescent="0.2">
      <c r="A8" s="7" t="s">
        <v>0</v>
      </c>
      <c r="D8" s="20" t="s">
        <v>843</v>
      </c>
      <c r="E8" s="20" t="s">
        <v>844</v>
      </c>
      <c r="F8" s="20" t="s">
        <v>845</v>
      </c>
      <c r="G8" s="20" t="s">
        <v>846</v>
      </c>
      <c r="H8" s="20" t="s">
        <v>847</v>
      </c>
    </row>
    <row r="9" spans="1:10" ht="20.100000000000001" customHeight="1" x14ac:dyDescent="0.2">
      <c r="A9" s="5" t="str">
        <f>HYPERLINK("#'Input - Enterprise'!A1", "Enterprise")</f>
        <v>Enterprise</v>
      </c>
      <c r="D9" s="34" t="s">
        <v>848</v>
      </c>
      <c r="E9" s="13" t="s">
        <v>849</v>
      </c>
      <c r="F9" s="20">
        <v>986</v>
      </c>
      <c r="G9" s="20">
        <v>10</v>
      </c>
      <c r="H9" s="20">
        <v>52</v>
      </c>
    </row>
    <row r="10" spans="1:10" ht="20.100000000000001" customHeight="1" x14ac:dyDescent="0.2">
      <c r="A10" s="5" t="str">
        <f>HYPERLINK("#'Input - Site'!A1", "Site")</f>
        <v>Site</v>
      </c>
      <c r="D10" s="34" t="s">
        <v>850</v>
      </c>
      <c r="E10" s="13" t="s">
        <v>851</v>
      </c>
      <c r="F10" s="20">
        <v>65</v>
      </c>
      <c r="G10" s="20">
        <v>10</v>
      </c>
      <c r="H10" s="20">
        <v>6</v>
      </c>
    </row>
    <row r="11" spans="1:10" ht="20.100000000000001" customHeight="1" x14ac:dyDescent="0.2">
      <c r="A11" s="5" t="str">
        <f>HYPERLINK("#'Input - Crop'!A1", "Crop")</f>
        <v>Crop</v>
      </c>
      <c r="D11" s="34"/>
      <c r="E11" s="13"/>
      <c r="F11" s="20"/>
      <c r="G11" s="20"/>
      <c r="H11" s="20"/>
    </row>
    <row r="12" spans="1:10" ht="20.100000000000001" customHeight="1" x14ac:dyDescent="0.2">
      <c r="A12" s="5" t="str">
        <f>HYPERLINK("#'Input - Fert Prod System'!A1", "Fert Prod System")</f>
        <v>Fert Prod System</v>
      </c>
      <c r="D12" s="34"/>
      <c r="E12" s="13"/>
      <c r="F12" s="20"/>
      <c r="G12" s="20"/>
      <c r="H12" s="20"/>
    </row>
    <row r="13" spans="1:10" ht="20.100000000000001" customHeight="1" x14ac:dyDescent="0.2">
      <c r="A13" s="5" t="str">
        <f>HYPERLINK("#'Input - Fertiliser'!A1", "Fertiliser")</f>
        <v>Fertiliser</v>
      </c>
      <c r="D13" s="34"/>
      <c r="E13" s="13"/>
      <c r="F13" s="20"/>
      <c r="G13" s="20"/>
      <c r="H13" s="20"/>
    </row>
    <row r="14" spans="1:10" ht="20.100000000000001" customHeight="1" x14ac:dyDescent="0.2">
      <c r="A14" s="5" t="str">
        <f>HYPERLINK("#'Input - Fuel'!A1", "Fuel")</f>
        <v>Fuel</v>
      </c>
      <c r="D14" s="34"/>
      <c r="E14" s="13"/>
      <c r="F14" s="20"/>
      <c r="G14" s="20"/>
      <c r="H14" s="20"/>
    </row>
    <row r="15" spans="1:10" ht="20.100000000000001" customHeight="1" x14ac:dyDescent="0.2">
      <c r="A15" s="5" t="str">
        <f>HYPERLINK("#'Input - Electricity'!A1", "Electricity")</f>
        <v>Electricity</v>
      </c>
      <c r="D15" s="34"/>
      <c r="E15" s="13"/>
      <c r="F15" s="20"/>
      <c r="G15" s="20"/>
      <c r="H15" s="20"/>
    </row>
    <row r="16" spans="1:10" ht="20.100000000000001" customHeight="1" x14ac:dyDescent="0.2">
      <c r="A16" s="5" t="str">
        <f>HYPERLINK("#'Input - Common farm inputs'!A1", "Common farm inputs")</f>
        <v>Common farm inputs</v>
      </c>
      <c r="D16" s="34"/>
      <c r="E16" s="13"/>
      <c r="F16" s="20"/>
      <c r="G16" s="20"/>
      <c r="H16" s="20"/>
    </row>
    <row r="17" spans="1:8" ht="20.100000000000001" customHeight="1" x14ac:dyDescent="0.2">
      <c r="A17" s="5" t="str">
        <f>HYPERLINK("#'Input - Crop pasture farm input'!A1", "Crop pasture farm input")</f>
        <v>Crop pasture farm input</v>
      </c>
      <c r="D17" s="34"/>
      <c r="E17" s="13"/>
      <c r="F17" s="20"/>
      <c r="G17" s="20"/>
      <c r="H17" s="20"/>
    </row>
    <row r="18" spans="1:8" ht="20.100000000000001" customHeight="1" x14ac:dyDescent="0.2">
      <c r="A18" s="108" t="str">
        <f>HYPERLINK("#'Input - Freight'!A1", "Freight")</f>
        <v>Freight</v>
      </c>
      <c r="D18" s="34"/>
      <c r="E18" s="13"/>
      <c r="F18" s="20"/>
      <c r="G18" s="20"/>
      <c r="H18" s="20"/>
    </row>
    <row r="19" spans="1:8" ht="20.100000000000001" customHeight="1" x14ac:dyDescent="0.2">
      <c r="A19" s="5" t="str">
        <f>HYPERLINK("#'Input - Solid waste'!A1", "Solid waste")</f>
        <v>Solid waste</v>
      </c>
    </row>
    <row r="20" spans="1:8" ht="20.100000000000001" customHeight="1" x14ac:dyDescent="0.2">
      <c r="A20" s="5" t="str">
        <f>HYPERLINK("#'Input - Data quality'!A1", "Data quality")</f>
        <v>Data quality</v>
      </c>
    </row>
    <row r="22" spans="1:8" ht="20.100000000000001" customHeight="1" x14ac:dyDescent="0.2">
      <c r="D22" s="2" t="s">
        <v>852</v>
      </c>
    </row>
    <row r="23" spans="1:8" ht="20.100000000000001" customHeight="1" x14ac:dyDescent="0.2">
      <c r="A23" s="6" t="s">
        <v>2</v>
      </c>
    </row>
    <row r="24" spans="1:8" ht="20.100000000000001" customHeight="1" x14ac:dyDescent="0.2">
      <c r="A24" s="5" t="str">
        <f>HYPERLINK("#'5.1.1.1-2 Inorganic fert N2O'!A1", "5.1.1.1-2 Inorganic fert N2O")</f>
        <v>5.1.1.1-2 Inorganic fert N2O</v>
      </c>
      <c r="D24" s="20" t="s">
        <v>843</v>
      </c>
      <c r="E24" s="20" t="s">
        <v>844</v>
      </c>
      <c r="F24" s="20" t="s">
        <v>845</v>
      </c>
      <c r="G24" s="20" t="s">
        <v>846</v>
      </c>
      <c r="H24" s="20" t="s">
        <v>847</v>
      </c>
    </row>
    <row r="25" spans="1:8" ht="20.100000000000001" customHeight="1" x14ac:dyDescent="0.2">
      <c r="A25" s="5" t="str">
        <f>HYPERLINK("#'5.1.1.3-4 Inorganic fert CO2'!A1", "5.1.1.3-4 Inorganic fert CO2")</f>
        <v>5.1.1.3-4 Inorganic fert CO2</v>
      </c>
      <c r="D25" s="34" t="s">
        <v>853</v>
      </c>
      <c r="E25" s="13" t="s">
        <v>849</v>
      </c>
      <c r="F25" s="20">
        <v>65</v>
      </c>
      <c r="G25" s="20">
        <v>20</v>
      </c>
      <c r="H25" s="20">
        <v>52</v>
      </c>
    </row>
    <row r="26" spans="1:8" ht="20.100000000000001" customHeight="1" x14ac:dyDescent="0.2">
      <c r="A26" s="5" t="str">
        <f>HYPERLINK("#'5.2.1.1-2 Organic Fert N2O'!A1", "5.2.1.1-2 Organic fert N2O")</f>
        <v>5.2.1.1-2 Organic fert N2O</v>
      </c>
      <c r="D26" s="34"/>
      <c r="E26" s="13"/>
      <c r="F26" s="20"/>
      <c r="G26" s="20"/>
      <c r="H26" s="20"/>
    </row>
    <row r="27" spans="1:8" ht="20.100000000000001" customHeight="1" x14ac:dyDescent="0.2">
      <c r="A27" s="5" t="str">
        <f>HYPERLINK("#'5.3.1.1-2 Lime CO2'!A1", "5.3.1.1-2 Lime CO2")</f>
        <v>5.3.1.1-2 Lime CO2</v>
      </c>
      <c r="D27" s="34"/>
      <c r="E27" s="13"/>
      <c r="F27" s="20"/>
      <c r="G27" s="20"/>
      <c r="H27" s="20"/>
    </row>
    <row r="28" spans="1:8" ht="20.100000000000001" customHeight="1" x14ac:dyDescent="0.2">
      <c r="A28" s="5" t="str">
        <f>HYPERLINK("#'5.4.1.1-4 Atmos deposition'!A1", "5.4.1.1-4 Atmos. deposition")</f>
        <v>5.4.1.1-4 Atmos. deposition</v>
      </c>
      <c r="D28" s="34"/>
      <c r="E28" s="13"/>
      <c r="F28" s="20"/>
      <c r="G28" s="20"/>
      <c r="H28" s="20"/>
    </row>
    <row r="29" spans="1:8" ht="20.100000000000001" customHeight="1" x14ac:dyDescent="0.2">
      <c r="A29" s="5" t="str">
        <f>HYPERLINK("#'5.5.1.1-2 Leaching and runoff'!A1", "5.5.1.1-2 Leaching &amp; runoff")</f>
        <v>5.5.1.1-2 Leaching &amp; runoff</v>
      </c>
      <c r="D29" s="34"/>
      <c r="E29" s="13"/>
      <c r="F29" s="20"/>
      <c r="G29" s="20"/>
      <c r="H29" s="20"/>
    </row>
    <row r="30" spans="1:8" ht="20.100000000000001" customHeight="1" x14ac:dyDescent="0.2">
      <c r="A30" s="5" t="str">
        <f>HYPERLINK("#'6.1.1.1-2 Crop residue N2O'!A1", "6.1.1.1-2 Crop residue N2O")</f>
        <v>6.1.1.1-2 Crop residue N2O</v>
      </c>
      <c r="D30" s="34"/>
      <c r="E30" s="13"/>
      <c r="F30" s="20"/>
      <c r="G30" s="20"/>
      <c r="H30" s="20"/>
    </row>
    <row r="31" spans="1:8" ht="20.100000000000001" customHeight="1" x14ac:dyDescent="0.2">
      <c r="A31" s="5" t="str">
        <f>HYPERLINK("#'6.3.1.1-2 Leach runoff crop'!A1", "6.3.1.1-2 Leach &amp; runoff (crop)")</f>
        <v>6.3.1.1-2 Leach &amp; runoff (crop)</v>
      </c>
      <c r="D31" s="34"/>
      <c r="E31" s="13"/>
      <c r="F31" s="20"/>
      <c r="G31" s="20"/>
      <c r="H31" s="20"/>
    </row>
    <row r="32" spans="1:8" ht="20.100000000000001" customHeight="1" x14ac:dyDescent="0.2">
      <c r="A32" s="5" t="str">
        <f>HYPERLINK("#'8.1.1.1-2 Transport fuel'!A1", "8.1.1.1-2 Transport fuel")</f>
        <v>8.1.1.1-2 Transport fuel</v>
      </c>
      <c r="D32" s="34"/>
      <c r="E32" s="13"/>
      <c r="F32" s="20"/>
      <c r="G32" s="20"/>
      <c r="H32" s="20"/>
    </row>
    <row r="33" spans="1:8" ht="20.100000000000001" customHeight="1" x14ac:dyDescent="0.2">
      <c r="A33" s="5" t="str">
        <f>HYPERLINK("#'8.2.1.1-2 Stationary fuel'!A1", "8.2.1.1-2 Stationary fuel")</f>
        <v>8.2.1.1-2 Stationary fuel</v>
      </c>
      <c r="D33" s="34"/>
      <c r="E33" s="13"/>
      <c r="F33" s="20"/>
      <c r="G33" s="20"/>
      <c r="H33" s="20"/>
    </row>
    <row r="34" spans="1:8" ht="20.100000000000001" customHeight="1" x14ac:dyDescent="0.2">
      <c r="A34" s="5" t="str">
        <f>HYPERLINK("#'10.1.1-2 Solid waste treatment'!A1", "10.1.1.1-2 Solid waste")</f>
        <v>10.1.1.1-2 Solid waste</v>
      </c>
      <c r="D34" s="34"/>
      <c r="E34" s="13"/>
      <c r="F34" s="20"/>
      <c r="G34" s="20"/>
      <c r="H34" s="20"/>
    </row>
    <row r="35" spans="1:8" ht="20.100000000000001" customHeight="1" x14ac:dyDescent="0.2">
      <c r="A35" s="5" t="str">
        <f>HYPERLINK("#'14.1.1-2 Purchased electricity'!A1", "14.1.1-2 Purchased electricity")</f>
        <v>14.1.1-2 Purchased electricity</v>
      </c>
    </row>
    <row r="36" spans="1:8" ht="20.100000000000001" customHeight="1" x14ac:dyDescent="0.2">
      <c r="A36" s="5" t="str">
        <f>HYPERLINK("#'15 Scope 3'!A1", "15 Scope 3")</f>
        <v>15 Scope 3</v>
      </c>
    </row>
    <row r="39" spans="1:8" ht="20.100000000000001" customHeight="1" x14ac:dyDescent="0.2">
      <c r="A39" s="82" t="s">
        <v>1</v>
      </c>
    </row>
    <row r="40" spans="1:8" ht="20.100000000000001" customHeight="1" x14ac:dyDescent="0.2">
      <c r="A40" s="5" t="str">
        <f>HYPERLINK("#'Constants - Ag Residue'!A1", "Constants - Ag residue")</f>
        <v>Constants - Ag residue</v>
      </c>
    </row>
    <row r="41" spans="1:8" ht="20.100000000000001" customHeight="1" x14ac:dyDescent="0.2">
      <c r="A41" s="5" t="str">
        <f>HYPERLINK("#'Constants - Electricity'!A1", "Constants - Electricity")</f>
        <v>Constants - Electricity</v>
      </c>
    </row>
    <row r="42" spans="1:8" ht="20.100000000000001" customHeight="1" x14ac:dyDescent="0.2">
      <c r="A42" s="5" t="str">
        <f>HYPERLINK("#'Constants - Fertiliser'!A1", "Constants - Fertiliser")</f>
        <v>Constants - Fertiliser</v>
      </c>
    </row>
    <row r="43" spans="1:8" ht="20.100000000000001" customHeight="1" x14ac:dyDescent="0.2">
      <c r="A43" s="5" t="str">
        <f>HYPERLINK("#'Constants - Fuel'!A1", "Constants - Fuel")</f>
        <v>Constants - Fuel</v>
      </c>
    </row>
    <row r="44" spans="1:8" ht="20.100000000000001" customHeight="1" x14ac:dyDescent="0.2">
      <c r="A44" s="5" t="str">
        <f>HYPERLINK("#'Constants - Scope 3'!A1", "Constants - Scope 3")</f>
        <v>Constants - Scope 3</v>
      </c>
    </row>
    <row r="45" spans="1:8" ht="20.100000000000001" customHeight="1" x14ac:dyDescent="0.2">
      <c r="A45" s="5" t="str">
        <f>HYPERLINK("#'Constants - Solid Waste'!A1", "Constants - Solid Waste")</f>
        <v>Constants - Solid Waste</v>
      </c>
    </row>
    <row r="46" spans="1:8" ht="20.100000000000001" customHeight="1" x14ac:dyDescent="0.2">
      <c r="A46" s="5" t="str">
        <f>HYPERLINK("#'Constants - Common'!A1", "Constants - Common")</f>
        <v>Constants - Common</v>
      </c>
    </row>
    <row r="47" spans="1:8" ht="20.100000000000001" customHeight="1" x14ac:dyDescent="0.2">
      <c r="A47" s="5" t="str">
        <f>HYPERLINK("#'Constants - Common Livestock'!A1", "Constants - Common Livestock")</f>
        <v>Constants - Common Livestock</v>
      </c>
    </row>
  </sheetData>
  <dataValidations count="1">
    <dataValidation type="list" allowBlank="1" showInputMessage="1" showErrorMessage="1" sqref="E9:E18 E25:E34" xr:uid="{1D470C18-8843-48A3-AB34-F3E704204617}">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2D36F-8E1E-4E83-A845-046AC4091D6E}">
  <sheetPr>
    <tabColor theme="5" tint="-0.249977111117893"/>
  </sheetPr>
  <dimension ref="A1:L38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673</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c r="D5" s="2" t="s">
        <v>674</v>
      </c>
    </row>
    <row r="7" spans="1:10" ht="20.100000000000001" customHeight="1" x14ac:dyDescent="0.2">
      <c r="D7" s="36" t="s">
        <v>549</v>
      </c>
      <c r="E7" s="39"/>
    </row>
    <row r="8" spans="1:10" ht="20.100000000000001" customHeight="1" x14ac:dyDescent="0.2">
      <c r="A8" s="7" t="s">
        <v>0</v>
      </c>
    </row>
    <row r="9" spans="1:10" ht="20.100000000000001" customHeight="1" x14ac:dyDescent="0.2">
      <c r="A9" s="5" t="str">
        <f>HYPERLINK("#'Input - Enterprise'!A1", "Enterprise")</f>
        <v>Enterprise</v>
      </c>
      <c r="D9" s="80" t="s">
        <v>175</v>
      </c>
      <c r="E9" s="80" t="s">
        <v>675</v>
      </c>
      <c r="F9" s="80" t="s">
        <v>676</v>
      </c>
      <c r="G9" s="80" t="s">
        <v>677</v>
      </c>
      <c r="H9" s="80" t="s">
        <v>678</v>
      </c>
      <c r="I9" s="80" t="s">
        <v>679</v>
      </c>
    </row>
    <row r="10" spans="1:10" ht="20.100000000000001" customHeight="1" x14ac:dyDescent="0.2">
      <c r="A10" s="5" t="str">
        <f>HYPERLINK("#'Input - Site'!A1", "Site")</f>
        <v>Site</v>
      </c>
      <c r="D10" s="34" t="s">
        <v>680</v>
      </c>
      <c r="E10" s="13" t="s">
        <v>681</v>
      </c>
      <c r="F10" s="13" t="s">
        <v>682</v>
      </c>
      <c r="G10" s="13" t="s">
        <v>683</v>
      </c>
      <c r="H10" s="76">
        <v>50</v>
      </c>
      <c r="I10" s="13" t="s">
        <v>19</v>
      </c>
    </row>
    <row r="11" spans="1:10" ht="20.100000000000001" customHeight="1" x14ac:dyDescent="0.2">
      <c r="A11" s="5" t="str">
        <f>HYPERLINK("#'Input - Crop'!A1", "Crop")</f>
        <v>Crop</v>
      </c>
      <c r="D11" s="34" t="s">
        <v>684</v>
      </c>
      <c r="E11" s="13" t="s">
        <v>681</v>
      </c>
      <c r="F11" s="13" t="s">
        <v>682</v>
      </c>
      <c r="G11" s="13" t="s">
        <v>685</v>
      </c>
      <c r="H11" s="76">
        <v>50</v>
      </c>
      <c r="I11" s="13" t="s">
        <v>686</v>
      </c>
    </row>
    <row r="12" spans="1:10" ht="20.100000000000001" customHeight="1" x14ac:dyDescent="0.2">
      <c r="A12" s="5" t="str">
        <f>HYPERLINK("#'Input - Fert Prod System'!A1", "Fert Prod System")</f>
        <v>Fert Prod System</v>
      </c>
      <c r="D12" s="34" t="s">
        <v>687</v>
      </c>
      <c r="E12" s="13" t="s">
        <v>681</v>
      </c>
      <c r="F12" s="13" t="s">
        <v>688</v>
      </c>
      <c r="G12" s="13" t="s">
        <v>683</v>
      </c>
      <c r="H12" s="76">
        <v>50</v>
      </c>
      <c r="I12" s="13" t="s">
        <v>19</v>
      </c>
    </row>
    <row r="13" spans="1:10" ht="20.100000000000001" customHeight="1" x14ac:dyDescent="0.2">
      <c r="A13" s="5" t="str">
        <f>HYPERLINK("#'Input - Fertiliser'!A1", "Fertiliser")</f>
        <v>Fertiliser</v>
      </c>
      <c r="D13" s="34" t="s">
        <v>689</v>
      </c>
      <c r="E13" s="13" t="s">
        <v>681</v>
      </c>
      <c r="F13" s="13" t="s">
        <v>688</v>
      </c>
      <c r="G13" s="13" t="s">
        <v>685</v>
      </c>
      <c r="H13" s="76">
        <v>50</v>
      </c>
      <c r="I13" s="13" t="s">
        <v>686</v>
      </c>
    </row>
    <row r="14" spans="1:10" ht="20.100000000000001" customHeight="1" x14ac:dyDescent="0.2">
      <c r="A14" s="5" t="str">
        <f>HYPERLINK("#'Input - Fuel'!A1", "Fuel")</f>
        <v>Fuel</v>
      </c>
      <c r="D14" s="34" t="s">
        <v>690</v>
      </c>
      <c r="E14" s="13" t="s">
        <v>691</v>
      </c>
      <c r="F14" s="13" t="s">
        <v>688</v>
      </c>
      <c r="G14" s="13" t="s">
        <v>683</v>
      </c>
      <c r="H14" s="76">
        <v>50</v>
      </c>
      <c r="I14" s="13" t="s">
        <v>19</v>
      </c>
    </row>
    <row r="15" spans="1:10" ht="20.100000000000001" customHeight="1" x14ac:dyDescent="0.2">
      <c r="A15" s="5" t="str">
        <f>HYPERLINK("#'Input - Electricity'!A1", "Electricity")</f>
        <v>Electricity</v>
      </c>
      <c r="D15" s="34" t="s">
        <v>692</v>
      </c>
      <c r="E15" s="13" t="s">
        <v>691</v>
      </c>
      <c r="F15" s="13" t="s">
        <v>688</v>
      </c>
      <c r="G15" s="13" t="s">
        <v>683</v>
      </c>
      <c r="H15" s="76">
        <v>50</v>
      </c>
      <c r="I15" s="13" t="s">
        <v>686</v>
      </c>
    </row>
    <row r="16" spans="1:10" ht="20.100000000000001" customHeight="1" x14ac:dyDescent="0.2">
      <c r="A16" s="5" t="str">
        <f>HYPERLINK("#'Input - Common farm inputs'!A1", "Common farm inputs")</f>
        <v>Common farm inputs</v>
      </c>
      <c r="D16" s="34" t="s">
        <v>693</v>
      </c>
      <c r="E16" s="13" t="s">
        <v>691</v>
      </c>
      <c r="F16" s="13" t="s">
        <v>688</v>
      </c>
      <c r="G16" s="13" t="s">
        <v>685</v>
      </c>
      <c r="H16" s="76">
        <v>50</v>
      </c>
      <c r="I16" s="13" t="s">
        <v>19</v>
      </c>
    </row>
    <row r="17" spans="1:11" ht="20.100000000000001" customHeight="1" x14ac:dyDescent="0.2">
      <c r="A17" s="5" t="str">
        <f>HYPERLINK("#'Input - Crop pasture farm input'!A1", "Crop pasture farm input")</f>
        <v>Crop pasture farm input</v>
      </c>
      <c r="D17" s="34" t="s">
        <v>694</v>
      </c>
      <c r="E17" s="13" t="s">
        <v>691</v>
      </c>
      <c r="F17" s="13" t="s">
        <v>688</v>
      </c>
      <c r="G17" s="13" t="s">
        <v>685</v>
      </c>
      <c r="H17" s="76">
        <v>50</v>
      </c>
      <c r="I17" s="13" t="s">
        <v>686</v>
      </c>
    </row>
    <row r="18" spans="1:11" ht="20.100000000000001" customHeight="1" x14ac:dyDescent="0.2">
      <c r="A18" s="5" t="str">
        <f>HYPERLINK("#'Input - Freight'!A1", "Freight")</f>
        <v>Freight</v>
      </c>
      <c r="D18" s="34" t="s">
        <v>695</v>
      </c>
      <c r="E18" s="13" t="s">
        <v>691</v>
      </c>
      <c r="F18" s="13" t="s">
        <v>682</v>
      </c>
      <c r="G18" s="13" t="s">
        <v>683</v>
      </c>
      <c r="H18" s="76">
        <v>50</v>
      </c>
      <c r="I18" s="13" t="s">
        <v>19</v>
      </c>
    </row>
    <row r="19" spans="1:11" ht="20.100000000000001" customHeight="1" x14ac:dyDescent="0.2">
      <c r="A19" s="108" t="str">
        <f>HYPERLINK("#'Input - Solid waste'!A1", "Solid waste")</f>
        <v>Solid waste</v>
      </c>
      <c r="D19" s="34" t="s">
        <v>696</v>
      </c>
      <c r="E19" s="13" t="s">
        <v>691</v>
      </c>
      <c r="F19" s="13" t="s">
        <v>682</v>
      </c>
      <c r="G19" s="13" t="s">
        <v>683</v>
      </c>
      <c r="H19" s="76">
        <v>50</v>
      </c>
      <c r="I19" s="13" t="s">
        <v>686</v>
      </c>
    </row>
    <row r="20" spans="1:11" ht="20.100000000000001" customHeight="1" x14ac:dyDescent="0.2">
      <c r="A20" s="5" t="str">
        <f>HYPERLINK("#'Input - Data quality'!A1", "Data quality")</f>
        <v>Data quality</v>
      </c>
      <c r="D20" s="34" t="s">
        <v>697</v>
      </c>
      <c r="E20" s="13" t="s">
        <v>691</v>
      </c>
      <c r="F20" s="13" t="s">
        <v>682</v>
      </c>
      <c r="G20" s="13" t="s">
        <v>685</v>
      </c>
      <c r="H20" s="76">
        <v>50</v>
      </c>
      <c r="I20" s="13" t="s">
        <v>19</v>
      </c>
    </row>
    <row r="21" spans="1:11" ht="20.100000000000001" customHeight="1" x14ac:dyDescent="0.2">
      <c r="D21" s="34" t="s">
        <v>698</v>
      </c>
      <c r="E21" s="13" t="s">
        <v>691</v>
      </c>
      <c r="F21" s="13" t="s">
        <v>682</v>
      </c>
      <c r="G21" s="13" t="s">
        <v>685</v>
      </c>
      <c r="H21" s="76">
        <v>50</v>
      </c>
      <c r="I21" s="13" t="s">
        <v>686</v>
      </c>
    </row>
    <row r="22" spans="1:11" ht="20.100000000000001" customHeight="1" x14ac:dyDescent="0.2">
      <c r="D22" s="34" t="s">
        <v>699</v>
      </c>
      <c r="E22" s="13" t="s">
        <v>691</v>
      </c>
      <c r="F22" s="13" t="s">
        <v>700</v>
      </c>
      <c r="G22" s="13" t="s">
        <v>683</v>
      </c>
      <c r="H22" s="76">
        <v>50</v>
      </c>
      <c r="I22" s="13" t="s">
        <v>19</v>
      </c>
    </row>
    <row r="23" spans="1:11" ht="20.100000000000001" customHeight="1" x14ac:dyDescent="0.2">
      <c r="A23" s="6" t="s">
        <v>2</v>
      </c>
      <c r="D23" s="34" t="s">
        <v>701</v>
      </c>
      <c r="E23" s="13" t="s">
        <v>691</v>
      </c>
      <c r="F23" s="13" t="s">
        <v>700</v>
      </c>
      <c r="G23" s="13" t="s">
        <v>683</v>
      </c>
      <c r="H23" s="76">
        <v>50</v>
      </c>
      <c r="I23" s="13" t="s">
        <v>686</v>
      </c>
    </row>
    <row r="24" spans="1:11" ht="20.100000000000001" customHeight="1" x14ac:dyDescent="0.2">
      <c r="A24" s="5" t="str">
        <f>HYPERLINK("#'5.1.1.1-2 Inorganic fert N2O'!A1", "5.1.1.1-2 Inorganic fert N2O")</f>
        <v>5.1.1.1-2 Inorganic fert N2O</v>
      </c>
      <c r="D24" s="34" t="s">
        <v>702</v>
      </c>
      <c r="E24" s="13" t="s">
        <v>691</v>
      </c>
      <c r="F24" s="13" t="s">
        <v>700</v>
      </c>
      <c r="G24" s="13" t="s">
        <v>685</v>
      </c>
      <c r="H24" s="76">
        <v>50</v>
      </c>
      <c r="I24" s="13" t="s">
        <v>19</v>
      </c>
    </row>
    <row r="25" spans="1:11" ht="20.100000000000001" customHeight="1" x14ac:dyDescent="0.2">
      <c r="A25" s="5" t="str">
        <f>HYPERLINK("#'5.1.1.3-4 Inorganic fert CO2'!A1", "5.1.1.3-4 Inorganic fert CO2")</f>
        <v>5.1.1.3-4 Inorganic fert CO2</v>
      </c>
      <c r="D25" s="34" t="s">
        <v>703</v>
      </c>
      <c r="E25" s="13" t="s">
        <v>691</v>
      </c>
      <c r="F25" s="13" t="s">
        <v>700</v>
      </c>
      <c r="G25" s="13" t="s">
        <v>685</v>
      </c>
      <c r="H25" s="76">
        <v>50</v>
      </c>
      <c r="I25" s="13" t="s">
        <v>686</v>
      </c>
    </row>
    <row r="26" spans="1:11" ht="20.100000000000001" customHeight="1" x14ac:dyDescent="0.2">
      <c r="A26" s="5" t="str">
        <f>HYPERLINK("#'5.2.1.1-2 Organic Fert N2O'!A1", "5.2.1.1-2 Organic fert N2O")</f>
        <v>5.2.1.1-2 Organic fert N2O</v>
      </c>
      <c r="D26" s="34" t="s">
        <v>704</v>
      </c>
      <c r="E26" s="13" t="s">
        <v>705</v>
      </c>
      <c r="F26" s="13" t="s">
        <v>682</v>
      </c>
      <c r="G26" s="13" t="s">
        <v>685</v>
      </c>
      <c r="H26" s="76">
        <v>50</v>
      </c>
      <c r="I26" s="13" t="s">
        <v>19</v>
      </c>
    </row>
    <row r="27" spans="1:11" ht="20.100000000000001" customHeight="1" x14ac:dyDescent="0.2">
      <c r="A27" s="5" t="str">
        <f>HYPERLINK("#'5.3.1.1-2 Lime CO2'!A1", "5.3.1.1-2 Lime CO2")</f>
        <v>5.3.1.1-2 Lime CO2</v>
      </c>
      <c r="D27" s="34" t="s">
        <v>706</v>
      </c>
      <c r="E27" s="13" t="s">
        <v>705</v>
      </c>
      <c r="F27" s="13" t="s">
        <v>682</v>
      </c>
      <c r="G27" s="13" t="s">
        <v>685</v>
      </c>
      <c r="H27" s="76">
        <v>50</v>
      </c>
      <c r="I27" s="13" t="s">
        <v>686</v>
      </c>
    </row>
    <row r="28" spans="1:11" ht="20.100000000000001" customHeight="1" x14ac:dyDescent="0.2">
      <c r="A28" s="5" t="str">
        <f>HYPERLINK("#'5.4.1.1-4 Atmos deposition'!A1", "5.4.1.1-4 Atmos. deposition")</f>
        <v>5.4.1.1-4 Atmos. deposition</v>
      </c>
      <c r="D28" s="34" t="s">
        <v>707</v>
      </c>
      <c r="E28" s="13" t="s">
        <v>705</v>
      </c>
      <c r="F28" s="13" t="s">
        <v>700</v>
      </c>
      <c r="G28" s="13" t="s">
        <v>685</v>
      </c>
      <c r="H28" s="76">
        <v>50</v>
      </c>
      <c r="I28" s="13" t="s">
        <v>19</v>
      </c>
    </row>
    <row r="29" spans="1:11" ht="20.100000000000001" customHeight="1" x14ac:dyDescent="0.2">
      <c r="A29" s="5" t="str">
        <f>HYPERLINK("#'5.5.1.1-2 Leaching and runoff'!A1", "5.5.1.1-2 Leaching &amp; runoff")</f>
        <v>5.5.1.1-2 Leaching &amp; runoff</v>
      </c>
      <c r="D29" s="34" t="s">
        <v>708</v>
      </c>
      <c r="E29" s="13" t="s">
        <v>705</v>
      </c>
      <c r="F29" s="13" t="s">
        <v>700</v>
      </c>
      <c r="G29" s="13" t="s">
        <v>685</v>
      </c>
      <c r="H29" s="76">
        <v>50</v>
      </c>
      <c r="I29" s="13" t="s">
        <v>686</v>
      </c>
      <c r="K29" s="134"/>
    </row>
    <row r="30" spans="1:11" ht="20.100000000000001" customHeight="1" x14ac:dyDescent="0.2">
      <c r="A30" s="5" t="str">
        <f>HYPERLINK("#'6.1.1.1-2 Crop residue N2O'!A1", "6.1.1.1-2 Crop residue N2O")</f>
        <v>6.1.1.1-2 Crop residue N2O</v>
      </c>
      <c r="D30" s="34" t="s">
        <v>709</v>
      </c>
      <c r="E30" s="13" t="s">
        <v>705</v>
      </c>
      <c r="F30" s="13" t="s">
        <v>700</v>
      </c>
      <c r="G30" s="13" t="s">
        <v>683</v>
      </c>
      <c r="H30" s="76">
        <v>50</v>
      </c>
      <c r="I30" s="13" t="s">
        <v>19</v>
      </c>
      <c r="K30" s="134"/>
    </row>
    <row r="31" spans="1:11" ht="20.100000000000001" customHeight="1" x14ac:dyDescent="0.2">
      <c r="A31" s="5" t="str">
        <f>HYPERLINK("#'6.3.1.1-2 Leach runoff crop'!A1", "6.3.1.1-2 Leach &amp; runoff (crop)")</f>
        <v>6.3.1.1-2 Leach &amp; runoff (crop)</v>
      </c>
      <c r="D31" s="34" t="s">
        <v>710</v>
      </c>
      <c r="E31" s="13" t="s">
        <v>705</v>
      </c>
      <c r="F31" s="13" t="s">
        <v>700</v>
      </c>
      <c r="G31" s="13" t="s">
        <v>683</v>
      </c>
      <c r="H31" s="76">
        <v>50</v>
      </c>
      <c r="I31" s="13" t="s">
        <v>686</v>
      </c>
      <c r="K31" s="134"/>
    </row>
    <row r="32" spans="1:11" ht="20.100000000000001" customHeight="1" x14ac:dyDescent="0.2">
      <c r="A32" s="5" t="str">
        <f>HYPERLINK("#'8.1.1.1-2 Transport fuel'!A1", "8.1.1.1-2 Transport fuel")</f>
        <v>8.1.1.1-2 Transport fuel</v>
      </c>
      <c r="D32" s="34" t="s">
        <v>708</v>
      </c>
      <c r="E32" s="13" t="s">
        <v>705</v>
      </c>
      <c r="F32" s="13" t="s">
        <v>700</v>
      </c>
      <c r="G32" s="13" t="s">
        <v>685</v>
      </c>
      <c r="H32" s="76">
        <v>50</v>
      </c>
      <c r="I32" s="13" t="s">
        <v>686</v>
      </c>
      <c r="K32" s="134"/>
    </row>
    <row r="33" spans="1:12" ht="20.100000000000001" customHeight="1" x14ac:dyDescent="0.2">
      <c r="A33" s="5" t="str">
        <f>HYPERLINK("#'8.2.1.1-2 Stationary fuel'!A1", "8.2.1.1-2 Stationary fuel")</f>
        <v>8.2.1.1-2 Stationary fuel</v>
      </c>
      <c r="K33" s="134"/>
    </row>
    <row r="34" spans="1:12" ht="20.100000000000001" customHeight="1" x14ac:dyDescent="0.2">
      <c r="A34" s="5" t="str">
        <f>HYPERLINK("#'10.1.1-2 Solid waste treatment'!A1", "10.1.1.1-2 Solid waste")</f>
        <v>10.1.1.1-2 Solid waste</v>
      </c>
      <c r="K34" s="134"/>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c r="L36" s="134"/>
    </row>
    <row r="37" spans="1:12" ht="20.100000000000001" customHeight="1" x14ac:dyDescent="0.2">
      <c r="L37" s="134"/>
    </row>
    <row r="38" spans="1:12" ht="20.100000000000001" customHeight="1" x14ac:dyDescent="0.2">
      <c r="C38" s="122"/>
    </row>
    <row r="39" spans="1:12" ht="20.100000000000001" customHeight="1" x14ac:dyDescent="0.2">
      <c r="A39" s="82" t="s">
        <v>1</v>
      </c>
      <c r="C39" s="122"/>
      <c r="J39" s="122"/>
    </row>
    <row r="40" spans="1:12" s="134" customFormat="1" ht="20.100000000000001" customHeight="1" x14ac:dyDescent="0.2">
      <c r="A40" s="5" t="str">
        <f>HYPERLINK("#'Constants - Ag Residue'!A1", "Constants - Ag residue")</f>
        <v>Constants - Ag residue</v>
      </c>
      <c r="C40" s="1"/>
      <c r="D40" s="1"/>
      <c r="E40" s="1"/>
      <c r="F40" s="1"/>
      <c r="G40" s="1"/>
      <c r="H40" s="1"/>
      <c r="I40" s="1"/>
      <c r="J40" s="1"/>
    </row>
    <row r="41" spans="1:12" s="134" customFormat="1" ht="20.100000000000001" customHeight="1" x14ac:dyDescent="0.2">
      <c r="A41" s="5" t="str">
        <f>HYPERLINK("#'Constants - Electricity'!A1", "Constants - Electricity")</f>
        <v>Constants - Electricity</v>
      </c>
      <c r="C41" s="1"/>
      <c r="D41" s="1"/>
      <c r="E41" s="1"/>
      <c r="F41" s="1"/>
      <c r="G41" s="1"/>
      <c r="H41" s="1"/>
      <c r="I41" s="1"/>
      <c r="J41" s="1"/>
      <c r="L41" s="134" t="s">
        <v>561</v>
      </c>
    </row>
    <row r="42" spans="1:12" ht="20.100000000000001" customHeight="1" x14ac:dyDescent="0.2">
      <c r="A42" s="5" t="str">
        <f>HYPERLINK("#'Constants - Fertiliser'!A1", "Constants - Fertiliser")</f>
        <v>Constants - Fertiliser</v>
      </c>
    </row>
    <row r="43" spans="1:12" ht="20.100000000000001" customHeight="1" x14ac:dyDescent="0.2">
      <c r="A43" s="5" t="str">
        <f>HYPERLINK("#'Constants - Fuel'!A1", "Constants - Fuel")</f>
        <v>Constants - Fuel</v>
      </c>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row>
    <row r="46" spans="1:12" ht="20.100000000000001" customHeight="1" x14ac:dyDescent="0.2">
      <c r="A46" s="5" t="str">
        <f>HYPERLINK("#'Constants - Common'!A1", "Constants - Common")</f>
        <v>Constants - Common</v>
      </c>
    </row>
    <row r="47" spans="1:12" ht="20.100000000000001" customHeight="1" x14ac:dyDescent="0.2">
      <c r="A47" s="5" t="str">
        <f>HYPERLINK("#'Constants - Common Livestock'!A1", "Constants - Common Livestock")</f>
        <v>Constants - Common Livestock</v>
      </c>
    </row>
    <row r="73" spans="4:4" ht="20.100000000000001" customHeight="1" x14ac:dyDescent="0.2">
      <c r="D73" s="176"/>
    </row>
    <row r="75" spans="4:4" ht="20.100000000000001" customHeight="1" x14ac:dyDescent="0.2">
      <c r="D75" s="176"/>
    </row>
    <row r="76" spans="4:4" ht="20.100000000000001" customHeight="1" x14ac:dyDescent="0.2">
      <c r="D76" s="176"/>
    </row>
    <row r="385" spans="4:4" ht="20.100000000000001" customHeight="1" x14ac:dyDescent="0.2">
      <c r="D385" s="89"/>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97DFD87C-9361-4B8A-98FC-03C9873321D5}">
      <formula1>INDIRECT("Table_WasteTypes_" &amp; SUBSTITUTE(E10, " ", "") &amp; "[Waste type w]")</formula1>
    </dataValidation>
    <dataValidation type="list" allowBlank="1" showInputMessage="1" showErrorMessage="1" sqref="I10:I32" xr:uid="{F5B9C7C5-7489-451B-94BC-49FEB15EDA5B}">
      <formula1>"tonnes, cubic metres m3"</formula1>
    </dataValidation>
    <dataValidation type="list" allowBlank="1" showInputMessage="1" showErrorMessage="1" sqref="G10:G32" xr:uid="{16AA3A63-300E-41A4-9EF6-179866137263}">
      <formula1>"Treated on-site, Removed and treated off-site"</formula1>
    </dataValidation>
    <dataValidation type="list" allowBlank="1" showInputMessage="1" showErrorMessage="1" sqref="E10:E32" xr:uid="{A96DD220-5948-4D3D-99BE-9C253C3DA975}">
      <formula1>INDIRECT(_xlfn.UNIQUE("Table_SourceData_WasteSolid_WasteTreatmentEFs[Treatment type t]"))</formula1>
    </dataValidation>
    <dataValidation type="list" allowBlank="1" showInputMessage="1" showErrorMessage="1" sqref="E35" xr:uid="{2307775E-CA26-4BA9-8357-C93BD66F3C87}">
      <formula1>INDIRECT("Table_SourceData_ElectricityEFs[State, Territory or grid description]")</formula1>
    </dataValidation>
    <dataValidation type="list" allowBlank="1" showInputMessage="1" showErrorMessage="1" sqref="E89" xr:uid="{C2C6BB22-8199-442C-8BC8-FDD4B3410F4B}">
      <formula1>INDIRECT("Table_SourceData_Swine_IrrigationMethods[Irrigation method]")</formula1>
    </dataValidation>
    <dataValidation type="list" allowBlank="1" showInputMessage="1" showErrorMessage="1" sqref="E273 E278 E283 E317 E312 E307 E185 E173 E149 E161" xr:uid="{1CCC9FCC-968D-466B-9934-5105771955B8}">
      <formula1>"Yes, No"</formula1>
    </dataValidation>
    <dataValidation type="list" allowBlank="1" showInputMessage="1" showErrorMessage="1" sqref="E249" xr:uid="{21747708-2E59-42E2-907C-DD43F805A56B}">
      <formula1>INDIRECT("Table_SourceData_Dairy_ProductionSystemTemplates[Area]")</formula1>
    </dataValidation>
    <dataValidation type="list" allowBlank="1" showInputMessage="1" showErrorMessage="1" sqref="D301" xr:uid="{9EA21A7C-B77C-4754-A0EE-D4B9E2205812}">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67B41-AB28-4858-91DA-0018D27E344C}">
  <sheetPr>
    <tabColor rgb="FF008000"/>
  </sheetPr>
  <dimension ref="A1:X34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399</v>
      </c>
      <c r="K1"/>
    </row>
    <row r="2" spans="1:24" s="3" customFormat="1" ht="20.100000000000001" customHeight="1" x14ac:dyDescent="0.2">
      <c r="A2"/>
      <c r="K2"/>
    </row>
    <row r="3" spans="1:24" ht="20.100000000000001" customHeight="1" x14ac:dyDescent="0.2">
      <c r="A3" s="5" t="str">
        <f>HYPERLINK("#'Home'!A1", "Home")</f>
        <v>Home</v>
      </c>
      <c r="C3" s="23"/>
      <c r="D3" s="23" t="s">
        <v>128</v>
      </c>
      <c r="E3" s="23"/>
      <c r="F3" s="23"/>
      <c r="G3" s="23"/>
      <c r="H3" s="23"/>
      <c r="I3" s="23"/>
      <c r="J3" s="23"/>
      <c r="L3" s="23"/>
      <c r="M3" s="23" t="s">
        <v>129</v>
      </c>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EI")</f>
        <v>Results - Product EI</v>
      </c>
      <c r="D5" s="2" t="str" cm="1">
        <f t="array" ref="D5">Fertiliser_Equations_InorganicN2O.VEERG_5_1_1_1__2_MassOfNitrogenInInorganicFertiliser_Title()</f>
        <v>Mass of nitrogen in inorganic fertiliser applied to production system</v>
      </c>
      <c r="M5" s="89" t="s">
        <v>400</v>
      </c>
    </row>
    <row r="6" spans="1:24" ht="20.100000000000001" customHeight="1" x14ac:dyDescent="0.2">
      <c r="D6" s="17" t="str" cm="1">
        <f t="array" ref="D6">Fertiliser_Equations_InorganicN2O.VEERG_5_1_1_1__2_MassOfNitrogenInInorganicFertiliser_Source()</f>
        <v>VEERG 2026: 5.1.1.1, Equation (2)</v>
      </c>
      <c r="M6" s="70" t="s">
        <v>401</v>
      </c>
      <c r="N6" s="70"/>
      <c r="O6" s="70"/>
      <c r="P6" s="70"/>
      <c r="Q6" s="70"/>
      <c r="R6" s="70"/>
      <c r="S6" s="70"/>
    </row>
    <row r="7" spans="1:24" ht="20.100000000000001" customHeight="1" x14ac:dyDescent="0.2">
      <c r="D7" s="140" t="s">
        <v>402</v>
      </c>
      <c r="E7" s="140" t="str" cm="1">
        <f t="array" aca="1" ref="E7" ca="1">Common_InputFunctions.Utility_DisplayFunctionName(G19)</f>
        <v>=Fertiliser_Equations_InorganicN2O.VEERG_5_1_1_1__2_MassOfNitrogenInInorganicFertiliser</v>
      </c>
      <c r="M7" s="141" t="s">
        <v>403</v>
      </c>
    </row>
    <row r="8" spans="1:24" ht="20.100000000000001" customHeight="1" x14ac:dyDescent="0.2">
      <c r="A8" s="7" t="s">
        <v>0</v>
      </c>
      <c r="M8" s="142" t="s">
        <v>404</v>
      </c>
    </row>
    <row r="9" spans="1:24" ht="20.100000000000001" customHeight="1" x14ac:dyDescent="0.2">
      <c r="A9" s="5" t="str">
        <f>HYPERLINK("#'Input - Enterprise'!A1", "Enterprise")</f>
        <v>Enterprise</v>
      </c>
      <c r="O9" s="143" t="s">
        <v>405</v>
      </c>
      <c r="P9" s="143" t="s">
        <v>311</v>
      </c>
      <c r="Q9" s="143" t="s">
        <v>406</v>
      </c>
    </row>
    <row r="10" spans="1:24" ht="20.100000000000001" customHeight="1" x14ac:dyDescent="0.2">
      <c r="A10" s="5" t="str">
        <f>HYPERLINK("#'Input - Site'!A1", "Site")</f>
        <v>Site</v>
      </c>
      <c r="D10" s="77" t="s">
        <v>407</v>
      </c>
      <c r="E10" s="1" t="str" cm="1">
        <f t="array" ref="E10">Fertiliser_Equations_InorganicN2O.VEERG_5_1_1_1__2_MassOfNitrogenInInorganicFertiliser_Variable()</f>
        <v>MN_jf</v>
      </c>
      <c r="M10" s="144" t="s">
        <v>408</v>
      </c>
      <c r="N10" s="80" t="s">
        <v>408</v>
      </c>
      <c r="O10" s="80" t="s">
        <v>409</v>
      </c>
      <c r="P10" s="80" t="s">
        <v>410</v>
      </c>
      <c r="Q10" s="144" t="s">
        <v>411</v>
      </c>
    </row>
    <row r="11" spans="1:24" ht="20.100000000000001" customHeight="1" x14ac:dyDescent="0.2">
      <c r="A11" s="5" t="str">
        <f>HYPERLINK("#'Input - Crop'!A1", "Crop")</f>
        <v>Crop</v>
      </c>
      <c r="D11" s="77" t="s">
        <v>118</v>
      </c>
      <c r="E11" s="9" t="str" cm="1">
        <f t="array" ref="E11">Fertiliser_Equations_InorganicN2O.VEERG_5_1_1_1__2_MassOfNitrogenInInorganicFertiliser_Unit()</f>
        <v>kg N</v>
      </c>
      <c r="M11" s="15" t="s">
        <v>412</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1000</v>
      </c>
      <c r="Q11" s="15">
        <f>O11*P11</f>
        <v>46000</v>
      </c>
    </row>
    <row r="12" spans="1:24" ht="20.100000000000001" customHeight="1" x14ac:dyDescent="0.2">
      <c r="A12" s="5" t="str">
        <f>HYPERLINK("#'Input - Fert Prod System'!A1", "Fert Prod System")</f>
        <v>Fert Prod System</v>
      </c>
      <c r="M12" s="15" t="s">
        <v>412</v>
      </c>
      <c r="N12" s="15" t="str">
        <v>Boost-It</v>
      </c>
      <c r="O12" s="15">
        <v>24</v>
      </c>
      <c r="P12" s="15">
        <v>1000</v>
      </c>
      <c r="Q12" s="15">
        <f>O12*P12</f>
        <v>24000</v>
      </c>
    </row>
    <row r="13" spans="1:24" ht="20.100000000000001" customHeight="1" x14ac:dyDescent="0.2">
      <c r="A13" s="5" t="str">
        <f>HYPERLINK("#'Input - Fertiliser'!A1", "Fertiliser")</f>
        <v>Fertiliser</v>
      </c>
      <c r="D13" s="145" t="str" cm="1">
        <f t="array" ref="D13:E14">_xlfn.CHOOSECOLS(Fertiliser_Equations_InorganicN2O.VEERG_5_1_1_1__2_MassOfNitrogenInInorganicFertiliser_Arguments(), 1,2)</f>
        <v>TM_jf</v>
      </c>
      <c r="E13" s="145" t="str">
        <v>total mass of inorganic fertiliser type f applied to production system j</v>
      </c>
      <c r="F13" s="145"/>
      <c r="G13" s="145" t="str" cm="1">
        <f t="array" ref="G13:H14">_xlfn.CHOOSECOLS(Fertiliser_Equations_InorganicN2O.VEERG_5_1_1_1__2_MassOfNitrogenInInorganicFertiliser_Arguments(), 3,4)</f>
        <v>kg</v>
      </c>
      <c r="H13" s="147" t="str">
        <v>Input</v>
      </c>
      <c r="I13" s="149" t="str" cm="1">
        <f t="array" aca="1" ref="I13" ca="1">HYPERLINK(Common_InputFunctions.Utility_SourceHyperlink($D$16), $D$16)</f>
        <v>Table_MN_j_f</v>
      </c>
      <c r="M13" s="15" t="s">
        <v>412</v>
      </c>
      <c r="N13" s="15" t="str">
        <v>Cal-Gran 50/50</v>
      </c>
      <c r="O13" s="15">
        <v>17.899999999999999</v>
      </c>
      <c r="P13" s="15">
        <v>1000</v>
      </c>
      <c r="Q13" s="15">
        <f t="shared" ref="Q13:Q20" si="0">O13*P13</f>
        <v>17900</v>
      </c>
    </row>
    <row r="14" spans="1:24" ht="20.100000000000001" customHeight="1" x14ac:dyDescent="0.2">
      <c r="A14" s="5" t="str">
        <f>HYPERLINK("#'Input - Fuel'!A1", "Fuel")</f>
        <v>Fuel</v>
      </c>
      <c r="D14" s="145" t="str">
        <v>FN_inorganicf</v>
      </c>
      <c r="E14" s="146" t="str">
        <v xml:space="preserve">fraction of nitrogen in inorganic fertiliser type f </v>
      </c>
      <c r="F14" s="151"/>
      <c r="G14" s="145" t="str">
        <v>kg N/kg</v>
      </c>
      <c r="H14" s="148" t="str">
        <v>Constant</v>
      </c>
      <c r="I14" s="149" t="str" cm="1">
        <f t="array" aca="1" ref="I14" ca="1">HYPERLINK(Common_InputFunctions.Utility_SourceHyperlink($D$16), $D$16)</f>
        <v>Table_MN_j_f</v>
      </c>
      <c r="M14" s="15" t="s">
        <v>412</v>
      </c>
      <c r="N14" s="15">
        <v>0</v>
      </c>
      <c r="O14" s="15">
        <v>0</v>
      </c>
      <c r="P14" s="15">
        <v>0</v>
      </c>
      <c r="Q14" s="15">
        <f t="shared" si="0"/>
        <v>0</v>
      </c>
    </row>
    <row r="15" spans="1:24" ht="20.100000000000001" customHeight="1" x14ac:dyDescent="0.2">
      <c r="A15" s="5" t="str">
        <f>HYPERLINK("#'Input - Electricity'!A1", "Electricity")</f>
        <v>Electricity</v>
      </c>
      <c r="M15" s="15" t="s">
        <v>412</v>
      </c>
      <c r="N15" s="15">
        <v>0</v>
      </c>
      <c r="O15" s="15">
        <v>0</v>
      </c>
      <c r="P15" s="15">
        <v>0</v>
      </c>
      <c r="Q15" s="15">
        <f t="shared" si="0"/>
        <v>0</v>
      </c>
    </row>
    <row r="16" spans="1:24" ht="20.100000000000001" customHeight="1" x14ac:dyDescent="0.2">
      <c r="A16" s="5" t="str">
        <f>HYPERLINK("#'Input - Common farm inputs'!A1", "Common farm inputs")</f>
        <v>Common farm inputs</v>
      </c>
      <c r="D16" s="141" t="s">
        <v>413</v>
      </c>
      <c r="M16" s="15" t="s">
        <v>412</v>
      </c>
      <c r="N16" s="15">
        <v>0</v>
      </c>
      <c r="O16" s="15">
        <v>0</v>
      </c>
      <c r="P16" s="15">
        <v>0</v>
      </c>
      <c r="Q16" s="15">
        <f t="shared" si="0"/>
        <v>0</v>
      </c>
    </row>
    <row r="17" spans="1:17" ht="20.100000000000001" customHeight="1" x14ac:dyDescent="0.2">
      <c r="A17" s="5" t="str">
        <f>HYPERLINK("#'Input - Crop pasture farm input'!A1", "Crop pasture farm input")</f>
        <v>Crop pasture farm input</v>
      </c>
      <c r="D17" s="142" t="s">
        <v>414</v>
      </c>
      <c r="M17" s="15" t="s">
        <v>412</v>
      </c>
      <c r="N17" s="15">
        <v>0</v>
      </c>
      <c r="O17" s="15">
        <v>0</v>
      </c>
      <c r="P17" s="15">
        <v>0</v>
      </c>
      <c r="Q17" s="15">
        <f t="shared" si="0"/>
        <v>0</v>
      </c>
    </row>
    <row r="18" spans="1:17" ht="20.100000000000001" customHeight="1" x14ac:dyDescent="0.2">
      <c r="A18" s="5" t="str">
        <f>HYPERLINK("#'Input - Freight'!A1", "Freight")</f>
        <v>Freight</v>
      </c>
      <c r="D18" s="144" t="s">
        <v>415</v>
      </c>
      <c r="E18" s="80" t="s">
        <v>416</v>
      </c>
      <c r="F18" s="144" t="s">
        <v>417</v>
      </c>
      <c r="G18" s="144" t="s">
        <v>418</v>
      </c>
      <c r="M18" s="15" t="s">
        <v>412</v>
      </c>
      <c r="N18" s="15">
        <v>0</v>
      </c>
      <c r="O18" s="15">
        <v>0</v>
      </c>
      <c r="P18" s="15">
        <v>0</v>
      </c>
      <c r="Q18" s="15">
        <f t="shared" si="0"/>
        <v>0</v>
      </c>
    </row>
    <row r="19" spans="1: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412</v>
      </c>
      <c r="N19" s="15">
        <v>0</v>
      </c>
      <c r="O19" s="15">
        <v>0</v>
      </c>
      <c r="P19" s="15">
        <v>0</v>
      </c>
      <c r="Q19" s="15">
        <f t="shared" si="0"/>
        <v>0</v>
      </c>
    </row>
    <row r="20" spans="1:17" ht="20.100000000000001" customHeight="1" x14ac:dyDescent="0.2">
      <c r="A20" s="5" t="str">
        <f>HYPERLINK("#'Input - Data quality'!A1", "Data quality")</f>
        <v>Data quality</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412</v>
      </c>
      <c r="N20" s="15">
        <v>0</v>
      </c>
      <c r="O20" s="15">
        <v>0</v>
      </c>
      <c r="P20" s="15">
        <v>0</v>
      </c>
      <c r="Q20" s="15">
        <f t="shared" si="0"/>
        <v>0</v>
      </c>
    </row>
    <row r="21" spans="1:17" ht="20.100000000000001" customHeight="1" x14ac:dyDescent="0.2">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115999.99400000001</v>
      </c>
      <c r="M21" s="15" t="s">
        <v>419</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1000</v>
      </c>
      <c r="Q21" s="15">
        <f>O21*P21</f>
        <v>7750</v>
      </c>
    </row>
    <row r="22" spans="1:17" ht="20.100000000000001" customHeight="1" x14ac:dyDescent="0.2">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419</v>
      </c>
      <c r="N22" s="15" t="str">
        <v>My second custom blend</v>
      </c>
      <c r="O22" s="15">
        <v>46</v>
      </c>
      <c r="P22" s="15">
        <v>1000</v>
      </c>
      <c r="Q22" s="15">
        <f>O22*P22</f>
        <v>46000</v>
      </c>
    </row>
    <row r="23" spans="1:17" ht="20.100000000000001" customHeight="1" x14ac:dyDescent="0.2">
      <c r="A23" s="6" t="s">
        <v>2</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419</v>
      </c>
      <c r="N23" s="15" t="str">
        <v>My third custom blend</v>
      </c>
      <c r="O23" s="15">
        <v>41.174999999999997</v>
      </c>
      <c r="P23" s="15">
        <v>1000</v>
      </c>
      <c r="Q23" s="15">
        <f>O23*P23</f>
        <v>41175</v>
      </c>
    </row>
    <row r="24" spans="1:17" ht="20.100000000000001" customHeight="1" x14ac:dyDescent="0.2">
      <c r="A24" s="150" t="str">
        <f>HYPERLINK("#'5.1.1.1-2 Inorganic fert N2O'!A1", "5.1.1.1-2 Inorganic fert N2O")</f>
        <v>5.1.1.1-2 Inorganic fert N2O</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419</v>
      </c>
      <c r="N24" s="15">
        <v>0</v>
      </c>
      <c r="O24" s="15">
        <v>0</v>
      </c>
      <c r="P24" s="15">
        <v>0</v>
      </c>
      <c r="Q24" s="15">
        <f>O24*P24</f>
        <v>0</v>
      </c>
    </row>
    <row r="25" spans="1:17" ht="20.100000000000001" customHeight="1" x14ac:dyDescent="0.2">
      <c r="A25" s="5" t="str">
        <f>HYPERLINK("#'5.1.1.3-4 Inorganic fert CO2'!A1", "5.1.1.3-4 Inorganic fert CO2")</f>
        <v>5.1.1.3-4 Inorganic fert CO2</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419</v>
      </c>
      <c r="N25" s="15">
        <v>0</v>
      </c>
      <c r="O25" s="15">
        <v>0</v>
      </c>
      <c r="P25" s="15">
        <v>0</v>
      </c>
      <c r="Q25" s="15">
        <f>O25*P25</f>
        <v>0</v>
      </c>
    </row>
    <row r="26" spans="1:17" ht="20.100000000000001" customHeight="1" x14ac:dyDescent="0.2">
      <c r="A26" s="5" t="str">
        <f>HYPERLINK("#'5.2.1.1-2 Organic Fert N2O'!A1", "5.2.1.1-2 Organic fert N2O")</f>
        <v>5.2.1.1-2 Organic fert N2O</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12400</v>
      </c>
      <c r="M26" s="15" t="s">
        <v>419</v>
      </c>
      <c r="N26" s="15">
        <v>0</v>
      </c>
      <c r="O26" s="15">
        <v>0</v>
      </c>
      <c r="P26" s="15">
        <v>0</v>
      </c>
      <c r="Q26" s="15">
        <f t="shared" ref="Q26:Q30" si="1">O26*P26</f>
        <v>0</v>
      </c>
    </row>
    <row r="27" spans="1:17" ht="20.100000000000001" customHeight="1" x14ac:dyDescent="0.2">
      <c r="A27" s="5" t="str">
        <f>HYPERLINK("#'5.3.1.1-2 Lime CO2'!A1", "5.3.1.1-2 Lime CO2")</f>
        <v>5.3.1.1-2 Lime CO2</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5500</v>
      </c>
      <c r="M27" s="15" t="s">
        <v>419</v>
      </c>
      <c r="N27" s="15">
        <v>0</v>
      </c>
      <c r="O27" s="15">
        <v>0</v>
      </c>
      <c r="P27" s="15">
        <v>0</v>
      </c>
      <c r="Q27" s="15">
        <f t="shared" si="1"/>
        <v>0</v>
      </c>
    </row>
    <row r="28" spans="1:17" ht="20.100000000000001" customHeight="1" x14ac:dyDescent="0.2">
      <c r="A28" s="5" t="str">
        <f>HYPERLINK("#'5.4.1.1-4 Atmos deposition'!A1", "5.4.1.1-4 Atmos. deposition")</f>
        <v>5.4.1.1-4 Atmos. deposition</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419</v>
      </c>
      <c r="N28" s="15">
        <v>0</v>
      </c>
      <c r="O28" s="15">
        <v>0</v>
      </c>
      <c r="P28" s="15">
        <v>0</v>
      </c>
      <c r="Q28" s="15">
        <f t="shared" si="1"/>
        <v>0</v>
      </c>
    </row>
    <row r="29" spans="1:17" ht="20.100000000000001" customHeight="1" x14ac:dyDescent="0.2">
      <c r="A29" s="5" t="str">
        <f>HYPERLINK("#'5.5.1.1-2 Leaching and runoff'!A1", "5.5.1.1-2 Leaching &amp; runoff")</f>
        <v>5.5.1.1-2 Leaching &amp; runoff</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419</v>
      </c>
      <c r="N29" s="15">
        <v>0</v>
      </c>
      <c r="O29" s="15">
        <v>0</v>
      </c>
      <c r="P29" s="15">
        <v>0</v>
      </c>
      <c r="Q29" s="15">
        <f t="shared" si="1"/>
        <v>0</v>
      </c>
    </row>
    <row r="30" spans="1:17" ht="20.100000000000001" customHeight="1" x14ac:dyDescent="0.2">
      <c r="A30" s="5" t="str">
        <f>HYPERLINK("#'6.1.1.1-2 Crop residue N2O'!A1", "6.1.1.1-2 Crop residue N2O")</f>
        <v>6.1.1.1-2 Crop residue N2O</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419</v>
      </c>
      <c r="N30" s="15">
        <v>0</v>
      </c>
      <c r="O30" s="15">
        <v>0</v>
      </c>
      <c r="P30" s="15">
        <v>0</v>
      </c>
      <c r="Q30" s="15">
        <f t="shared" si="1"/>
        <v>0</v>
      </c>
    </row>
    <row r="31" spans="1:17" ht="20.100000000000001" customHeight="1" x14ac:dyDescent="0.2">
      <c r="A31" s="5" t="str">
        <f>HYPERLINK("#'6.3.1.1-2 Leach runoff crop'!A1", "6.3.1.1-2 Leach &amp; runoff (crop)")</f>
        <v>6.3.1.1-2 Leach &amp; runoff (crop)</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
      <c r="A32" s="5" t="str">
        <f>HYPERLINK("#'8.1.1.1-2 Transport fuel'!A1", "8.1.1.1-2 Transport fuel")</f>
        <v>8.1.1.1-2 Transport fuel</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
      <c r="A33" s="5" t="str">
        <f>HYPERLINK("#'8.2.1.1-2 Stationary fuel'!A1", "8.2.1.1-2 Stationary fuel")</f>
        <v>8.2.1.1-2 Stationary fuel</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90" t="s">
        <v>420</v>
      </c>
      <c r="N33" s="85">
        <f>SUM(Q11:Q30)</f>
        <v>182825</v>
      </c>
    </row>
    <row r="34" spans="1:24" ht="20.100000000000001" customHeight="1" x14ac:dyDescent="0.2">
      <c r="A34" s="5" t="str">
        <f>HYPERLINK("#'10.1.1-2 Solid waste treatment'!A1", "10.1.1.1-2 Solid waste")</f>
        <v>10.1.1.1-2 Solid waste</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7" t="s">
        <v>421</v>
      </c>
      <c r="N34" s="1">
        <f>MAX(P11:P30)</f>
        <v>1000</v>
      </c>
    </row>
    <row r="35" spans="1:24" ht="20.100000000000001" customHeight="1" x14ac:dyDescent="0.2">
      <c r="A35" s="5" t="str">
        <f>HYPERLINK("#'14.1.1-2 Purchased electricity'!A1", "14.1.1-2 Purchased electricity")</f>
        <v>14.1.1-2 Purchased electricity</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7" t="s">
        <v>422</v>
      </c>
      <c r="N35" s="1">
        <f>N33/N34</f>
        <v>182.82499999999999</v>
      </c>
    </row>
    <row r="36" spans="1:24" ht="20.100000000000001" customHeight="1" x14ac:dyDescent="0.2">
      <c r="A36" s="5" t="str">
        <f>HYPERLINK("#'15 Scope 3'!A1", "15 Scope 3")</f>
        <v>15 Scope 3</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41175</v>
      </c>
    </row>
    <row r="37" spans="1:24" ht="20.100000000000001" customHeight="1" x14ac:dyDescent="0.2">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7750</v>
      </c>
      <c r="L37" s="85"/>
      <c r="M37" s="85"/>
      <c r="N37" s="85"/>
      <c r="O37" s="85"/>
      <c r="P37" s="85"/>
      <c r="Q37" s="85"/>
      <c r="R37" s="85"/>
      <c r="S37" s="85"/>
      <c r="T37" s="85"/>
      <c r="U37" s="85"/>
      <c r="V37" s="85"/>
      <c r="W37" s="85"/>
      <c r="X37" s="85"/>
    </row>
    <row r="39" spans="1:24" ht="20.100000000000001" customHeight="1" x14ac:dyDescent="0.2">
      <c r="A39" s="82" t="s">
        <v>1</v>
      </c>
      <c r="C39" s="85"/>
      <c r="D39" s="85"/>
      <c r="E39" s="85"/>
      <c r="F39" s="85"/>
      <c r="G39" s="85"/>
      <c r="H39" s="85"/>
      <c r="I39" s="85"/>
      <c r="J39" s="85"/>
      <c r="M39" s="2" t="str" cm="1">
        <f t="array" ref="M39">Fertiliser_Equations_InorganicN2O.VEERG_5_1_1_2__1_EmissionFactorIrrigatedMaize_Title()</f>
        <v>Emission factor for nitrous oxide for irrigated maize</v>
      </c>
    </row>
    <row r="40" spans="1:24" ht="20.100000000000001" customHeight="1" x14ac:dyDescent="0.2">
      <c r="A40" s="5" t="str">
        <f>HYPERLINK("#'Constants - Ag Residue'!A1", "Constants - Ag residue")</f>
        <v>Constants - Ag residue</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
      <c r="A41" s="5" t="str">
        <f>HYPERLINK("#'Constants - Electricity'!A1", "Constants - Electricity")</f>
        <v>Constants - Electricity</v>
      </c>
      <c r="D41" s="17" t="str" cm="1">
        <f t="array" ref="D41">Fertiliser_Equations_InorganicN2O.VEERG_5_1_1_1__1_InorganicFertiliserApplicationN2OEmissions_Source()</f>
        <v>VEERG 2026: 5.1.1.1, Equation (1)</v>
      </c>
    </row>
    <row r="42" spans="1:24" ht="20.100000000000001" customHeight="1" x14ac:dyDescent="0.2">
      <c r="A42" s="5" t="str">
        <f>HYPERLINK("#'Constants - Fertiliser'!A1", "Constants - Fertiliser")</f>
        <v>Constants - Fertiliser</v>
      </c>
      <c r="D42" s="140" t="s">
        <v>402</v>
      </c>
      <c r="E42" s="140" t="str" cm="1">
        <f t="array" aca="1" ref="E42" ca="1">Common_InputFunctions.Utility_DisplayFunctionName($E$60)</f>
        <v>=Fertiliser_Equations_InorganicN2O.VEERG_5_1_1_1__1_InorganicFertiliserApplicationN2OEmissions</v>
      </c>
      <c r="F42" s="16"/>
    </row>
    <row r="43" spans="1:24" ht="20.100000000000001" customHeight="1" x14ac:dyDescent="0.2">
      <c r="A43" s="5" t="str">
        <f>HYPERLINK("#'Constants - Fuel'!A1", "Constants - Fuel")</f>
        <v>Constants - Fuel</v>
      </c>
      <c r="F43" s="16"/>
      <c r="M43" s="77" t="s">
        <v>407</v>
      </c>
      <c r="N43" s="1" t="str" cm="1">
        <f t="array" ref="N43">Fertiliser_Equations_InorganicN2O.VEERG_5_1_1_2__1_EmissionFactorIrrigatedMaize_Variable()</f>
        <v>EF_fjIrrigatedMaizeN2O</v>
      </c>
    </row>
    <row r="44" spans="1:24" ht="20.100000000000001" customHeight="1" x14ac:dyDescent="0.2">
      <c r="A44" s="5" t="str">
        <f>HYPERLINK("#'Constants - Scope 3'!A1", "Constants - Scope 3")</f>
        <v>Constants - Scope 3</v>
      </c>
      <c r="F44" s="16"/>
      <c r="M44" s="77" t="s">
        <v>118</v>
      </c>
      <c r="N44" s="9" t="str" cm="1">
        <f t="array" ref="N44">Fertiliser_Equations_InorganicN2O.VEERG_5_1_1_2__1_EmissionFactorIrrigatedMaize_Unit()</f>
        <v>kg N2O-N/kg N applied</v>
      </c>
    </row>
    <row r="45" spans="1:24" ht="20.100000000000001" customHeight="1" x14ac:dyDescent="0.2">
      <c r="A45" s="5" t="str">
        <f>HYPERLINK("#'Constants - Solid Waste'!A1", "Constants - Solid Waste")</f>
        <v>Constants - Solid Waste</v>
      </c>
      <c r="F45" s="16"/>
    </row>
    <row r="46" spans="1:24" ht="20.100000000000001" customHeight="1" x14ac:dyDescent="0.2">
      <c r="A46" s="5" t="str">
        <f>HYPERLINK("#'Constants - Common'!A1", "Constants - Common")</f>
        <v>Constants - Common</v>
      </c>
      <c r="D46" s="77" t="s">
        <v>407</v>
      </c>
      <c r="E46" s="1" t="str" cm="1">
        <f t="array" ref="E46">Fertiliser_Equations_InorganicN2O.VEERG_5_1_1_1__1_InorganicFertiliserApplicationN2OEmissions_Variable()</f>
        <v>E_N2O</v>
      </c>
      <c r="F46" s="16"/>
      <c r="M46" s="145" t="str" cm="1">
        <f t="array" ref="M46:N47">_xlfn.CHOOSECOLS(Fertiliser_Equations_InorganicN2O.VEERG_5_1_1_2__1_EmissionFactorIrrigatedMaize_Arguments(), 1, 2)</f>
        <v>N_fjIrrigatedMaize</v>
      </c>
      <c r="N46" s="146" t="str">
        <v>application rate of inorganic fertiliser type f in the irrigated maize crop</v>
      </c>
      <c r="O46" s="152"/>
      <c r="P46" s="145" t="str" cm="1">
        <f t="array" ref="P46:Q47">_xlfn.CHOOSECOLS(Fertiliser_Equations_InorganicN2O.VEERG_5_1_1_2__1_EmissionFactorIrrigatedMaize_Arguments(), 3,4)</f>
        <v>kg N/ha</v>
      </c>
      <c r="Q46" s="147" t="str">
        <v>Input</v>
      </c>
      <c r="R46" s="153">
        <f>$N$35</f>
        <v>182.82499999999999</v>
      </c>
      <c r="S46" s="154"/>
    </row>
    <row r="47" spans="1:24" ht="20.100000000000001" customHeight="1" x14ac:dyDescent="0.2">
      <c r="A47" s="5" t="str">
        <f>HYPERLINK("#'Constants - Common Livestock'!A1", "Constants - Common Livestock")</f>
        <v>Constants - Common Livestock</v>
      </c>
      <c r="D47" s="77" t="s">
        <v>118</v>
      </c>
      <c r="E47" s="9" t="str" cm="1">
        <f t="array" ref="E47">Fertiliser_Equations_InorganicN2O.VEERG_5_1_1_1__1_InorganicFertiliserApplicationN2OEmissions_Unit()</f>
        <v>t N2O</v>
      </c>
      <c r="F47" s="16"/>
      <c r="M47" s="145" t="str">
        <v>f</v>
      </c>
      <c r="N47" s="146" t="str">
        <v>Inorganic fertiliser type</v>
      </c>
      <c r="O47" s="152"/>
      <c r="P47" s="145" t="str">
        <v/>
      </c>
      <c r="Q47" s="148" t="str">
        <v>Constant</v>
      </c>
      <c r="R47" s="146" t="s">
        <v>423</v>
      </c>
      <c r="S47" s="154"/>
    </row>
    <row r="48" spans="1:24" ht="20.100000000000001" customHeight="1" x14ac:dyDescent="0.2">
      <c r="F48" s="16"/>
    </row>
    <row r="49" spans="1:19" ht="20.100000000000001" customHeight="1" x14ac:dyDescent="0.2">
      <c r="D49" s="145" t="str" cm="1">
        <f t="array" ref="D49:E55">_xlfn.CHOOSECOLS(Fertiliser_Equations_InorganicN2O.VEERG_5_1_1_1__1_InorganicFertiliserApplicationN2OEmissions_Arguments(), 1, 2)</f>
        <v>MN_jf</v>
      </c>
      <c r="E49" s="146" t="str">
        <v>mass of nitrogen in inorganic fertiliser type f applied to production system j</v>
      </c>
      <c r="F49" s="152"/>
      <c r="G49" s="145" t="str" cm="1">
        <f t="array" ref="G49:H55">_xlfn.CHOOSECOLS(Fertiliser_Equations_InorganicN2O.VEERG_5_1_1_1__1_InorganicFertiliserApplicationN2OEmissions_Arguments(), 3,4)</f>
        <v>kg N</v>
      </c>
      <c r="H49" s="148" t="str">
        <v>Calculated from 5.1.1.1 (2)</v>
      </c>
      <c r="I49" s="149" t="str" cm="1">
        <f t="array" aca="1" ref="I49" ca="1">HYPERLINK(Common_InputFunctions.Utility_SourceHyperlink(D16), D16)</f>
        <v>Table_MN_j_f</v>
      </c>
      <c r="M49" s="1" t="s">
        <v>424</v>
      </c>
      <c r="N49" s="1" cm="1">
        <f t="array" ref="N49">Fertiliser_Equations_InorganicN2O.VEERG_5_1_1_2__1_EmissionFactorIrrigatedMaize(R46)</f>
        <v>9.6783250000000015E-3</v>
      </c>
      <c r="O49" s="9" t="str">
        <f>N44</f>
        <v>kg N2O-N/kg N applied</v>
      </c>
    </row>
    <row r="50" spans="1:19" ht="20.100000000000001" customHeight="1" x14ac:dyDescent="0.2">
      <c r="D50" s="145" t="str">
        <v>EF_jN2O</v>
      </c>
      <c r="E50" s="146" t="str">
        <v>emission factor for nitrous oxide for inorganic fertilisers</v>
      </c>
      <c r="F50" s="152"/>
      <c r="G50" s="145" t="str">
        <v>kg N2O-N/kg N applied</v>
      </c>
      <c r="H50" s="148" t="str">
        <v>Constant</v>
      </c>
      <c r="I50" s="145">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
      <c r="D51" s="145" t="str">
        <v>C_N2O</v>
      </c>
      <c r="E51" s="146" t="str">
        <v>factor to convert elemental mass of nitrous oxide to molecular mass</v>
      </c>
      <c r="F51" s="152"/>
      <c r="G51" s="145" t="str">
        <v/>
      </c>
      <c r="H51" s="148" t="str">
        <v>Constant</v>
      </c>
      <c r="I51" s="145">
        <f>Common_InputFunctions.Utility_LookupValueInTableNumber("N2O",Table_GasToMolecularConversionFactor[Gas],Table_GasToMolecularConversionFactor[Conversion factor combined])</f>
        <v>1.5714285714285714</v>
      </c>
    </row>
    <row r="52" spans="1:19" ht="20.100000000000001" customHeight="1" x14ac:dyDescent="0.2">
      <c r="D52" s="145" t="str">
        <v>j</v>
      </c>
      <c r="E52" s="146" t="str">
        <v>Production system</v>
      </c>
      <c r="F52" s="152"/>
      <c r="G52" s="145" t="str">
        <v/>
      </c>
      <c r="H52" s="147" t="str">
        <v>Input</v>
      </c>
      <c r="I52" s="145" t="str">
        <f>X_Cell_Fertiliser_ProductionSystem</f>
        <v>Crop</v>
      </c>
    </row>
    <row r="53" spans="1:19" ht="20.100000000000001" customHeight="1" x14ac:dyDescent="0.2">
      <c r="D53" s="145" t="str">
        <v>f</v>
      </c>
      <c r="E53" s="146" t="str">
        <v>Inorganic fertiliser type</v>
      </c>
      <c r="F53" s="152"/>
      <c r="G53" s="145" t="str">
        <v/>
      </c>
      <c r="H53" s="148" t="str">
        <v>Constant</v>
      </c>
      <c r="I53" s="145"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
      <c r="D54" s="145" t="str">
        <v>ir</v>
      </c>
      <c r="E54" s="146" t="str">
        <v>irrigation method</v>
      </c>
      <c r="F54" s="152"/>
      <c r="G54" s="145" t="str">
        <v/>
      </c>
      <c r="H54" s="147" t="str">
        <v>Input</v>
      </c>
      <c r="I54" s="145" t="str">
        <f>X_Cell_Fertiliser_IrrigationMethod</f>
        <v>Sprinkler irrigation</v>
      </c>
      <c r="M54" s="17" t="str" cm="1">
        <f t="array" ref="M54">Fertiliser_Equations_InorganicN2O.VEERG_5_1_1_2__2_EmissionFactorNonIrrigatedGrainsHighRainfall_Source()</f>
        <v>VEERG 2026: 5.1.1.2, Equation (2)</v>
      </c>
    </row>
    <row r="55" spans="1:19" ht="20.100000000000001" customHeight="1" x14ac:dyDescent="0.2">
      <c r="D55" s="145" t="str">
        <v>z</v>
      </c>
      <c r="E55" s="146" t="str">
        <v>rainfall zone</v>
      </c>
      <c r="F55" s="152"/>
      <c r="G55" s="145" t="str">
        <v/>
      </c>
      <c r="H55" s="147" t="str">
        <v>Input</v>
      </c>
      <c r="I55" s="145" t="str">
        <f>X_Cell_Site_RainfallZone</f>
        <v>High rainfall</v>
      </c>
    </row>
    <row r="56" spans="1:19" ht="20.100000000000001" customHeight="1" x14ac:dyDescent="0.2">
      <c r="F56" s="16"/>
    </row>
    <row r="57" spans="1:19" ht="20.100000000000001" customHeight="1" x14ac:dyDescent="0.2">
      <c r="D57" s="141" t="s">
        <v>425</v>
      </c>
      <c r="F57" s="16"/>
      <c r="M57" s="77" t="s">
        <v>407</v>
      </c>
      <c r="N57" s="1" t="str" cm="1">
        <f t="array" ref="N57">Fertiliser_Equations_InorganicN2O.VEERG_5_1_1_2__2_EmissionFactorNonIrrigatedGrainsHighRainfall_Variable()</f>
        <v>EF_fjNonIrrigatedGrainsN2O</v>
      </c>
    </row>
    <row r="58" spans="1:19" ht="20.100000000000001" customHeight="1" x14ac:dyDescent="0.2">
      <c r="A58" s="81" t="str">
        <f>HYPERLINK("#A1", "▲ Back to top")</f>
        <v>▲ Back to top</v>
      </c>
      <c r="D58" s="142" t="s">
        <v>426</v>
      </c>
      <c r="F58" s="16"/>
      <c r="M58" s="77" t="s">
        <v>118</v>
      </c>
      <c r="N58" s="9" t="str" cm="1">
        <f t="array" ref="N58">Fertiliser_Equations_InorganicN2O.VEERG_5_1_1_2__2_EmissionFactorNonIrrigatedGrainsHighRainfall_Unit()</f>
        <v>kg N2O-N/kg N applied</v>
      </c>
    </row>
    <row r="59" spans="1:19" ht="20.100000000000001" customHeight="1" x14ac:dyDescent="0.2">
      <c r="D59" s="144" t="s">
        <v>415</v>
      </c>
      <c r="E59" s="144" t="s">
        <v>427</v>
      </c>
    </row>
    <row r="60" spans="1:19" ht="20.100000000000001" customHeight="1" x14ac:dyDescent="0.2">
      <c r="D60" s="15" t="str" cm="1">
        <f t="array" ref="D60:D78">Table_Fertiliser_ChemicalCompounds[Fertiliser type f]</f>
        <v>Monoammonium phosphate (MAP)</v>
      </c>
      <c r="E60" s="15" cm="1">
        <f t="array" ref="E60">Fertiliser_Equations_InorganicN2O.VEERG_5_1_1_1__1_InorganicFertiliserApplicationN2OEmissions(G19,$I$50,$I$51)</f>
        <v>0</v>
      </c>
      <c r="F60" s="16" t="str">
        <f>E47</f>
        <v>t N2O</v>
      </c>
      <c r="M60" s="145" t="str" cm="1">
        <f t="array" ref="M60:N61">_xlfn.CHOOSECOLS(Fertiliser_Equations_InorganicN2O.VEERG_5_1_1_2__2_EmissionFactorNonIrrigatedGrainsHighRainfall_Arguments(), 1, 2)</f>
        <v>N_fjNonIrrigatedGrains</v>
      </c>
      <c r="N60" s="146" t="str">
        <v>application rate of inorganic fertiliser type f in the grains crop</v>
      </c>
      <c r="O60" s="152"/>
      <c r="P60" s="145" t="str" cm="1">
        <f t="array" ref="P60:Q61">_xlfn.CHOOSECOLS(Fertiliser_Equations_InorganicN2O.VEERG_5_1_1_2__2_EmissionFactorNonIrrigatedGrainsHighRainfall_Arguments(), 3,4)</f>
        <v>kg N/ha</v>
      </c>
      <c r="Q60" s="147" t="str">
        <v>Input</v>
      </c>
      <c r="R60" s="153">
        <f>$N$35</f>
        <v>182.82499999999999</v>
      </c>
      <c r="S60" s="154"/>
    </row>
    <row r="61" spans="1:19" ht="20.100000000000001" customHeight="1" x14ac:dyDescent="0.2">
      <c r="D61" s="15" t="str">
        <v>Diammonium phosphate (DAP)</v>
      </c>
      <c r="E61" s="15" cm="1">
        <f t="array" ref="E61">Fertiliser_Equations_InorganicN2O.VEERG_5_1_1_1__1_InorganicFertiliserApplicationN2OEmissions(G20,$I$50,$I$51)</f>
        <v>0</v>
      </c>
      <c r="M61" s="145" t="str">
        <v>f</v>
      </c>
      <c r="N61" s="146" t="str">
        <v>Inorganic fertiliser type</v>
      </c>
      <c r="O61" s="152"/>
      <c r="P61" s="145" t="str">
        <v/>
      </c>
      <c r="Q61" s="148" t="str">
        <v>Constant</v>
      </c>
      <c r="R61" s="146" t="s">
        <v>423</v>
      </c>
      <c r="S61" s="151"/>
    </row>
    <row r="62" spans="1:19" ht="20.100000000000001" customHeight="1" x14ac:dyDescent="0.2">
      <c r="D62" s="15" t="str">
        <v>Urea</v>
      </c>
      <c r="E62" s="15" cm="1">
        <f t="array" ref="E62">Fertiliser_Equations_InorganicN2O.VEERG_5_1_1_1__1_InorganicFertiliserApplicationN2OEmissions(G21,$I$50,$I$51)</f>
        <v>1.2759999340000001</v>
      </c>
    </row>
    <row r="63" spans="1:19" ht="20.100000000000001" customHeight="1" x14ac:dyDescent="0.2">
      <c r="D63" s="15" t="str">
        <v>Sulphate of ammonia (SOA)</v>
      </c>
      <c r="E63" s="15" cm="1">
        <f t="array" ref="E63">Fertiliser_Equations_InorganicN2O.VEERG_5_1_1_1__1_InorganicFertiliserApplicationN2OEmissions(G22,$I$50,$I$51)</f>
        <v>0</v>
      </c>
      <c r="M63" s="77" t="s">
        <v>428</v>
      </c>
      <c r="N63" s="1" cm="1">
        <f t="array" ref="N63">Fertiliser_Equations_InorganicN2O.VEERG_5_1_1_2__2_EmissionFactorNonIrrigatedGrainsHighRainfall(R60)</f>
        <v>1.4492874999999999E-2</v>
      </c>
      <c r="O63" s="9" t="str">
        <f>N58</f>
        <v>kg N2O-N/kg N applied</v>
      </c>
    </row>
    <row r="64" spans="1:19" ht="20.100000000000001" customHeight="1" x14ac:dyDescent="0.2">
      <c r="D64" s="15" t="str">
        <v>Urea-ammonium nitrate (UAN)</v>
      </c>
      <c r="E64" s="15" cm="1">
        <f t="array" ref="E64">Fertiliser_Equations_InorganicN2O.VEERG_5_1_1_1__1_InorganicFertiliserApplicationN2OEmissions(G23,$I$50,$I$51)</f>
        <v>0</v>
      </c>
    </row>
    <row r="65" spans="4:20" ht="20.100000000000001" customHeight="1" x14ac:dyDescent="0.2">
      <c r="D65" s="15" t="str">
        <v>Ammonium nitrate (AN)</v>
      </c>
      <c r="E65" s="15" cm="1">
        <f t="array" ref="E65">Fertiliser_Equations_InorganicN2O.VEERG_5_1_1_1__1_InorganicFertiliserApplicationN2OEmissions(G24,$I$50,$I$51)</f>
        <v>0</v>
      </c>
    </row>
    <row r="66" spans="4:20" ht="20.100000000000001" customHeight="1" x14ac:dyDescent="0.2">
      <c r="D66" s="15" t="str">
        <v>Calcium ammonium nitrate (CAN)</v>
      </c>
      <c r="E66" s="15" cm="1">
        <f t="array" ref="E66">Fertiliser_Equations_InorganicN2O.VEERG_5_1_1_1__1_InorganicFertiliserApplicationN2OEmissions(G25,$I$50,$I$51)</f>
        <v>0</v>
      </c>
      <c r="M66" s="2" t="str" cm="1">
        <f t="array" ref="M66">Fertiliser_Equations_InorganicN2O.VEERG_5_1_1_2__3_EmissionFactorCotton_Title()</f>
        <v>Emission factor for nitrous oxide for cotton</v>
      </c>
    </row>
    <row r="67" spans="4:20" ht="20.100000000000001" customHeight="1" x14ac:dyDescent="0.2">
      <c r="D67" s="15" t="str">
        <v>Nitrogen - Ammoniacal</v>
      </c>
      <c r="E67" s="15" cm="1">
        <f t="array" ref="E67">Fertiliser_Equations_InorganicN2O.VEERG_5_1_1_1__1_InorganicFertiliserApplicationN2OEmissions(G26,$I$50,$I$51)</f>
        <v>0.13640000000000002</v>
      </c>
      <c r="M67" s="17" t="str" cm="1">
        <f t="array" ref="M67">Fertiliser_Equations_InorganicN2O.VEERG_5_1_1_2__3_EmissionFactorCotton_Source()</f>
        <v>VEERG 2026: 5.1.1.2, Equation (3)</v>
      </c>
    </row>
    <row r="68" spans="4:20" ht="20.100000000000001" customHeight="1" x14ac:dyDescent="0.2">
      <c r="D68" s="15" t="str">
        <v>Nitrogen - Nitrate</v>
      </c>
      <c r="E68" s="15" cm="1">
        <f t="array" ref="E68">Fertiliser_Equations_InorganicN2O.VEERG_5_1_1_1__1_InorganicFertiliserApplicationN2OEmissions(G27,$I$50,$I$51)</f>
        <v>6.0499999999999998E-2</v>
      </c>
    </row>
    <row r="69" spans="4:20" ht="20.100000000000001" customHeight="1" x14ac:dyDescent="0.2">
      <c r="D69" s="15" t="str">
        <v>Nitrogen - Generic</v>
      </c>
      <c r="E69" s="15" cm="1">
        <f t="array" ref="E69">Fertiliser_Equations_InorganicN2O.VEERG_5_1_1_1__1_InorganicFertiliserApplicationN2OEmissions(G28,$I$50,$I$51)</f>
        <v>0</v>
      </c>
    </row>
    <row r="70" spans="4:20" ht="20.100000000000001" customHeight="1" x14ac:dyDescent="0.2">
      <c r="D70" s="15" t="str">
        <v>Phosphorus - Generic</v>
      </c>
      <c r="E70" s="15" cm="1">
        <f t="array" ref="E70">Fertiliser_Equations_InorganicN2O.VEERG_5_1_1_1__1_InorganicFertiliserApplicationN2OEmissions(G29,$I$50,$I$51)</f>
        <v>0</v>
      </c>
    </row>
    <row r="71" spans="4:20" ht="20.100000000000001" customHeight="1" x14ac:dyDescent="0.2">
      <c r="D71" s="15" t="str">
        <v>Potassium - Generic</v>
      </c>
      <c r="E71" s="15" cm="1">
        <f t="array" ref="E71">Fertiliser_Equations_InorganicN2O.VEERG_5_1_1_1__1_InorganicFertiliserApplicationN2OEmissions(G30,$I$50,$I$51)</f>
        <v>0</v>
      </c>
      <c r="M71" s="77" t="s">
        <v>407</v>
      </c>
      <c r="N71" s="1" t="str" cm="1">
        <f t="array" ref="N71">Fertiliser_Equations_InorganicN2O.VEERG_5_1_1_2__3_EmissionFactorCotton_Variable()</f>
        <v>EF_fjCottonN2O</v>
      </c>
    </row>
    <row r="72" spans="4:20" ht="20.100000000000001" customHeight="1" x14ac:dyDescent="0.2">
      <c r="D72" s="15" t="str">
        <v>Sulfur - Generic</v>
      </c>
      <c r="E72" s="15" cm="1">
        <f t="array" ref="E72">Fertiliser_Equations_InorganicN2O.VEERG_5_1_1_1__1_InorganicFertiliserApplicationN2OEmissions(G31,$I$50,$I$51)</f>
        <v>0</v>
      </c>
      <c r="M72" s="77" t="s">
        <v>118</v>
      </c>
      <c r="N72" s="9" t="str" cm="1">
        <f t="array" ref="N72">Fertiliser_Equations_InorganicN2O.VEERG_5_1_1_2__3_EmissionFactorCotton_Unit()</f>
        <v>kg N2O-N/kg N applied</v>
      </c>
    </row>
    <row r="73" spans="4:20" ht="20.100000000000001" customHeight="1" x14ac:dyDescent="0.2">
      <c r="D73" s="15" t="str">
        <v>Zinc - Generic</v>
      </c>
      <c r="E73" s="15" cm="1">
        <f t="array" ref="E73">Fertiliser_Equations_InorganicN2O.VEERG_5_1_1_1__1_InorganicFertiliserApplicationN2OEmissions(G32,$I$50,$I$51)</f>
        <v>0</v>
      </c>
    </row>
    <row r="74" spans="4:20" ht="20.100000000000001" customHeight="1" x14ac:dyDescent="0.2">
      <c r="D74" s="15" t="str">
        <v>Muriate of potash (MOP)</v>
      </c>
      <c r="E74" s="15" cm="1">
        <f t="array" ref="E74">Fertiliser_Equations_InorganicN2O.VEERG_5_1_1_1__1_InorganicFertiliserApplicationN2OEmissions(G33,$I$50,$I$51)</f>
        <v>0</v>
      </c>
      <c r="M74" s="70" t="s">
        <v>429</v>
      </c>
      <c r="N74" s="70"/>
      <c r="O74" s="70"/>
      <c r="P74" s="70"/>
      <c r="Q74" s="70"/>
      <c r="R74" s="70"/>
      <c r="S74" s="70"/>
      <c r="T74" s="70"/>
    </row>
    <row r="75" spans="4:20" ht="20.100000000000001" customHeight="1" x14ac:dyDescent="0.2">
      <c r="D75" s="15" t="str">
        <v>Double superphosphate</v>
      </c>
      <c r="E75" s="15" cm="1">
        <f t="array" ref="E75">Fertiliser_Equations_InorganicN2O.VEERG_5_1_1_1__1_InorganicFertiliserApplicationN2OEmissions(G34,$I$50,$I$51)</f>
        <v>0</v>
      </c>
    </row>
    <row r="76" spans="4:20" ht="20.100000000000001" customHeight="1" x14ac:dyDescent="0.2">
      <c r="D76" s="15" t="str">
        <v>Single superphosphate (SSP)</v>
      </c>
      <c r="E76" s="15" cm="1">
        <f t="array" ref="E76">Fertiliser_Equations_InorganicN2O.VEERG_5_1_1_1__1_InorganicFertiliserApplicationN2OEmissions(G35,$I$50,$I$51)</f>
        <v>0</v>
      </c>
      <c r="M76" s="145" t="str" cm="1">
        <f t="array" ref="M76:N77">_xlfn.CHOOSECOLS(Fertiliser_Equations_InorganicN2O.VEERG_5_1_1_2__3_EmissionFactorCotton_Arguments(), 1, 2)</f>
        <v>N_fjCotton</v>
      </c>
      <c r="N76" s="146" t="str">
        <v>application rate of inorganic fertiliser type f in the cotton crop</v>
      </c>
      <c r="O76" s="152"/>
      <c r="P76" s="146" t="str" cm="1">
        <f t="array" ref="P76:Q77">_xlfn.CHOOSECOLS(Fertiliser_Equations_InorganicN2O.VEERG_5_1_1_2__3_EmissionFactorCotton_Arguments(), 3,4)</f>
        <v>kg N/ha</v>
      </c>
      <c r="Q76" s="147" t="str">
        <v>Input</v>
      </c>
      <c r="R76" s="153">
        <f>MIN(300, $N$35)</f>
        <v>182.82499999999999</v>
      </c>
      <c r="S76" s="154"/>
    </row>
    <row r="77" spans="4:20" ht="20.100000000000001" customHeight="1" x14ac:dyDescent="0.2">
      <c r="D77" s="15" t="str">
        <v>Ammonia</v>
      </c>
      <c r="E77" s="15" cm="1">
        <f t="array" ref="E77">Fertiliser_Equations_InorganicN2O.VEERG_5_1_1_1__1_InorganicFertiliserApplicationN2OEmissions(G36,$I$50,$I$51)</f>
        <v>0.45292500000000002</v>
      </c>
      <c r="M77" s="145" t="str">
        <v>f</v>
      </c>
      <c r="N77" s="146" t="str">
        <v>Inorganic fertiliser type</v>
      </c>
      <c r="O77" s="152"/>
      <c r="P77" s="146" t="str">
        <v/>
      </c>
      <c r="Q77" s="148" t="str">
        <v>Constant</v>
      </c>
      <c r="R77" s="146" t="s">
        <v>423</v>
      </c>
      <c r="S77" s="151"/>
    </row>
    <row r="78" spans="4:20" ht="20.100000000000001" customHeight="1" x14ac:dyDescent="0.2">
      <c r="D78" s="15" t="str">
        <v>Calcium nitrate</v>
      </c>
      <c r="E78" s="15" cm="1">
        <f t="array" ref="E78">Fertiliser_Equations_InorganicN2O.VEERG_5_1_1_1__1_InorganicFertiliserApplicationN2OEmissions(G37,$I$50,$I$51)</f>
        <v>8.5250000000000006E-2</v>
      </c>
    </row>
    <row r="79" spans="4:20" ht="20.100000000000001" customHeight="1" x14ac:dyDescent="0.2">
      <c r="M79" s="77" t="s">
        <v>428</v>
      </c>
      <c r="N79" s="1" cm="1">
        <f t="array" ref="N79">Fertiliser_Equations_InorganicN2O.VEERG_5_1_1_2__3_EmissionFactorCotton(R76)</f>
        <v>3.231403335233797E-5</v>
      </c>
      <c r="O79" s="9" t="str">
        <f>N72</f>
        <v>kg N2O-N/kg N applied</v>
      </c>
    </row>
    <row r="80" spans="4:20" ht="20.100000000000001" customHeight="1" x14ac:dyDescent="0.2">
      <c r="D80" s="87" t="s">
        <v>430</v>
      </c>
      <c r="E80" s="88">
        <f>SUM(E60:E78)</f>
        <v>2.0110749340000003</v>
      </c>
      <c r="F80" s="97" t="str">
        <f>$E$47</f>
        <v>t N2O</v>
      </c>
    </row>
    <row r="82" spans="1:24" ht="20.100000000000001" customHeight="1" x14ac:dyDescent="0.2">
      <c r="D82" s="145" t="str" cm="1">
        <f t="array" ref="D82:E83">Common_Equations.Common_ConvertN2OToCO2e_Arguments()</f>
        <v>EN2O</v>
      </c>
      <c r="E82" s="146" t="str">
        <v>Nitrous oxide emissions (t N2O)</v>
      </c>
      <c r="F82" s="155"/>
      <c r="G82" s="15">
        <f>VEERG_5_1_1_1__1_InorganicFertiliserApplicationN2OEmissions_Result_Method1</f>
        <v>2.0110749340000003</v>
      </c>
      <c r="L82" s="85"/>
      <c r="M82" s="85"/>
      <c r="N82" s="85"/>
      <c r="O82" s="85"/>
      <c r="P82" s="85"/>
      <c r="Q82" s="85"/>
      <c r="R82" s="85"/>
      <c r="S82" s="85"/>
      <c r="T82" s="85"/>
      <c r="U82" s="85"/>
      <c r="V82" s="85"/>
      <c r="W82" s="85"/>
      <c r="X82" s="85"/>
    </row>
    <row r="83" spans="1:24" ht="20.100000000000001" customHeight="1" x14ac:dyDescent="0.2">
      <c r="D83" s="145" t="str">
        <v>GWPN2O</v>
      </c>
      <c r="E83" s="146" t="str">
        <v>Global warming potential for nitrous oxide (t CO2-e / t N2O)</v>
      </c>
      <c r="F83" s="155"/>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1:24" ht="20.100000000000001" customHeight="1" x14ac:dyDescent="0.2">
      <c r="M84" s="17" t="str" cm="1">
        <f t="array" ref="M84">Fertiliser_Equations_InorganicN2O.VEERG_5_1_1_1__1_InorganicFertiliserApplicationN2OEmissions_Source()</f>
        <v>VEERG 2026: 5.1.1.1, Equation (1)</v>
      </c>
    </row>
    <row r="85" spans="1:24" ht="20.100000000000001" customHeight="1" x14ac:dyDescent="0.2">
      <c r="D85" s="85" t="s">
        <v>431</v>
      </c>
      <c r="E85" s="85" cm="1">
        <f t="array" ref="E85">Common_Equations.Common_ConvertN2OToCO2e(G82,G83)</f>
        <v>532.93485751000003</v>
      </c>
      <c r="F85" s="91" t="str" cm="1">
        <f t="array" ref="F85">Common_Equations.Common_ConvertN2OToCO2e_Unit()</f>
        <v>t CO2e</v>
      </c>
      <c r="M85" s="140" t="s">
        <v>402</v>
      </c>
      <c r="N85" s="140" t="str" cm="1">
        <f t="array" aca="1" ref="N85" ca="1">Common_InputFunctions.Utility_DisplayFunctionName($E$60)</f>
        <v>=Fertiliser_Equations_InorganicN2O.VEERG_5_1_1_1__1_InorganicFertiliserApplicationN2OEmissions</v>
      </c>
    </row>
    <row r="88" spans="1:24" ht="20.100000000000001" customHeight="1" x14ac:dyDescent="0.2">
      <c r="A88" s="81" t="str">
        <f>HYPERLINK("#A1", "▲ Back to top")</f>
        <v>▲ Back to top</v>
      </c>
    </row>
    <row r="89" spans="1:24" ht="20.100000000000001" customHeight="1" x14ac:dyDescent="0.2">
      <c r="M89" s="77" t="s">
        <v>407</v>
      </c>
      <c r="N89" s="1" t="str" cm="1">
        <f t="array" ref="N89">Fertiliser_Equations_InorganicN2O.VEERG_5_1_1_1__1_InorganicFertiliserApplicationN2OEmissions_Variable()</f>
        <v>E_N2O</v>
      </c>
    </row>
    <row r="90" spans="1:24" ht="20.100000000000001" customHeight="1" x14ac:dyDescent="0.2">
      <c r="M90" s="77" t="s">
        <v>118</v>
      </c>
      <c r="N90" s="9" t="str" cm="1">
        <f t="array" ref="N90">Fertiliser_Equations_InorganicN2O.VEERG_5_1_1_1__1_InorganicFertiliserApplicationN2OEmissions_Unit()</f>
        <v>t N2O</v>
      </c>
    </row>
    <row r="92" spans="1:24" ht="20.100000000000001" customHeight="1" x14ac:dyDescent="0.2">
      <c r="M92" s="145" t="str" cm="1">
        <f t="array" ref="M92:N99">_xlfn.CHOOSECOLS(Fertiliser_Equations_InorganicN2O.VEERG_5_1_1_1__1_InorganicFertiliserApplicationN2OEmissions_Arguments_Method2(), 1, 2)</f>
        <v>MN_jf</v>
      </c>
      <c r="N92" s="146" t="str">
        <v>mass of nitrogen in inorganic fertiliser type f applied to production system j</v>
      </c>
      <c r="O92" s="152"/>
      <c r="P92" s="151"/>
      <c r="Q92" s="145" t="str" cm="1">
        <f t="array" ref="Q92:R99">_xlfn.CHOOSECOLS(Fertiliser_Equations_InorganicN2O.VEERG_5_1_1_1__1_InorganicFertiliserApplicationN2OEmissions_Arguments_Method2(), 3,4)</f>
        <v>kg N</v>
      </c>
      <c r="R92" s="148" t="str">
        <v>Calculated from 5.1.1.1 (2)</v>
      </c>
      <c r="S92" s="156">
        <f>N33</f>
        <v>182825</v>
      </c>
    </row>
    <row r="93" spans="1:24" ht="20.100000000000001" customHeight="1" x14ac:dyDescent="0.2">
      <c r="M93" s="145" t="str">
        <v>EF_jN2O</v>
      </c>
      <c r="N93" s="146" t="str">
        <v>emission factor for nitrous oxide for inorganic fertilisers</v>
      </c>
      <c r="O93" s="152"/>
      <c r="P93" s="151"/>
      <c r="Q93" s="145" t="str">
        <v>kg N2O-N/kg N applied</v>
      </c>
      <c r="R93" s="148" t="str">
        <v>Calculated from 5.1.1.2 (1)(2)(3)</v>
      </c>
      <c r="S93" s="156">
        <f>_xlfn.XLOOKUP(TRUE,N105:N108,O105:O108)</f>
        <v>3.231403335233797E-5</v>
      </c>
    </row>
    <row r="94" spans="1:24" ht="20.100000000000001" customHeight="1" x14ac:dyDescent="0.2">
      <c r="M94" s="145" t="str">
        <v>C_N2O</v>
      </c>
      <c r="N94" s="146" t="str">
        <v>factor to convert elemental mass of nitrous oxide to molecular mass</v>
      </c>
      <c r="O94" s="152"/>
      <c r="P94" s="151"/>
      <c r="Q94" s="145" t="str">
        <v/>
      </c>
      <c r="R94" s="148" t="str">
        <v>Constant</v>
      </c>
      <c r="S94" s="145">
        <f>Common_InputFunctions.Utility_LookupValueInTableNumber("N2O",Table_GasToMolecularConversionFactor[Gas],Table_GasToMolecularConversionFactor[Conversion factor combined])</f>
        <v>1.5714285714285714</v>
      </c>
    </row>
    <row r="95" spans="1:24" ht="20.100000000000001" customHeight="1" x14ac:dyDescent="0.2">
      <c r="M95" s="145" t="str">
        <v>j</v>
      </c>
      <c r="N95" s="146" t="str">
        <v>Production system</v>
      </c>
      <c r="O95" s="152"/>
      <c r="P95" s="151"/>
      <c r="Q95" s="145" t="str">
        <v/>
      </c>
      <c r="R95" s="147" t="str">
        <v>Input</v>
      </c>
      <c r="S95" s="145" t="str">
        <f>X_Cell_Fertiliser_ProductionSystem</f>
        <v>Crop</v>
      </c>
    </row>
    <row r="96" spans="1:24" ht="20.100000000000001" customHeight="1" x14ac:dyDescent="0.2">
      <c r="M96" s="145" t="str">
        <v>c</v>
      </c>
      <c r="N96" s="146" t="str">
        <v>Crop type</v>
      </c>
      <c r="O96" s="152"/>
      <c r="P96" s="151"/>
      <c r="Q96" s="145" t="str">
        <v/>
      </c>
      <c r="R96" s="147" t="str">
        <v>Input</v>
      </c>
      <c r="S96" s="145" t="str">
        <f>X_Cell_Fertiliser_CropType</f>
        <v>Cotton</v>
      </c>
    </row>
    <row r="97" spans="13:19" ht="20.100000000000001" customHeight="1" x14ac:dyDescent="0.2">
      <c r="M97" s="145" t="str">
        <v>f</v>
      </c>
      <c r="N97" s="146" t="str">
        <v>Inorganic fertiliser type</v>
      </c>
      <c r="O97" s="152"/>
      <c r="P97" s="151"/>
      <c r="Q97" s="145" t="str">
        <v/>
      </c>
      <c r="R97" s="148" t="str">
        <v>Constant</v>
      </c>
      <c r="S97" s="145" t="s">
        <v>432</v>
      </c>
    </row>
    <row r="98" spans="13:19" ht="20.100000000000001" customHeight="1" x14ac:dyDescent="0.2">
      <c r="M98" s="145" t="str">
        <v>ir</v>
      </c>
      <c r="N98" s="146" t="str">
        <v>irrigation method</v>
      </c>
      <c r="O98" s="152"/>
      <c r="P98" s="151"/>
      <c r="Q98" s="145" t="str">
        <v/>
      </c>
      <c r="R98" s="147" t="str">
        <v>Input</v>
      </c>
      <c r="S98" s="145" t="str">
        <f>X_Cell_Fertiliser_IrrigationMethod</f>
        <v>Sprinkler irrigation</v>
      </c>
    </row>
    <row r="99" spans="13:19" ht="20.100000000000001" customHeight="1" x14ac:dyDescent="0.2">
      <c r="M99" s="146" t="str">
        <v>z</v>
      </c>
      <c r="N99" s="146" t="str">
        <v>rainfall zone</v>
      </c>
      <c r="O99" s="152"/>
      <c r="P99" s="152"/>
      <c r="Q99" s="145" t="str">
        <v/>
      </c>
      <c r="R99" s="147" t="str">
        <v>Input</v>
      </c>
      <c r="S99" s="145" t="str">
        <f>X_Cell_Site_RainfallZone</f>
        <v>High rainfall</v>
      </c>
    </row>
    <row r="102" spans="13:19" ht="20.100000000000001" customHeight="1" x14ac:dyDescent="0.2">
      <c r="M102" s="141" t="s">
        <v>433</v>
      </c>
    </row>
    <row r="103" spans="13:19" ht="20.100000000000001" customHeight="1" x14ac:dyDescent="0.2">
      <c r="M103" s="142" t="s">
        <v>434</v>
      </c>
    </row>
    <row r="104" spans="13:19" ht="20.100000000000001" customHeight="1" x14ac:dyDescent="0.2">
      <c r="M104" s="144" t="s">
        <v>161</v>
      </c>
      <c r="N104" s="144" t="s">
        <v>435</v>
      </c>
      <c r="O104" s="144" t="s">
        <v>436</v>
      </c>
    </row>
    <row r="105" spans="13:19" ht="20.100000000000001" customHeight="1" x14ac:dyDescent="0.2">
      <c r="M105" s="15" t="s">
        <v>437</v>
      </c>
      <c r="N105" s="15" t="b">
        <f>IF(AND(S96="Maize", NOT(S98="Not irrigated")), TRUE)</f>
        <v>0</v>
      </c>
      <c r="O105" s="15">
        <f>N49</f>
        <v>9.6783250000000015E-3</v>
      </c>
    </row>
    <row r="106" spans="13:19" ht="20.100000000000001" customHeight="1" x14ac:dyDescent="0.2">
      <c r="M106" s="15" t="s">
        <v>438</v>
      </c>
      <c r="N106" s="15" t="b">
        <f>IF(AND(S96="Grains", S98="Not irrigated", S99="High rainfall"), TRUE)</f>
        <v>0</v>
      </c>
      <c r="O106" s="15">
        <f>N63</f>
        <v>1.4492874999999999E-2</v>
      </c>
    </row>
    <row r="107" spans="13:19" ht="20.100000000000001" customHeight="1" x14ac:dyDescent="0.2">
      <c r="M107" s="15" t="s">
        <v>291</v>
      </c>
      <c r="N107" s="15" t="b">
        <f>IF(S96="Cotton", TRUE)</f>
        <v>1</v>
      </c>
      <c r="O107" s="157">
        <f>N79</f>
        <v>3.231403335233797E-5</v>
      </c>
    </row>
    <row r="108" spans="13:19" ht="20.100000000000001" customHeight="1" x14ac:dyDescent="0.2">
      <c r="M108" s="15" t="s">
        <v>439</v>
      </c>
      <c r="N108" s="15" t="b">
        <f>IF(AND(N105=FALSE, N107=FALSE, N106=FALSE),TRUE)</f>
        <v>0</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3:19" ht="20.100000000000001" customHeight="1" x14ac:dyDescent="0.2">
      <c r="M110" s="87" t="s">
        <v>430</v>
      </c>
      <c r="N110" s="88" cm="1">
        <f t="array" ref="N110">Fertiliser_Equations_InorganicN2O.VEERG_5_1_1_1__1_InorganicFertiliserApplicationN2OEmissions(S92,S93,$S$94)</f>
        <v>9.2837063748647253E-3</v>
      </c>
      <c r="O110" s="97" t="str">
        <f>$E$47</f>
        <v>t N2O</v>
      </c>
    </row>
    <row r="112" spans="13:19" ht="20.100000000000001" customHeight="1" x14ac:dyDescent="0.2">
      <c r="M112" s="145" t="str" cm="1">
        <f t="array" ref="M112:N113">Common_Equations.Common_ConvertN2OToCO2e_Arguments()</f>
        <v>EN2O</v>
      </c>
      <c r="N112" s="146" t="str">
        <v>Nitrous oxide emissions (t N2O)</v>
      </c>
      <c r="O112" s="155"/>
      <c r="P112" s="15">
        <f>VEERG_5_1_1_1__1_InorganicFertiliserApplicationN2OEmissions_Result_Method2</f>
        <v>9.2837063748647253E-3</v>
      </c>
    </row>
    <row r="113" spans="13:16" ht="20.100000000000001" customHeight="1" x14ac:dyDescent="0.2">
      <c r="M113" s="145" t="str">
        <v>GWPN2O</v>
      </c>
      <c r="N113" s="146" t="str">
        <v>Global warming potential for nitrous oxide (t CO2-e / t N2O)</v>
      </c>
      <c r="O113" s="155"/>
      <c r="P113" s="15">
        <f>Common_InputFunctions.Utility_LookupValueInTableNumber("N2O",Table_GWPData[Gas],Table_GWPData[CO2-e factor])</f>
        <v>265</v>
      </c>
    </row>
    <row r="115" spans="13:16" ht="20.100000000000001" customHeight="1" x14ac:dyDescent="0.2">
      <c r="M115" s="85" t="s">
        <v>431</v>
      </c>
      <c r="N115" s="85" cm="1">
        <f t="array" ref="N115">Common_Equations.Common_ConvertN2OToCO2e(P112,P113)</f>
        <v>2.460182189339152</v>
      </c>
      <c r="O115" s="91"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4C98FC67-4C9E-43F4-B3A7-DCD96D2BF2C4}"/>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638A4-6D94-4A04-81E8-269931212B80}">
  <sheetPr>
    <tabColor rgb="FF008000"/>
  </sheetPr>
  <dimension ref="A1:U78"/>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440</v>
      </c>
    </row>
    <row r="2" spans="1:21" s="3" customFormat="1" ht="20.100000000000001" customHeight="1" x14ac:dyDescent="0.2">
      <c r="A2"/>
    </row>
    <row r="3" spans="1:21" ht="20.100000000000001" customHeight="1" x14ac:dyDescent="0.2">
      <c r="A3" s="5" t="str">
        <f>HYPERLINK("#'Home'!A1", "Home")</f>
        <v>Home</v>
      </c>
      <c r="C3" s="23"/>
      <c r="D3" s="23" t="s">
        <v>128</v>
      </c>
      <c r="E3" s="23"/>
      <c r="F3" s="23"/>
      <c r="G3" s="23"/>
      <c r="H3" s="23"/>
      <c r="I3" s="23"/>
      <c r="J3" s="23"/>
      <c r="K3" s="23"/>
      <c r="L3" s="23"/>
      <c r="N3" s="23"/>
      <c r="O3" s="23" t="s">
        <v>129</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tr" cm="1">
        <f t="array" ref="D5">Fertiliser_Equations_InorganicCO2.VEERG_5_1_1_3__2_MassOfUreaInInorganicFertiliser_Title()</f>
        <v>Mass of urea applied to production system</v>
      </c>
    </row>
    <row r="6" spans="1:21" ht="20.100000000000001" customHeight="1" x14ac:dyDescent="0.2">
      <c r="D6" s="17" t="str" cm="1">
        <f t="array" ref="D6">Fertiliser_Equations_InorganicCO2.VEERG_5_1_1_3__2_MassOfUreaInInorganicFertiliser_Source()</f>
        <v>VEERG 2026: 5.1.1.3, Equation (2)</v>
      </c>
    </row>
    <row r="7" spans="1:21" ht="20.100000000000001" customHeight="1" x14ac:dyDescent="0.2">
      <c r="D7" s="140" t="s">
        <v>402</v>
      </c>
      <c r="E7" s="140" t="str" cm="1">
        <f t="array" aca="1" ref="E7" ca="1">Common_InputFunctions.Utility_DisplayFunctionName(G19)</f>
        <v>=Fertiliser_Equations_InorganicCO2.VEERG_5_1_1_3__2_MassOfUreaInInorganicFertiliser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407</v>
      </c>
      <c r="E10" s="1" t="str" cm="1">
        <f t="array" ref="E10">Fertiliser_Equations_InorganicCO2.VEERG_5_1_1_3__2_MassOfUreaInInorganicFertiliser_Variable()</f>
        <v>MU_jf</v>
      </c>
    </row>
    <row r="11" spans="1:21" ht="20.100000000000001" customHeight="1" x14ac:dyDescent="0.2">
      <c r="A11" s="5" t="str">
        <f>HYPERLINK("#'Input - Crop'!A1", "Crop")</f>
        <v>Crop</v>
      </c>
      <c r="D11" s="77" t="s">
        <v>118</v>
      </c>
      <c r="E11" s="9" t="str" cm="1">
        <f t="array" ref="E11">Fertiliser_Equations_InorganicCO2.VEERG_5_1_1_3__2_MassOfUreaInInorganicFertiliser_Unit()</f>
        <v>kg urea</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45" t="str" cm="1">
        <f t="array" ref="D13:E14">_xlfn.CHOOSECOLS(Fertiliser_Equations_InorganicCO2.VEERG_5_1_1_3__2_MassOfUreaInInorganicFertiliser_Arguments(), 1, 2)</f>
        <v>TM_jf</v>
      </c>
      <c r="E13" s="146" t="str">
        <v>total mass of inorganic fertiliser type f applied to production system j</v>
      </c>
      <c r="F13" s="151"/>
      <c r="G13" s="145" t="str" cm="1">
        <f t="array" ref="G13:H14">_xlfn.CHOOSECOLS(Fertiliser_Equations_InorganicCO2.VEERG_5_1_1_3__2_MassOfUreaInInorganicFertiliser_Arguments(), 3, 4)</f>
        <v>kg</v>
      </c>
      <c r="H13" s="147" t="str">
        <v>Input</v>
      </c>
      <c r="I13" s="149" t="str" cm="1">
        <f t="array" aca="1" ref="I13" ca="1">HYPERLINK(Common_InputFunctions.Utility_SourceHyperlink($D$16), $D$16)</f>
        <v>Table_MU_j_f</v>
      </c>
    </row>
    <row r="14" spans="1:21" ht="20.100000000000001" customHeight="1" x14ac:dyDescent="0.2">
      <c r="A14" s="5" t="str">
        <f>HYPERLINK("#'Input - Fuel'!A1", "Fuel")</f>
        <v>Fuel</v>
      </c>
      <c r="D14" s="145" t="str">
        <v>FU_f</v>
      </c>
      <c r="E14" s="146" t="str">
        <v>fraction of urea in fertiliser type f</v>
      </c>
      <c r="F14" s="151"/>
      <c r="G14" s="145" t="str">
        <v>kg urea/kg</v>
      </c>
      <c r="H14" s="148" t="str">
        <v>Lookup</v>
      </c>
      <c r="I14" s="149" t="str" cm="1">
        <f t="array" aca="1" ref="I14" ca="1">HYPERLINK(Common_InputFunctions.Utility_SourceHyperlink($D$16), $D$16)</f>
        <v>Table_MU_j_f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41" t="s">
        <v>441</v>
      </c>
    </row>
    <row r="17" spans="1:7" ht="20.100000000000001" customHeight="1" x14ac:dyDescent="0.2">
      <c r="A17" s="5" t="str">
        <f>HYPERLINK("#'Input - Crop pasture farm input'!A1", "Crop pasture farm input")</f>
        <v>Crop pasture farm input</v>
      </c>
      <c r="D17" s="142" t="s">
        <v>442</v>
      </c>
    </row>
    <row r="18" spans="1:7" ht="20.100000000000001" customHeight="1" x14ac:dyDescent="0.2">
      <c r="A18" s="5" t="str">
        <f>HYPERLINK("#'Input - Freight'!A1", "Freight")</f>
        <v>Freight</v>
      </c>
      <c r="D18" s="144" t="s">
        <v>415</v>
      </c>
      <c r="E18" s="80" t="s">
        <v>416</v>
      </c>
      <c r="F18" s="144" t="s">
        <v>443</v>
      </c>
      <c r="G18" s="144" t="s">
        <v>444</v>
      </c>
    </row>
    <row r="19" spans="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
      <c r="A20" s="5" t="str">
        <f>HYPERLINK("#'Input - Data quality'!A1", "Data quality")</f>
        <v>Data quality</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252173.9</v>
      </c>
    </row>
    <row r="22" spans="1:7" ht="20.100000000000001" customHeight="1" x14ac:dyDescent="0.2">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
      <c r="A23" s="6" t="s">
        <v>2</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
      <c r="A24" s="5" t="str">
        <f>HYPERLINK("#'5.1.1.1-2 Inorganic fert N2O'!A1", "5.1.1.1-2 Inorganic fert N2O")</f>
        <v>5.1.1.1-2 Inorganic fert N2O</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
      <c r="A25" s="150" t="str">
        <f>HYPERLINK("#'5.1.1.3-4 Inorganic fert CO2'!A1", "5.1.1.3-4 Inorganic fert CO2")</f>
        <v>5.1.1.3-4 Inorganic fert CO2</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
      <c r="A26" s="5" t="str">
        <f>HYPERLINK("#'5.2.1.1-2 Organic Fert N2O'!A1", "5.2.1.1-2 Organic fert N2O")</f>
        <v>5.2.1.1-2 Organic fert N2O</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
      <c r="A27" s="5" t="str">
        <f>HYPERLINK("#'5.3.1.1-2 Lime CO2'!A1", "5.3.1.1-2 Lime CO2")</f>
        <v>5.3.1.1-2 Lime CO2</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
      <c r="A28" s="5" t="str">
        <f>HYPERLINK("#'5.4.1.1-4 Atmos deposition'!A1", "5.4.1.1-4 Atmos. deposition")</f>
        <v>5.4.1.1-4 Atmos. deposition</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
      <c r="A29" s="5" t="str">
        <f>HYPERLINK("#'5.5.1.1-2 Leaching and runoff'!A1", "5.5.1.1-2 Leaching &amp; runoff")</f>
        <v>5.5.1.1-2 Leaching &amp; runoff</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
      <c r="A30" s="5" t="str">
        <f>HYPERLINK("#'6.1.1.1-2 Crop residue N2O'!A1", "6.1.1.1-2 Crop residue N2O")</f>
        <v>6.1.1.1-2 Crop residue N2O</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
      <c r="A31" s="5" t="str">
        <f>HYPERLINK("#'6.3.1.1-2 Leach runoff crop'!A1", "6.3.1.1-2 Leach &amp; runoff (crop)")</f>
        <v>6.3.1.1-2 Leach &amp; runoff (crop)</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
      <c r="A32" s="5" t="str">
        <f>HYPERLINK("#'8.1.1.1-2 Transport fuel'!A1", "8.1.1.1-2 Transport fuel")</f>
        <v>8.1.1.1-2 Transport fuel</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
      <c r="A33" s="5" t="str">
        <f>HYPERLINK("#'8.2.1.1-2 Stationary fuel'!A1", "8.2.1.1-2 Stationary fuel")</f>
        <v>8.2.1.1-2 Stationary fuel</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
      <c r="A34" s="5" t="str">
        <f>HYPERLINK("#'10.1.1-2 Solid waste treatment'!A1", "10.1.1.1-2 Solid waste")</f>
        <v>10.1.1.1-2 Solid waste</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
      <c r="A35" s="5" t="str">
        <f>HYPERLINK("#'14.1.1-2 Purchased electricity'!A1", "14.1.1-2 Purchased electricity")</f>
        <v>14.1.1-2 Purchased electricity</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
      <c r="A36" s="5" t="str">
        <f>HYPERLINK("#'15 Scope 3'!A1", "15 Scope 3")</f>
        <v>15 Scope 3</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9" spans="1:12" ht="20.100000000000001" customHeight="1" x14ac:dyDescent="0.2">
      <c r="A39" s="82" t="s">
        <v>1</v>
      </c>
    </row>
    <row r="40" spans="1:12" ht="20.100000000000001" customHeight="1" x14ac:dyDescent="0.2">
      <c r="A40" s="5" t="str">
        <f>HYPERLINK("#'Constants - Ag Residue'!A1", "Constants - Ag residue")</f>
        <v>Constants - Ag residue</v>
      </c>
      <c r="C40" s="85"/>
      <c r="D40" s="85"/>
      <c r="E40" s="85"/>
      <c r="F40" s="85"/>
      <c r="G40" s="85"/>
      <c r="H40" s="85"/>
      <c r="I40" s="85"/>
      <c r="J40" s="85"/>
      <c r="K40" s="85"/>
      <c r="L40" s="85"/>
    </row>
    <row r="41" spans="1:12" ht="20.100000000000001" customHeight="1" x14ac:dyDescent="0.2">
      <c r="A41" s="5" t="str">
        <f>HYPERLINK("#'Constants - Electricity'!A1", "Constants - Electricity")</f>
        <v>Constants - Electricity</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
      <c r="A42" s="5" t="str">
        <f>HYPERLINK("#'Constants - Fertiliser'!A1", "Constants - Fertiliser")</f>
        <v>Constants - Fertiliser</v>
      </c>
      <c r="D42" s="17" t="str" cm="1">
        <f t="array" ref="D42">Fertiliser_Equations_InorganicCO2.VEERG_5_1_1_3__1_InorganicFertiliserApplicationCO2Emissions_Source()</f>
        <v>VEERG 2026: 5.1.1.3, Equation (1)</v>
      </c>
    </row>
    <row r="43" spans="1:12" ht="20.100000000000001" customHeight="1" x14ac:dyDescent="0.2">
      <c r="A43" s="5" t="str">
        <f>HYPERLINK("#'Constants - Fuel'!A1", "Constants - Fuel")</f>
        <v>Constants - Fuel</v>
      </c>
      <c r="D43" s="140" t="s">
        <v>402</v>
      </c>
      <c r="E43" s="140" t="str" cm="1">
        <f t="array" aca="1" ref="E43" ca="1">Common_InputFunctions.Utility_DisplayFunctionName(E58)</f>
        <v>=Fertiliser_Equations_InorganicCO2.VEERG_5_1_1_3__1_InorganicFertiliserApplicationCO2Emissions</v>
      </c>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row>
    <row r="46" spans="1:12" ht="20.100000000000001" customHeight="1" x14ac:dyDescent="0.2">
      <c r="A46" s="5" t="str">
        <f>HYPERLINK("#'Constants - Common'!A1", "Constants - Common")</f>
        <v>Constants - Common</v>
      </c>
      <c r="D46" s="77" t="s">
        <v>407</v>
      </c>
      <c r="E46" s="1" t="str" cm="1">
        <f t="array" ref="E46">Fertiliser_Equations_InorganicCO2.VEERG_5_1_1_3__1_InorganicFertiliserApplicationCO2Emissions_Variable()</f>
        <v>E_CO2</v>
      </c>
    </row>
    <row r="47" spans="1:12" ht="20.100000000000001" customHeight="1" x14ac:dyDescent="0.2">
      <c r="A47" s="5" t="str">
        <f>HYPERLINK("#'Constants - Common Livestock'!A1", "Constants - Common Livestock")</f>
        <v>Constants - Common Livestock</v>
      </c>
      <c r="D47" s="77" t="s">
        <v>118</v>
      </c>
      <c r="E47" s="9" t="str" cm="1">
        <f t="array" ref="E47">Fertiliser_Equations_InorganicCO2.VEERG_5_1_1_3__1_InorganicFertiliserApplicationCO2Emissions_Unit()</f>
        <v>t CO2</v>
      </c>
    </row>
    <row r="49" spans="1:9" ht="20.100000000000001" customHeight="1" x14ac:dyDescent="0.2">
      <c r="D49" s="145" t="str" cm="1">
        <f t="array" ref="D49:E53">_xlfn.CHOOSECOLS(Fertiliser_Equations_InorganicCO2.VEERG_5_1_1_3__1_InorganicFertiliserApplicationCO2Emissions_Arguments(), 1, 2)</f>
        <v>MU_jf</v>
      </c>
      <c r="E49" s="146" t="str">
        <v>mass of urea of inorganic fertiliser type f applied to production system j</v>
      </c>
      <c r="F49" s="151"/>
      <c r="G49" s="145" t="str" cm="1">
        <f t="array" ref="G49:H53">_xlfn.CHOOSECOLS(Fertiliser_Equations_InorganicCO2.VEERG_5_1_1_3__1_InorganicFertiliserApplicationCO2Emissions_Arguments(), 3,4)</f>
        <v>kg urea</v>
      </c>
      <c r="H49" s="148" t="str">
        <v>Calculated</v>
      </c>
      <c r="I49" s="149" t="str" cm="1">
        <f t="array" aca="1" ref="I49" ca="1">HYPERLINK(Common_InputFunctions.Utility_SourceHyperlink($D$16), $D$16)</f>
        <v>Table_MU_j_f</v>
      </c>
    </row>
    <row r="50" spans="1:9" ht="20.100000000000001" customHeight="1" x14ac:dyDescent="0.2">
      <c r="D50" s="145" t="str">
        <v>EF_ureaCO2</v>
      </c>
      <c r="E50" s="146" t="str">
        <v>emission factor for carbon emissions from urea-based fertilisers</v>
      </c>
      <c r="F50" s="151"/>
      <c r="G50" s="145" t="str">
        <v>kg C/kg urea</v>
      </c>
      <c r="H50" s="148" t="str">
        <v>Constant</v>
      </c>
      <c r="I50" s="145">
        <f>Fertiliser_EFUreaCO2_Data</f>
        <v>0.2</v>
      </c>
    </row>
    <row r="51" spans="1:9" ht="20.100000000000001" customHeight="1" x14ac:dyDescent="0.2">
      <c r="D51" s="145" t="str">
        <v>C_CO2</v>
      </c>
      <c r="E51" s="146" t="str">
        <v>factor to convert elemental mass of carbon to molecular mass of carbon dioxide</v>
      </c>
      <c r="F51" s="151"/>
      <c r="G51" s="145" t="str">
        <v/>
      </c>
      <c r="H51" s="148" t="str">
        <v>Constant</v>
      </c>
      <c r="I51" s="145">
        <f>Common_InputFunctions.Utility_LookupValueInTableNumber("CO2",Table_GasToMolecularConversionFactor[Gas], Table_GasToMolecularConversionFactor[Conversion factor combined])</f>
        <v>3.6666666666666665</v>
      </c>
    </row>
    <row r="52" spans="1:9" ht="20.100000000000001" customHeight="1" x14ac:dyDescent="0.2">
      <c r="D52" s="145" t="str">
        <v>j</v>
      </c>
      <c r="E52" s="146" t="str">
        <v>Production system</v>
      </c>
      <c r="F52" s="151"/>
      <c r="G52" s="145" t="str">
        <v/>
      </c>
      <c r="H52" s="147" t="str">
        <v>Input</v>
      </c>
      <c r="I52" s="145" t="str">
        <f>X_Cell_Fertiliser_ProductionSystem</f>
        <v>Crop</v>
      </c>
    </row>
    <row r="53" spans="1:9" ht="20.100000000000001" customHeight="1" x14ac:dyDescent="0.2">
      <c r="D53" s="145" t="str">
        <v>f</v>
      </c>
      <c r="E53" s="146" t="str">
        <v>Inorganic fertiliser type</v>
      </c>
      <c r="F53" s="151"/>
      <c r="G53" s="145" t="str">
        <v/>
      </c>
      <c r="H53" s="148" t="str">
        <v>Lookup</v>
      </c>
      <c r="I53" s="149" t="str" cm="1">
        <f t="array" aca="1" ref="I53" ca="1">HYPERLINK(Common_InputFunctions.Utility_SourceHyperlink($D$16), $D$16)</f>
        <v>Table_MU_j_f</v>
      </c>
    </row>
    <row r="55" spans="1:9" ht="20.100000000000001" customHeight="1" x14ac:dyDescent="0.2">
      <c r="D55" s="141" t="s">
        <v>445</v>
      </c>
    </row>
    <row r="56" spans="1:9" ht="20.100000000000001" customHeight="1" x14ac:dyDescent="0.2">
      <c r="D56" s="142" t="s">
        <v>446</v>
      </c>
    </row>
    <row r="57" spans="1:9" ht="20.100000000000001" customHeight="1" x14ac:dyDescent="0.2">
      <c r="D57" s="144" t="s">
        <v>415</v>
      </c>
      <c r="E57" s="144" t="s">
        <v>427</v>
      </c>
    </row>
    <row r="58" spans="1:9" ht="20.100000000000001" customHeight="1" x14ac:dyDescent="0.2">
      <c r="A58" s="81" t="str">
        <f>HYPERLINK("#A1", "▲ Back to top")</f>
        <v>▲ Back to top</v>
      </c>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
      <c r="D59" s="15" t="str">
        <v>Diammonium phosphate (DAP)</v>
      </c>
      <c r="E59" s="15" cm="1">
        <f t="array" ref="E59">Fertiliser_Equations_InorganicCO2.VEERG_5_1_1_3__1_InorganicFertiliserApplicationCO2Emissions(G20,$I$50,$I$51)</f>
        <v>0</v>
      </c>
    </row>
    <row r="60" spans="1:9" ht="20.100000000000001" customHeight="1" x14ac:dyDescent="0.2">
      <c r="D60" s="15" t="str">
        <v>Urea</v>
      </c>
      <c r="E60" s="15" cm="1">
        <f t="array" ref="E60">Fertiliser_Equations_InorganicCO2.VEERG_5_1_1_3__1_InorganicFertiliserApplicationCO2Emissions(G21,$I$50,$I$51)</f>
        <v>184.92752666666664</v>
      </c>
    </row>
    <row r="61" spans="1:9" ht="20.100000000000001" customHeight="1" x14ac:dyDescent="0.2">
      <c r="D61" s="15" t="str">
        <v>Sulphate of ammonia (SOA)</v>
      </c>
      <c r="E61" s="15" cm="1">
        <f t="array" ref="E61">Fertiliser_Equations_InorganicCO2.VEERG_5_1_1_3__1_InorganicFertiliserApplicationCO2Emissions(G22,$I$50,$I$51)</f>
        <v>0</v>
      </c>
    </row>
    <row r="62" spans="1:9" ht="20.100000000000001" customHeight="1" x14ac:dyDescent="0.2">
      <c r="D62" s="15" t="str">
        <v>Urea-ammonium nitrate (UAN)</v>
      </c>
      <c r="E62" s="15" cm="1">
        <f t="array" ref="E62">Fertiliser_Equations_InorganicCO2.VEERG_5_1_1_3__1_InorganicFertiliserApplicationCO2Emissions(G23,$I$50,$I$51)</f>
        <v>0</v>
      </c>
    </row>
    <row r="63" spans="1:9" ht="20.100000000000001" customHeight="1" x14ac:dyDescent="0.2">
      <c r="D63" s="15" t="str">
        <v>Ammonium nitrate (AN)</v>
      </c>
      <c r="E63" s="15" cm="1">
        <f t="array" ref="E63">Fertiliser_Equations_InorganicCO2.VEERG_5_1_1_3__1_InorganicFertiliserApplicationCO2Emissions(G24,$I$50,$I$51)</f>
        <v>0</v>
      </c>
    </row>
    <row r="64" spans="1:9" ht="20.100000000000001" customHeight="1" x14ac:dyDescent="0.2">
      <c r="D64" s="15" t="str">
        <v>Calcium ammonium nitrate (CAN)</v>
      </c>
      <c r="E64" s="15" cm="1">
        <f t="array" ref="E64">Fertiliser_Equations_InorganicCO2.VEERG_5_1_1_3__1_InorganicFertiliserApplicationCO2Emissions(G25,$I$50,$I$51)</f>
        <v>0</v>
      </c>
    </row>
    <row r="65" spans="4:6" ht="20.100000000000001" customHeight="1" x14ac:dyDescent="0.2">
      <c r="D65" s="15" t="str">
        <v>Nitrogen - Ammoniacal</v>
      </c>
      <c r="E65" s="15" cm="1">
        <f t="array" ref="E65">Fertiliser_Equations_InorganicCO2.VEERG_5_1_1_3__1_InorganicFertiliserApplicationCO2Emissions(G26,$I$50,$I$51)</f>
        <v>0</v>
      </c>
    </row>
    <row r="66" spans="4:6" ht="20.100000000000001" customHeight="1" x14ac:dyDescent="0.2">
      <c r="D66" s="15" t="str">
        <v>Nitrogen - Nitrate</v>
      </c>
      <c r="E66" s="15" cm="1">
        <f t="array" ref="E66">Fertiliser_Equations_InorganicCO2.VEERG_5_1_1_3__1_InorganicFertiliserApplicationCO2Emissions(G27,$I$50,$I$51)</f>
        <v>0</v>
      </c>
    </row>
    <row r="67" spans="4:6" ht="20.100000000000001" customHeight="1" x14ac:dyDescent="0.2">
      <c r="D67" s="15" t="str">
        <v>Nitrogen - Generic</v>
      </c>
      <c r="E67" s="15" cm="1">
        <f t="array" ref="E67">Fertiliser_Equations_InorganicCO2.VEERG_5_1_1_3__1_InorganicFertiliserApplicationCO2Emissions(G28,$I$50,$I$51)</f>
        <v>0</v>
      </c>
    </row>
    <row r="68" spans="4:6" ht="20.100000000000001" customHeight="1" x14ac:dyDescent="0.2">
      <c r="D68" s="15" t="str">
        <v>Phosphorus - Generic</v>
      </c>
      <c r="E68" s="15" cm="1">
        <f t="array" ref="E68">Fertiliser_Equations_InorganicCO2.VEERG_5_1_1_3__1_InorganicFertiliserApplicationCO2Emissions(G29,$I$50,$I$51)</f>
        <v>0</v>
      </c>
    </row>
    <row r="69" spans="4:6" ht="20.100000000000001" customHeight="1" x14ac:dyDescent="0.2">
      <c r="D69" s="15" t="str">
        <v>Potassium - Generic</v>
      </c>
      <c r="E69" s="15" cm="1">
        <f t="array" ref="E69">Fertiliser_Equations_InorganicCO2.VEERG_5_1_1_3__1_InorganicFertiliserApplicationCO2Emissions(G30,$I$50,$I$51)</f>
        <v>0</v>
      </c>
    </row>
    <row r="70" spans="4:6" ht="20.100000000000001" customHeight="1" x14ac:dyDescent="0.2">
      <c r="D70" s="15" t="str">
        <v>Sulfur - Generic</v>
      </c>
      <c r="E70" s="15" cm="1">
        <f t="array" ref="E70">Fertiliser_Equations_InorganicCO2.VEERG_5_1_1_3__1_InorganicFertiliserApplicationCO2Emissions(G31,$I$50,$I$51)</f>
        <v>0</v>
      </c>
    </row>
    <row r="71" spans="4:6" ht="20.100000000000001" customHeight="1" x14ac:dyDescent="0.2">
      <c r="D71" s="15" t="str">
        <v>Zinc - Generic</v>
      </c>
      <c r="E71" s="15" cm="1">
        <f t="array" ref="E71">Fertiliser_Equations_InorganicCO2.VEERG_5_1_1_3__1_InorganicFertiliserApplicationCO2Emissions(G32,$I$50,$I$51)</f>
        <v>0</v>
      </c>
    </row>
    <row r="72" spans="4:6" ht="20.100000000000001" customHeight="1" x14ac:dyDescent="0.2">
      <c r="D72" s="15" t="str">
        <v>Muriate of potash (MOP)</v>
      </c>
      <c r="E72" s="15" cm="1">
        <f t="array" ref="E72">Fertiliser_Equations_InorganicCO2.VEERG_5_1_1_3__1_InorganicFertiliserApplicationCO2Emissions(G33,$I$50,$I$51)</f>
        <v>0</v>
      </c>
    </row>
    <row r="73" spans="4:6" ht="20.100000000000001" customHeight="1" x14ac:dyDescent="0.2">
      <c r="D73" s="15" t="str">
        <v>Double superphosphate</v>
      </c>
      <c r="E73" s="15" cm="1">
        <f t="array" ref="E73">Fertiliser_Equations_InorganicCO2.VEERG_5_1_1_3__1_InorganicFertiliserApplicationCO2Emissions(G34,$I$50,$I$51)</f>
        <v>0</v>
      </c>
    </row>
    <row r="74" spans="4:6" ht="20.100000000000001" customHeight="1" x14ac:dyDescent="0.2">
      <c r="D74" s="15" t="str">
        <v>Single superphosphate (SSP)</v>
      </c>
      <c r="E74" s="15" cm="1">
        <f t="array" ref="E74">Fertiliser_Equations_InorganicCO2.VEERG_5_1_1_3__1_InorganicFertiliserApplicationCO2Emissions(G35,$I$50,$I$51)</f>
        <v>0</v>
      </c>
    </row>
    <row r="75" spans="4:6" ht="20.100000000000001" customHeight="1" x14ac:dyDescent="0.2">
      <c r="D75" s="15" t="str">
        <v>Ammonia</v>
      </c>
      <c r="E75" s="15" cm="1">
        <f t="array" ref="E75">Fertiliser_Equations_InorganicCO2.VEERG_5_1_1_3__1_InorganicFertiliserApplicationCO2Emissions(G36,$I$50,$I$51)</f>
        <v>0</v>
      </c>
    </row>
    <row r="76" spans="4:6" ht="20.100000000000001" customHeight="1" x14ac:dyDescent="0.2">
      <c r="D76" s="15" t="str">
        <v>Calcium nitrate</v>
      </c>
      <c r="E76" s="15" cm="1">
        <f t="array" ref="E76">Fertiliser_Equations_InorganicCO2.VEERG_5_1_1_3__1_InorganicFertiliserApplicationCO2Emissions(G37,$I$50,$I$51)</f>
        <v>0</v>
      </c>
    </row>
    <row r="78" spans="4:6" ht="20.100000000000001" customHeight="1" x14ac:dyDescent="0.2">
      <c r="D78" s="87" t="s">
        <v>447</v>
      </c>
      <c r="E78" s="88">
        <f>SUM(E58:E76)</f>
        <v>184.92752666666664</v>
      </c>
      <c r="F78" s="97" t="str">
        <f>$E$47</f>
        <v>t CO2</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E8221-355F-4DD2-ABCE-5A4ED62B08F4}">
  <sheetPr>
    <tabColor rgb="FF008000"/>
  </sheetPr>
  <dimension ref="A1:U5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448</v>
      </c>
    </row>
    <row r="2" spans="1:21" s="3" customFormat="1" ht="20.100000000000001" customHeight="1" x14ac:dyDescent="0.2">
      <c r="A2"/>
    </row>
    <row r="3" spans="1:21" ht="20.100000000000001" customHeight="1" x14ac:dyDescent="0.2">
      <c r="A3" s="5" t="str">
        <f>HYPERLINK("#'Home'!A1", "Home")</f>
        <v>Home</v>
      </c>
      <c r="C3" s="23"/>
      <c r="D3" s="23" t="s">
        <v>128</v>
      </c>
      <c r="E3" s="23"/>
      <c r="F3" s="23"/>
      <c r="G3" s="23"/>
      <c r="H3" s="23"/>
      <c r="I3" s="23"/>
      <c r="J3" s="23"/>
      <c r="K3" s="23"/>
      <c r="L3" s="23"/>
      <c r="N3" s="23"/>
      <c r="O3" s="23" t="s">
        <v>129</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tr" cm="1">
        <f t="array" ref="D5">Fertiliser_Equations_OrganicN2O.VEERG_5_2_1_1__2_MassOfNitrogenInOrganicFertiliser_Title()</f>
        <v>Mass of nitrogen in purchased organic fertilisers applied to production system</v>
      </c>
    </row>
    <row r="6" spans="1:21" ht="20.100000000000001" customHeight="1" x14ac:dyDescent="0.2">
      <c r="D6" s="17" t="str" cm="1">
        <f t="array" ref="D6">Fertiliser_Equations_OrganicN2O.VEERG_5_2_1_1__2_MassOfNitrogenInOrganicFertiliser_Source()</f>
        <v>VEERG 2026: 5.2.1.1, Equation (2)</v>
      </c>
    </row>
    <row r="7" spans="1:21" ht="20.100000000000001" customHeight="1" x14ac:dyDescent="0.2">
      <c r="D7" s="140" t="s">
        <v>402</v>
      </c>
      <c r="E7" s="140" t="str" cm="1">
        <f t="array" aca="1" ref="E7" ca="1">Common_InputFunctions.Utility_DisplayFunctionName($I$20)</f>
        <v>=Fertiliser_Equations_OrganicN2O.VEERG_5_2_1_1__2_MassOfNitrogenInOrganicFertiliser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407</v>
      </c>
      <c r="E10" s="1" t="str" cm="1">
        <f t="array" ref="E10">Fertiliser_Equations_OrganicN2O.VEERG_5_2_1_1__2_MassOfNitrogenInOrganicFertiliser_Variable()</f>
        <v>MNSoil_jf</v>
      </c>
    </row>
    <row r="11" spans="1:21" ht="20.100000000000001" customHeight="1" x14ac:dyDescent="0.2">
      <c r="A11" s="5" t="str">
        <f>HYPERLINK("#'Input - Crop'!A1", "Crop")</f>
        <v>Crop</v>
      </c>
      <c r="D11" s="77" t="s">
        <v>118</v>
      </c>
      <c r="E11" s="9" t="str" cm="1">
        <f t="array" ref="E11">Fertiliser_Equations_OrganicN2O.VEERG_5_2_1_1__2_MassOfNitrogenInOrganicFertiliser_Unit()</f>
        <v>kg N</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45" t="str" cm="1">
        <f t="array" ref="D13:E15">_xlfn.CHOOSECOLS(Fertiliser_Equations_OrganicN2O.VEERG_5_2_1_1__2_MassOfNitrogenInOrganicFertiliser_Arguments(), 1, 2)</f>
        <v>M_organicjf</v>
      </c>
      <c r="E13" s="146" t="str">
        <v>mass of organic fertiliser type f applied to production system j</v>
      </c>
      <c r="F13" s="151"/>
      <c r="G13" s="156" t="str" cm="1">
        <f t="array" ref="G13:H15">_xlfn.CHOOSECOLS(Fertiliser_Equations_OrganicN2O.VEERG_5_2_1_1__2_MassOfNitrogenInOrganicFertiliser_Arguments(), 3,4)</f>
        <v>kg</v>
      </c>
      <c r="H13" s="147" t="str">
        <v>Input</v>
      </c>
      <c r="I13" s="149" t="str" cm="1">
        <f t="array" aca="1" ref="I13" ca="1">HYPERLINK(Common_InputFunctions.Utility_SourceHyperlink($D$17), $D$17)</f>
        <v>Table_MNSoil_j_f</v>
      </c>
    </row>
    <row r="14" spans="1:21" ht="20.100000000000001" customHeight="1" x14ac:dyDescent="0.2">
      <c r="A14" s="5" t="str">
        <f>HYPERLINK("#'Input - Fuel'!A1", "Fuel")</f>
        <v>Fuel</v>
      </c>
      <c r="D14" s="145" t="str">
        <v>FN_organicf</v>
      </c>
      <c r="E14" s="146" t="str">
        <v>nitrogen fraction of organic fertiliser type f</v>
      </c>
      <c r="F14" s="151"/>
      <c r="G14" s="156" t="str">
        <v>kg N/kg</v>
      </c>
      <c r="H14" s="147" t="str">
        <v>Input</v>
      </c>
      <c r="I14" s="149" t="str" cm="1">
        <f t="array" aca="1" ref="I14" ca="1">HYPERLINK(Common_InputFunctions.Utility_SourceHyperlink($D$17), $D$17)</f>
        <v>Table_MNSoil_j_f</v>
      </c>
    </row>
    <row r="15" spans="1:21" ht="20.100000000000001" customHeight="1" x14ac:dyDescent="0.2">
      <c r="A15" s="5" t="str">
        <f>HYPERLINK("#'Input - Electricity'!A1", "Electricity")</f>
        <v>Electricity</v>
      </c>
      <c r="D15" s="145" t="str">
        <v>f</v>
      </c>
      <c r="E15" s="146" t="str">
        <v>Organic fertiliser type</v>
      </c>
      <c r="F15" s="151"/>
      <c r="G15" s="156" t="str">
        <v/>
      </c>
      <c r="H15" s="147" t="str">
        <v>Input</v>
      </c>
      <c r="I15" s="149" t="str" cm="1">
        <f t="array" aca="1" ref="I15" ca="1">HYPERLINK(Common_InputFunctions.Utility_SourceHyperlink($D$17), $D$17)</f>
        <v>Table_MNSoil_j_f</v>
      </c>
    </row>
    <row r="16" spans="1:21" ht="20.100000000000001" customHeight="1" x14ac:dyDescent="0.2">
      <c r="A16" s="5" t="str">
        <f>HYPERLINK("#'Input - Common farm inputs'!A1", "Common farm inputs")</f>
        <v>Common farm inputs</v>
      </c>
    </row>
    <row r="17" spans="1:10" ht="20.100000000000001" customHeight="1" x14ac:dyDescent="0.2">
      <c r="A17" s="5" t="str">
        <f>HYPERLINK("#'Input - Crop pasture farm input'!A1", "Crop pasture farm input")</f>
        <v>Crop pasture farm input</v>
      </c>
      <c r="D17" s="141" t="s">
        <v>449</v>
      </c>
    </row>
    <row r="18" spans="1:10" ht="20.100000000000001" customHeight="1" x14ac:dyDescent="0.2">
      <c r="A18" s="5" t="str">
        <f>HYPERLINK("#'Input - Freight'!A1", "Freight")</f>
        <v>Freight</v>
      </c>
      <c r="D18" s="142" t="s">
        <v>450</v>
      </c>
    </row>
    <row r="19" spans="1:10" ht="20.100000000000001" customHeight="1" x14ac:dyDescent="0.2">
      <c r="A19" s="5" t="str">
        <f>HYPERLINK("#'Input - Solid waste'!A1", "Solid waste")</f>
        <v>Solid waste</v>
      </c>
      <c r="D19" s="80" t="s">
        <v>451</v>
      </c>
      <c r="E19" s="80" t="s">
        <v>452</v>
      </c>
      <c r="F19" s="80" t="s">
        <v>341</v>
      </c>
      <c r="G19" s="158" t="s">
        <v>453</v>
      </c>
      <c r="H19" s="80" t="s">
        <v>454</v>
      </c>
      <c r="I19" s="158" t="s">
        <v>455</v>
      </c>
    </row>
    <row r="20" spans="1:10" ht="20.100000000000001" customHeight="1" x14ac:dyDescent="0.2">
      <c r="A20" s="5" t="str">
        <f>HYPERLINK("#'Input - Data quality'!A1", "Data quality")</f>
        <v>Data quality</v>
      </c>
      <c r="D20" s="15" t="str" cm="1">
        <f t="array" ref="D20:D22">Table_Input_OrganicFertiliser[Organic fertiliser type (select)]</f>
        <v>Manure - Other</v>
      </c>
      <c r="E20" s="159" cm="1">
        <f t="array" ref="E20:E22">Table_Input_OrganicFertiliser[Amount applied (kg/hectare)]</f>
        <v>10</v>
      </c>
      <c r="F20" s="159" cm="1">
        <f t="array" ref="F20:F22">Table_Input_OrganicFertiliser[Application area (ha)]</f>
        <v>1000</v>
      </c>
      <c r="G20" s="15" cm="1">
        <f t="array" ref="G20:G22">Table_Input_OrganicFertiliser[Amount applied (kg/hectare)]*Table_Input_OrganicFertiliser[Application area (ha)]</f>
        <v>10000</v>
      </c>
      <c r="H20" s="160" cm="1">
        <f t="array" ref="H20:H22">Table_Input_OrganicFertiliser[Percentage of N in fertiliser]</f>
        <v>0.3</v>
      </c>
      <c r="I20" s="15" cm="1">
        <f t="array" ref="I20">Fertiliser_Equations_OrganicN2O.VEERG_5_2_1_1__2_MassOfNitrogenInOrganicFertiliser(G20,H20)</f>
        <v>3000</v>
      </c>
    </row>
    <row r="21" spans="1:10" ht="20.100000000000001" customHeight="1" x14ac:dyDescent="0.2">
      <c r="D21" s="15" t="str">
        <v>Manure - Poultry</v>
      </c>
      <c r="E21" s="15">
        <v>10</v>
      </c>
      <c r="F21" s="15">
        <v>1000</v>
      </c>
      <c r="G21" s="15">
        <v>10000</v>
      </c>
      <c r="H21" s="15">
        <v>0.25</v>
      </c>
      <c r="I21" s="15" cm="1">
        <f t="array" ref="I21">Fertiliser_Equations_Organic.VEERG_5_2_1_1__2_MassOfNitrogenInOrganicFertiliser(G21,H21)</f>
        <v>2500</v>
      </c>
    </row>
    <row r="22" spans="1:10" ht="20.100000000000001" customHeight="1" x14ac:dyDescent="0.2">
      <c r="D22" s="15" t="str">
        <v>Other organic fertiliser</v>
      </c>
      <c r="E22" s="15">
        <v>10</v>
      </c>
      <c r="F22" s="15">
        <v>1000</v>
      </c>
      <c r="G22" s="15">
        <v>10000</v>
      </c>
      <c r="H22" s="15">
        <v>0.16</v>
      </c>
      <c r="I22" s="15" cm="1">
        <f t="array" ref="I22">Fertiliser_Equations_Organic.VEERG_5_2_1_1__2_MassOfNitrogenInOrganicFertiliser(G22,H22)</f>
        <v>1600</v>
      </c>
    </row>
    <row r="23" spans="1:10" ht="20.100000000000001" customHeight="1" x14ac:dyDescent="0.2">
      <c r="A23" s="6" t="s">
        <v>2</v>
      </c>
      <c r="D23" s="15"/>
      <c r="E23" s="15"/>
      <c r="F23" s="15"/>
      <c r="G23" s="15"/>
      <c r="H23" s="15"/>
      <c r="I23" s="15" cm="1">
        <f t="array" ref="I23">Fertiliser_Equations_Organic.VEERG_5_2_1_1__2_MassOfNitrogenInOrganicFertiliser(G23,H23)</f>
        <v>0</v>
      </c>
    </row>
    <row r="24" spans="1:10" ht="20.100000000000001" customHeight="1" x14ac:dyDescent="0.2">
      <c r="A24" s="5" t="str">
        <f>HYPERLINK("#'5.1.1.1-2 Inorganic fert N2O'!A1", "5.1.1.1-2 Inorganic fert N2O")</f>
        <v>5.1.1.1-2 Inorganic fert N2O</v>
      </c>
      <c r="D24" s="15"/>
      <c r="E24" s="15"/>
      <c r="F24" s="15"/>
      <c r="G24" s="15"/>
      <c r="H24" s="15"/>
      <c r="I24" s="15" cm="1">
        <f t="array" ref="I24">Fertiliser_Equations_Organic.VEERG_5_2_1_1__2_MassOfNitrogenInOrganicFertiliser(G24,H24)</f>
        <v>0</v>
      </c>
    </row>
    <row r="25" spans="1:10" ht="20.100000000000001" customHeight="1" x14ac:dyDescent="0.2">
      <c r="A25" s="5" t="str">
        <f>HYPERLINK("#'5.1.1.3-4 Inorganic fert CO2'!A1", "5.1.1.3-4 Inorganic fert CO2")</f>
        <v>5.1.1.3-4 Inorganic fert CO2</v>
      </c>
      <c r="D25" s="15"/>
      <c r="E25" s="15"/>
      <c r="F25" s="15"/>
      <c r="G25" s="15"/>
      <c r="H25" s="15"/>
      <c r="I25" s="15" cm="1">
        <f t="array" ref="I25">Fertiliser_Equations_Organic.VEERG_5_2_1_1__2_MassOfNitrogenInOrganicFertiliser(G25,H25)</f>
        <v>0</v>
      </c>
    </row>
    <row r="26" spans="1:10" ht="20.100000000000001" customHeight="1" x14ac:dyDescent="0.2">
      <c r="A26" s="150" t="str">
        <f>HYPERLINK("#'5.2.1.1-2 Organic Fert N2O'!A1", "5.2.1.1-2 Organic fert N2O")</f>
        <v>5.2.1.1-2 Organic fert N2O</v>
      </c>
      <c r="D26" s="15"/>
      <c r="E26" s="15"/>
      <c r="F26" s="15"/>
      <c r="G26" s="15"/>
      <c r="H26" s="15"/>
      <c r="I26" s="15" cm="1">
        <f t="array" ref="I26">Fertiliser_Equations_Organic.VEERG_5_2_1_1__2_MassOfNitrogenInOrganicFertiliser(G26,H26)</f>
        <v>0</v>
      </c>
    </row>
    <row r="27" spans="1:10" ht="20.100000000000001" customHeight="1" x14ac:dyDescent="0.2">
      <c r="A27" s="5" t="str">
        <f>HYPERLINK("#'5.3.1.1-2 Lime CO2'!A1", "5.3.1.1-2 Lime CO2")</f>
        <v>5.3.1.1-2 Lime CO2</v>
      </c>
      <c r="D27" s="15"/>
      <c r="E27" s="15"/>
      <c r="F27" s="15"/>
      <c r="G27" s="15"/>
      <c r="H27" s="15"/>
      <c r="I27" s="15" cm="1">
        <f t="array" ref="I27">Fertiliser_Equations_Organic.VEERG_5_2_1_1__2_MassOfNitrogenInOrganicFertiliser(G27,H27)</f>
        <v>0</v>
      </c>
    </row>
    <row r="28" spans="1:10" ht="20.100000000000001" customHeight="1" x14ac:dyDescent="0.2">
      <c r="A28" s="5" t="str">
        <f>HYPERLINK("#'5.4.1.1-4 Atmos deposition'!A1", "5.4.1.1-4 Atmos. deposition")</f>
        <v>5.4.1.1-4 Atmos. deposition</v>
      </c>
      <c r="D28" s="15"/>
      <c r="E28" s="15"/>
      <c r="F28" s="15"/>
      <c r="G28" s="15"/>
      <c r="H28" s="15"/>
      <c r="I28" s="15" cm="1">
        <f t="array" ref="I28">Fertiliser_Equations_Organic.VEERG_5_2_1_1__2_MassOfNitrogenInOrganicFertiliser(G28,H28)</f>
        <v>0</v>
      </c>
    </row>
    <row r="29" spans="1:10" ht="20.100000000000001" customHeight="1" x14ac:dyDescent="0.2">
      <c r="A29" s="5" t="str">
        <f>HYPERLINK("#'5.5.1.1-2 Leaching and runoff'!A1", "5.5.1.1-2 Leaching &amp; runoff")</f>
        <v>5.5.1.1-2 Leaching &amp; runoff</v>
      </c>
      <c r="D29" s="15"/>
      <c r="E29" s="15"/>
      <c r="F29" s="15"/>
      <c r="G29" s="15"/>
      <c r="H29" s="15"/>
      <c r="I29" s="15" cm="1">
        <f t="array" ref="I29">Fertiliser_Equations_Organic.VEERG_5_2_1_1__2_MassOfNitrogenInOrganicFertiliser(G29,H29)</f>
        <v>0</v>
      </c>
    </row>
    <row r="30" spans="1:10" ht="20.100000000000001" customHeight="1" x14ac:dyDescent="0.2">
      <c r="A30" s="5" t="str">
        <f>HYPERLINK("#'6.1.1.1-2 Crop residue N2O'!A1", "6.1.1.1-2 Crop residue N2O")</f>
        <v>6.1.1.1-2 Crop residue N2O</v>
      </c>
      <c r="D30" s="15"/>
      <c r="E30" s="15"/>
      <c r="F30" s="15"/>
      <c r="G30" s="15"/>
      <c r="H30" s="15"/>
      <c r="I30" s="15" cm="1">
        <f t="array" ref="I30">Fertiliser_Equations_Organic.VEERG_5_2_1_1__2_MassOfNitrogenInOrganicFertiliser(G30,H30)</f>
        <v>0</v>
      </c>
    </row>
    <row r="31" spans="1:10" ht="20.100000000000001" customHeight="1" x14ac:dyDescent="0.2">
      <c r="A31" s="5" t="str">
        <f>HYPERLINK("#'6.3.1.1-2 Leach runoff crop'!A1", "6.3.1.1-2 Leach &amp; runoff (crop)")</f>
        <v>6.3.1.1-2 Leach &amp; runoff (crop)</v>
      </c>
      <c r="D31" s="161"/>
      <c r="E31" s="161"/>
      <c r="F31" s="161"/>
      <c r="G31" s="161"/>
      <c r="H31" s="161"/>
      <c r="I31" s="161"/>
      <c r="J31" s="161"/>
    </row>
    <row r="32" spans="1:10" ht="20.100000000000001" customHeight="1" x14ac:dyDescent="0.2">
      <c r="A32" s="5" t="str">
        <f>HYPERLINK("#'8.1.1.1-2 Transport fuel'!A1", "8.1.1.1-2 Transport fuel")</f>
        <v>8.1.1.1-2 Transport fuel</v>
      </c>
      <c r="D32" s="90" t="s">
        <v>456</v>
      </c>
      <c r="E32" s="90">
        <f>SUM(I20:I30)</f>
        <v>7100</v>
      </c>
      <c r="F32" s="162" t="str">
        <f>$E$11</f>
        <v>kg N</v>
      </c>
      <c r="G32" s="161"/>
      <c r="H32" s="161"/>
      <c r="I32" s="161"/>
      <c r="J32" s="161"/>
    </row>
    <row r="33" spans="1:12" ht="20.100000000000001" customHeight="1" x14ac:dyDescent="0.2">
      <c r="A33" s="5" t="str">
        <f>HYPERLINK("#'8.2.1.1-2 Stationary fuel'!A1", "8.2.1.1-2 Stationary fuel")</f>
        <v>8.2.1.1-2 Stationary fuel</v>
      </c>
    </row>
    <row r="34" spans="1:12" ht="20.100000000000001" customHeight="1" x14ac:dyDescent="0.2">
      <c r="A34" s="5" t="str">
        <f>HYPERLINK("#'10.1.1-2 Solid waste treatment'!A1", "10.1.1.1-2 Solid waste")</f>
        <v>10.1.1.1-2 Solid waste</v>
      </c>
    </row>
    <row r="35" spans="1:12" ht="20.100000000000001" customHeight="1" x14ac:dyDescent="0.2">
      <c r="A35" s="5" t="str">
        <f>HYPERLINK("#'14.1.1-2 Purchased electricity'!A1", "14.1.1-2 Purchased electricity")</f>
        <v>14.1.1-2 Purchased electricity</v>
      </c>
      <c r="C35" s="163"/>
      <c r="D35" s="163"/>
      <c r="E35" s="163"/>
      <c r="F35" s="163"/>
      <c r="G35" s="163"/>
      <c r="H35" s="163"/>
      <c r="I35" s="163"/>
      <c r="J35" s="163"/>
      <c r="K35" s="163"/>
      <c r="L35" s="163"/>
    </row>
    <row r="36" spans="1:12" ht="20.100000000000001" customHeight="1" x14ac:dyDescent="0.2">
      <c r="A36" s="5" t="str">
        <f>HYPERLINK("#'15 Scope 3'!A1", "15 Scope 3")</f>
        <v>15 Scope 3</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
      <c r="D37" s="17" t="str" cm="1">
        <f t="array" ref="D37">Fertiliser_Equations_OrganicN2O.VEERG_5_2_1_1__1_OrganicFertiliserApplicationN2OEmissions_Source()</f>
        <v>VEERG 2026: 5.2.1.1, Equation (1)</v>
      </c>
    </row>
    <row r="38" spans="1:12" ht="20.100000000000001" customHeight="1" x14ac:dyDescent="0.2">
      <c r="D38" s="140" t="s">
        <v>402</v>
      </c>
      <c r="E38" s="140" t="str" cm="1">
        <f t="array" aca="1" ref="E38" ca="1">Common_InputFunctions.Utility_DisplayFunctionName($I$20)</f>
        <v>=Fertiliser_Equations_OrganicN2O.VEERG_5_2_1_1__2_MassOfNitrogenInOrganicFertiliser</v>
      </c>
    </row>
    <row r="39" spans="1:12" ht="20.100000000000001" customHeight="1" x14ac:dyDescent="0.2">
      <c r="A39" s="82" t="s">
        <v>1</v>
      </c>
    </row>
    <row r="40" spans="1:12" ht="20.100000000000001" customHeight="1" x14ac:dyDescent="0.2">
      <c r="A40" s="5" t="str">
        <f>HYPERLINK("#'Constants - Ag Residue'!A1", "Constants - Ag residue")</f>
        <v>Constants - Ag residue</v>
      </c>
    </row>
    <row r="41" spans="1:12" ht="20.100000000000001" customHeight="1" x14ac:dyDescent="0.2">
      <c r="A41" s="5" t="str">
        <f>HYPERLINK("#'Constants - Electricity'!A1", "Constants - Electricity")</f>
        <v>Constants - Electricity</v>
      </c>
      <c r="D41" s="77" t="s">
        <v>407</v>
      </c>
      <c r="E41" s="1" t="str" cm="1">
        <f t="array" ref="E41">Fertiliser_Equations_OrganicN2O.VEERG_5_2_1_1__1_OrganicFertiliserApplicationN2OEmissions_Variable()</f>
        <v>E_N2O</v>
      </c>
    </row>
    <row r="42" spans="1:12" ht="20.100000000000001" customHeight="1" x14ac:dyDescent="0.2">
      <c r="A42" s="5" t="str">
        <f>HYPERLINK("#'Constants - Fertiliser'!A1", "Constants - Fertiliser")</f>
        <v>Constants - Fertiliser</v>
      </c>
      <c r="D42" s="77" t="s">
        <v>118</v>
      </c>
      <c r="E42" s="9" t="str" cm="1">
        <f t="array" ref="E42">Fertiliser_Equations_OrganicN2O.VEERG_5_2_1_1__1_OrganicFertiliserApplicationN2OEmissions_Unit()</f>
        <v>t N2O</v>
      </c>
    </row>
    <row r="43" spans="1:12" ht="20.100000000000001" customHeight="1" x14ac:dyDescent="0.2">
      <c r="A43" s="5" t="str">
        <f>HYPERLINK("#'Constants - Fuel'!A1", "Constants - Fuel")</f>
        <v>Constants - Fuel</v>
      </c>
    </row>
    <row r="44" spans="1:12" ht="20.100000000000001" customHeight="1" x14ac:dyDescent="0.2">
      <c r="A44" s="5" t="str">
        <f>HYPERLINK("#'Constants - Scope 3'!A1", "Constants - Scope 3")</f>
        <v>Constants - Scope 3</v>
      </c>
      <c r="D44" s="156" t="str" cm="1">
        <f t="array" ref="D44:E48">_xlfn.CHOOSECOLS(Fertiliser_Equations_OrganicN2O.VEERG_5_2_1_1__1_OrganicFertiliserApplicationN2OEmissions_Arguments(), 1, 2)</f>
        <v>MNSoil_jf</v>
      </c>
      <c r="E44" s="153" t="str">
        <v>mass of nitrogen in organic fertiliser type f applied to production system j</v>
      </c>
      <c r="F44" s="164"/>
      <c r="G44" s="164"/>
      <c r="H44" s="165"/>
      <c r="I44" s="156" t="str" cm="1">
        <f t="array" ref="I44:J48">_xlfn.CHOOSECOLS(Fertiliser_Equations_OrganicN2O.VEERG_5_2_1_1__1_OrganicFertiliserApplicationN2OEmissions_Arguments(), 3,4)</f>
        <v>kg N</v>
      </c>
      <c r="J44" s="148" t="str">
        <v>Calculated from 5.2.1.1 (2)</v>
      </c>
      <c r="K44" s="156">
        <f>$E$32</f>
        <v>7100</v>
      </c>
    </row>
    <row r="45" spans="1:12" ht="20.100000000000001" customHeight="1" x14ac:dyDescent="0.2">
      <c r="A45" s="5" t="str">
        <f>HYPERLINK("#'Constants - Solid Waste'!A1", "Constants - Solid Waste")</f>
        <v>Constants - Solid Waste</v>
      </c>
      <c r="D45" s="156" t="str">
        <v>EF_N2Oi</v>
      </c>
      <c r="E45" s="153" t="str">
        <v>emission factor for direct nitrous oxide emissions from organic fertiliser applied to soils and aquatic systems in climate zone i</v>
      </c>
      <c r="F45" s="164"/>
      <c r="G45" s="164"/>
      <c r="H45" s="165"/>
      <c r="I45" s="156" t="str">
        <v>kg N2O-N/kg N</v>
      </c>
      <c r="J45" s="148" t="str">
        <v>Lookup</v>
      </c>
      <c r="K45" s="156">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5" t="str">
        <f>HYPERLINK("#'Constants - Common'!A1", "Constants - Common")</f>
        <v>Constants - Common</v>
      </c>
      <c r="D46" s="156" t="str">
        <v>C_N2O</v>
      </c>
      <c r="E46" s="153" t="str">
        <v>factor to convert elemental mass of nitrous oxide to molecular mass</v>
      </c>
      <c r="F46" s="164"/>
      <c r="G46" s="164"/>
      <c r="H46" s="165"/>
      <c r="I46" s="156" t="str">
        <v/>
      </c>
      <c r="J46" s="148" t="str">
        <v>Constant</v>
      </c>
      <c r="K46" s="145">
        <f>Common_InputFunctions.Utility_LookupValueInTableNumber("N2O",Table_GasToMolecularConversionFactor[Gas],Table_GasToMolecularConversionFactor[Conversion factor combined])</f>
        <v>1.5714285714285714</v>
      </c>
    </row>
    <row r="47" spans="1:12" ht="20.100000000000001" customHeight="1" x14ac:dyDescent="0.2">
      <c r="A47" s="5" t="str">
        <f>HYPERLINK("#'Constants - Common Livestock'!A1", "Constants - Common Livestock")</f>
        <v>Constants - Common Livestock</v>
      </c>
      <c r="D47" s="156" t="str">
        <v>j</v>
      </c>
      <c r="E47" s="153" t="str">
        <v>Production system</v>
      </c>
      <c r="F47" s="164"/>
      <c r="G47" s="164"/>
      <c r="H47" s="165"/>
      <c r="I47" s="156" t="str">
        <v/>
      </c>
      <c r="J47" s="147" t="str">
        <v>Input</v>
      </c>
      <c r="K47" s="156" t="str">
        <f>X_Cell_Fertiliser_ProductionSystem</f>
        <v>Crop</v>
      </c>
    </row>
    <row r="48" spans="1:12" ht="20.100000000000001" customHeight="1" x14ac:dyDescent="0.2">
      <c r="D48" s="156" t="str">
        <v>i</v>
      </c>
      <c r="E48" s="153" t="str">
        <v>Wet or dry climate zone</v>
      </c>
      <c r="F48" s="164"/>
      <c r="G48" s="164"/>
      <c r="H48" s="165"/>
      <c r="I48" s="156" t="str">
        <v/>
      </c>
      <c r="J48" s="147" t="str">
        <v>Input</v>
      </c>
      <c r="K48" s="156" t="str">
        <f>X_Cell_Site_WetOrDryClimateZone</f>
        <v>Dry climate zone</v>
      </c>
    </row>
    <row r="50" spans="4:7" ht="20.100000000000001" customHeight="1" x14ac:dyDescent="0.2">
      <c r="D50" s="87" t="s">
        <v>430</v>
      </c>
      <c r="E50" s="88" cm="1">
        <f t="array" ref="E50">Fertiliser_Equations_OrganicN2O.VEERG_5_2_1_1__1_OrganicFertiliserApplicationN2OEmissions(K44,K45,K46)</f>
        <v>5.5785714285714286E-2</v>
      </c>
      <c r="F50" s="97" t="str">
        <f>$E$42</f>
        <v>t N2O</v>
      </c>
    </row>
    <row r="52" spans="4:7" ht="20.100000000000001" customHeight="1" x14ac:dyDescent="0.2">
      <c r="D52" s="145" t="str" cm="1">
        <f t="array" ref="D52:E53">Common_Equations.Common_ConvertN2OToCO2e_Arguments()</f>
        <v>EN2O</v>
      </c>
      <c r="E52" s="146" t="str">
        <v>Nitrous oxide emissions (t N2O)</v>
      </c>
      <c r="F52" s="155"/>
      <c r="G52" s="15">
        <f>VEERG_5_2_1_1__2_MassOfNitrogenInOrganicFertiliser_Result_Method1</f>
        <v>5.5785714285714286E-2</v>
      </c>
    </row>
    <row r="53" spans="4:7" ht="20.100000000000001" customHeight="1" x14ac:dyDescent="0.2">
      <c r="D53" s="145" t="str">
        <v>GWPN2O</v>
      </c>
      <c r="E53" s="146" t="str">
        <v>Global warming potential for nitrous oxide (t CO2-e / t N2O)</v>
      </c>
      <c r="F53" s="155"/>
      <c r="G53" s="15">
        <f>Common_InputFunctions.Utility_LookupValueInTableNumber("N2O",Table_GWPData[Gas],Table_GWPData[CO2-e factor])</f>
        <v>265</v>
      </c>
    </row>
    <row r="55" spans="4:7" ht="20.100000000000001" customHeight="1" x14ac:dyDescent="0.2">
      <c r="D55" s="85" t="s">
        <v>431</v>
      </c>
      <c r="E55" s="85" cm="1">
        <f t="array" ref="E55">Common_Equations.Common_ConvertN2OToCO2e(G52,G53)</f>
        <v>14.783214285714285</v>
      </c>
      <c r="F55" s="91" t="str" cm="1">
        <f t="array" ref="F55">Common_Equations.Common_ConvertN2OToCO2e_Unit()</f>
        <v>t CO2e</v>
      </c>
    </row>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4E7D-214D-4136-9CB4-8217995EA951}">
  <sheetPr>
    <tabColor rgb="FF008000"/>
  </sheetPr>
  <dimension ref="A1:U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457</v>
      </c>
    </row>
    <row r="2" spans="1:21" s="3" customFormat="1" ht="20.100000000000001" customHeight="1" x14ac:dyDescent="0.2">
      <c r="A2"/>
    </row>
    <row r="3" spans="1:21" ht="20.100000000000001" customHeight="1" x14ac:dyDescent="0.2">
      <c r="A3" s="5" t="str">
        <f>HYPERLINK("#'Home'!A1", "Home")</f>
        <v>Home</v>
      </c>
      <c r="C3" s="23"/>
      <c r="D3" s="23" t="s">
        <v>128</v>
      </c>
      <c r="E3" s="23"/>
      <c r="F3" s="23"/>
      <c r="G3" s="23"/>
      <c r="H3" s="23"/>
      <c r="I3" s="23"/>
      <c r="J3" s="23"/>
      <c r="K3" s="23"/>
      <c r="L3" s="23"/>
      <c r="N3" s="23"/>
      <c r="O3" s="23" t="s">
        <v>129</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tr" cm="1">
        <f t="array" ref="D5">Fertiliser_Equations_Lime.VEERG_5_3_1_1__1_LimeApplicationCO2Emissions_Title()</f>
        <v>Emissions from the application of lime and dolomite to production systems</v>
      </c>
    </row>
    <row r="6" spans="1:21" ht="20.100000000000001" customHeight="1" x14ac:dyDescent="0.2">
      <c r="D6" s="17" t="str" cm="1">
        <f t="array" ref="D6">Fertiliser_Equations_Lime.VEERG_5_3_1_1__1_LimeApplicationCO2Emissions_Source()</f>
        <v>VEERG 2026: 5.3.1.1, Equation (1)</v>
      </c>
    </row>
    <row r="7" spans="1:21" ht="20.100000000000001" customHeight="1" x14ac:dyDescent="0.2">
      <c r="D7" s="140" t="s">
        <v>402</v>
      </c>
      <c r="E7" s="140" t="str" cm="1">
        <f t="array" aca="1" ref="E7" ca="1">Common_InputFunctions.Utility_DisplayFunctionName(H25)</f>
        <v>=Fertiliser_Equations_Lime.VEERG_5_3_1_1__1_LimeApplicationCO2Emissions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407</v>
      </c>
      <c r="E10" s="1" t="str" cm="1">
        <f t="array" ref="E10">Fertiliser_Equations_Lime.VEERG_5_3_1_1__1_LimeApplicationCO2Emissions_Variable()</f>
        <v>E_lime</v>
      </c>
    </row>
    <row r="11" spans="1:21" ht="20.100000000000001" customHeight="1" x14ac:dyDescent="0.2">
      <c r="A11" s="5" t="str">
        <f>HYPERLINK("#'Input - Crop'!A1", "Crop")</f>
        <v>Crop</v>
      </c>
      <c r="D11" s="77" t="s">
        <v>118</v>
      </c>
      <c r="E11" s="9" t="str" cm="1">
        <f t="array" ref="E11">Fertiliser_Equations_Lime.VEERG_5_3_1_1__1_LimeApplicationCO2Emissions_Unit()</f>
        <v>t CO2</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56" t="str" cm="1">
        <f t="array" ref="D13:E20">_xlfn.CHOOSECOLS(Fertiliser_Equations_Lime.VEERG_5_3_1_1__1_LimeApplicationCO2Emissions_Arguments(), 1, 2)</f>
        <v>M_lime</v>
      </c>
      <c r="E13" s="153" t="str">
        <v>total mass of lime applied to production system</v>
      </c>
      <c r="F13" s="165"/>
      <c r="G13" s="156" t="str" cm="1">
        <f t="array" ref="G13:H20">_xlfn.CHOOSECOLS(Fertiliser_Equations_Lime.VEERG_5_3_1_1__1_LimeApplicationCO2Emissions_Arguments(), 3,4)</f>
        <v>kg</v>
      </c>
      <c r="H13" s="147" t="str">
        <v>Input</v>
      </c>
      <c r="I13" s="149" t="str" cm="1">
        <f t="array" aca="1" ref="I13" ca="1">HYPERLINK(Common_InputFunctions.Utility_SourceHyperlink($D$22), $D$22)</f>
        <v>Table_E_lime</v>
      </c>
    </row>
    <row r="14" spans="1:21" ht="20.100000000000001" customHeight="1" x14ac:dyDescent="0.2">
      <c r="A14" s="5" t="str">
        <f>HYPERLINK("#'Input - Fuel'!A1", "Fuel")</f>
        <v>Fuel</v>
      </c>
      <c r="D14" s="156" t="str">
        <v>FracLime</v>
      </c>
      <c r="E14" s="153" t="str">
        <v>fraction of lime as limestone (CaCO3)</v>
      </c>
      <c r="F14" s="165"/>
      <c r="G14" s="156" t="str">
        <v>fraction</v>
      </c>
      <c r="H14" s="147" t="str">
        <v>Input</v>
      </c>
      <c r="I14" s="149" t="str" cm="1">
        <f t="array" aca="1" ref="I14" ca="1">HYPERLINK(Common_InputFunctions.Utility_SourceHyperlink($D$22), $D$22)</f>
        <v>Table_E_lime</v>
      </c>
    </row>
    <row r="15" spans="1:21" ht="20.100000000000001" customHeight="1" x14ac:dyDescent="0.2">
      <c r="A15" s="5" t="str">
        <f>HYPERLINK("#'Input - Electricity'!A1", "Electricity")</f>
        <v>Electricity</v>
      </c>
      <c r="D15" s="156" t="str">
        <v>P_lime</v>
      </c>
      <c r="E15" s="153" t="str">
        <v>fractional purity of limestone</v>
      </c>
      <c r="F15" s="165"/>
      <c r="G15" s="156" t="str">
        <v>fraction</v>
      </c>
      <c r="H15" s="148" t="str">
        <v>Constant</v>
      </c>
      <c r="I15" s="156">
        <f>'Constants - Fertiliser'!$E$66</f>
        <v>0.9</v>
      </c>
    </row>
    <row r="16" spans="1:21" ht="20.100000000000001" customHeight="1" x14ac:dyDescent="0.2">
      <c r="A16" s="5" t="str">
        <f>HYPERLINK("#'Input - Common farm inputs'!A1", "Common farm inputs")</f>
        <v>Common farm inputs</v>
      </c>
      <c r="D16" s="156" t="str">
        <v>EF_lime</v>
      </c>
      <c r="E16" s="153" t="str">
        <v>emission factor for limestone fraction of lime</v>
      </c>
      <c r="F16" s="165"/>
      <c r="G16" s="156" t="str">
        <v>kg C/kg</v>
      </c>
      <c r="H16" s="148" t="str">
        <v>Constant</v>
      </c>
      <c r="I16" s="156">
        <f>'Constants - Fertiliser'!$F$66</f>
        <v>0.12</v>
      </c>
    </row>
    <row r="17" spans="1:9" ht="20.100000000000001" customHeight="1" x14ac:dyDescent="0.2">
      <c r="A17" s="5" t="str">
        <f>HYPERLINK("#'Input - Crop pasture farm input'!A1", "Crop pasture farm input")</f>
        <v>Crop pasture farm input</v>
      </c>
      <c r="D17" s="156" t="str">
        <v>FracDol</v>
      </c>
      <c r="E17" s="153" t="str">
        <v>fraction of lime as dolomite</v>
      </c>
      <c r="F17" s="165"/>
      <c r="G17" s="156" t="str">
        <v>fraction</v>
      </c>
      <c r="H17" s="147" t="str">
        <v>Input</v>
      </c>
      <c r="I17" s="149" t="str" cm="1">
        <f t="array" aca="1" ref="I17" ca="1">HYPERLINK(Common_InputFunctions.Utility_SourceHyperlink($D$22), $D$22)</f>
        <v>Table_E_lime</v>
      </c>
    </row>
    <row r="18" spans="1:9" ht="20.100000000000001" customHeight="1" x14ac:dyDescent="0.2">
      <c r="A18" s="5" t="str">
        <f>HYPERLINK("#'Input - Freight'!A1", "Freight")</f>
        <v>Freight</v>
      </c>
      <c r="D18" s="156" t="str">
        <v>P_dol</v>
      </c>
      <c r="E18" s="153" t="str">
        <v>fractional purity of dolomite</v>
      </c>
      <c r="F18" s="165"/>
      <c r="G18" s="156" t="str">
        <v>fraction</v>
      </c>
      <c r="H18" s="148" t="str">
        <v>Constant</v>
      </c>
      <c r="I18" s="156">
        <f>'Constants - Fertiliser'!$E$67</f>
        <v>0.95</v>
      </c>
    </row>
    <row r="19" spans="1:9" ht="20.100000000000001" customHeight="1" x14ac:dyDescent="0.2">
      <c r="A19" s="5" t="str">
        <f>HYPERLINK("#'Input - Solid waste'!A1", "Solid waste")</f>
        <v>Solid waste</v>
      </c>
      <c r="D19" s="156" t="str">
        <v>EF_dol</v>
      </c>
      <c r="E19" s="153" t="str">
        <v>emission factor for dolomite fraction of lime</v>
      </c>
      <c r="F19" s="165"/>
      <c r="G19" s="156" t="str">
        <v>kg C/kg</v>
      </c>
      <c r="H19" s="148" t="str">
        <v>Constant</v>
      </c>
      <c r="I19" s="156">
        <f>'Constants - Fertiliser'!$F$67</f>
        <v>0.13</v>
      </c>
    </row>
    <row r="20" spans="1:9" ht="20.100000000000001" customHeight="1" x14ac:dyDescent="0.2">
      <c r="A20" s="5" t="str">
        <f>HYPERLINK("#'Input - Data quality'!A1", "Data quality")</f>
        <v>Data quality</v>
      </c>
      <c r="D20" s="156" t="str">
        <v>C_CO2</v>
      </c>
      <c r="E20" s="153" t="str">
        <v>factor to convert elemental mass of carbon dioxide to molecular mass</v>
      </c>
      <c r="F20" s="165"/>
      <c r="G20" s="156" t="str">
        <v/>
      </c>
      <c r="H20" s="148" t="str">
        <v>Constant</v>
      </c>
      <c r="I20" s="145">
        <f>Common_InputFunctions.Utility_LookupValueInTableNumber("CO2",Table_GasToMolecularConversionFactor[Gas], Table_GasToMolecularConversionFactor[Conversion factor combined])</f>
        <v>3.6666666666666665</v>
      </c>
    </row>
    <row r="22" spans="1:9" ht="20.100000000000001" customHeight="1" x14ac:dyDescent="0.2">
      <c r="D22" s="141" t="s">
        <v>458</v>
      </c>
    </row>
    <row r="23" spans="1:9" ht="20.100000000000001" customHeight="1" x14ac:dyDescent="0.2">
      <c r="A23" s="6" t="s">
        <v>2</v>
      </c>
      <c r="D23" s="142" t="s">
        <v>378</v>
      </c>
    </row>
    <row r="24" spans="1:9" ht="20.100000000000001" customHeight="1" x14ac:dyDescent="0.2">
      <c r="A24" s="5" t="str">
        <f>HYPERLINK("#'5.1.1.1-2 Inorganic fert N2O'!A1", "5.1.1.1-2 Inorganic fert N2O")</f>
        <v>5.1.1.1-2 Inorganic fert N2O</v>
      </c>
      <c r="D24" s="80" t="s">
        <v>459</v>
      </c>
      <c r="E24" s="80" t="s">
        <v>460</v>
      </c>
      <c r="F24" s="80" t="s">
        <v>461</v>
      </c>
      <c r="G24" s="80" t="s">
        <v>462</v>
      </c>
      <c r="H24" s="144" t="s">
        <v>463</v>
      </c>
    </row>
    <row r="25" spans="1:9" ht="20.100000000000001" customHeight="1" x14ac:dyDescent="0.2">
      <c r="A25" s="5" t="str">
        <f>HYPERLINK("#'5.1.1.3-4 Inorganic fert CO2'!A1", "5.1.1.3-4 Inorganic fert CO2")</f>
        <v>5.1.1.3-4 Inorganic fert CO2</v>
      </c>
      <c r="D25" s="15" t="str" cm="1">
        <f t="array" ref="D25:D27">Table_Input_Lime[Product]</f>
        <v>Lime product 1</v>
      </c>
      <c r="E25" s="166" cm="1">
        <f t="array" ref="E25:E27">Table_Input_Lime[Total amount applied (t)]*10^3</f>
        <v>1000000</v>
      </c>
      <c r="F25" s="102" cm="1">
        <f t="array" ref="F25:F27">Table_Input_Lime[Percent Lime CaCO3]</f>
        <v>0.8</v>
      </c>
      <c r="G25" s="102" cm="1">
        <f t="array" ref="G25:G27">Table_Input_Lime[Percent Dolomite CaMg(CO3)2]</f>
        <v>0.1</v>
      </c>
      <c r="H25" s="15" cm="1">
        <f t="array" ref="H25">Fertiliser_Equations_Lime.VEERG_5_3_1_1__1_LimeApplicationCO2Emissions(E25,F25,$I$15,$I$16,G25,$I$18,$I$19,$I$20)</f>
        <v>362.08333333333331</v>
      </c>
    </row>
    <row r="26" spans="1:9" ht="20.100000000000001" customHeight="1" x14ac:dyDescent="0.2">
      <c r="A26" s="5" t="str">
        <f>HYPERLINK("#'5.2.1.1-2 Organic Fert N2O'!A1", "5.2.1.1-2 Organic fert N2O")</f>
        <v>5.2.1.1-2 Organic fert N2O</v>
      </c>
      <c r="D26" s="15" t="str">
        <v>Lime product 2</v>
      </c>
      <c r="E26" s="15">
        <v>1000000</v>
      </c>
      <c r="F26" s="15">
        <v>1</v>
      </c>
      <c r="G26" s="15">
        <v>0</v>
      </c>
      <c r="H26" s="15" cm="1">
        <f t="array" ref="H26">Fertiliser_Equations_Lime.VEERG_5_3_1_1__1_LimeApplicationCO2Emissions(E26,F26,$I$15,$I$16,G26,$I$18,$I$19,$I$20)</f>
        <v>396</v>
      </c>
    </row>
    <row r="27" spans="1:9" ht="20.100000000000001" customHeight="1" x14ac:dyDescent="0.2">
      <c r="A27" s="150" t="str">
        <f>HYPERLINK("#'5.3.1.1-2 Lime CO2'!A1", "5.3.1.1-2 Lime CO2")</f>
        <v>5.3.1.1-2 Lime CO2</v>
      </c>
      <c r="D27" s="15" t="str">
        <v>Lime product 3</v>
      </c>
      <c r="E27" s="15">
        <v>1000000</v>
      </c>
      <c r="F27" s="15">
        <v>0</v>
      </c>
      <c r="G27" s="15">
        <v>0</v>
      </c>
      <c r="H27" s="15" cm="1">
        <f t="array" ref="H27">Fertiliser_Equations_Lime.VEERG_5_3_1_1__1_LimeApplicationCO2Emissions(E27,F27,$I$15,$I$16,G27,$I$18,$I$19,$I$20)</f>
        <v>0</v>
      </c>
    </row>
    <row r="28" spans="1:9" ht="20.100000000000001" customHeight="1" x14ac:dyDescent="0.2">
      <c r="A28" s="5" t="str">
        <f>HYPERLINK("#'5.4.1.1-4 Atmos deposition'!A1", "5.4.1.1-4 Atmos. deposition")</f>
        <v>5.4.1.1-4 Atmos. deposition</v>
      </c>
      <c r="D28" s="15"/>
      <c r="E28" s="15"/>
      <c r="F28" s="15"/>
      <c r="G28" s="15"/>
      <c r="H28" s="15" cm="1">
        <f t="array" ref="H28">Fertiliser_Equations_Lime.VEERG_5_3_1_1__1_LimeApplicationCO2Emissions(E28,F28,$I$15,$I$16,G28,$I$18,$I$19,$I$20)</f>
        <v>0</v>
      </c>
    </row>
    <row r="29" spans="1:9" ht="20.100000000000001" customHeight="1" x14ac:dyDescent="0.2">
      <c r="A29" s="5" t="str">
        <f>HYPERLINK("#'5.5.1.1-2 Leaching and runoff'!A1", "5.5.1.1-2 Leaching &amp; runoff")</f>
        <v>5.5.1.1-2 Leaching &amp; runoff</v>
      </c>
      <c r="D29" s="15"/>
      <c r="E29" s="15"/>
      <c r="F29" s="15"/>
      <c r="G29" s="15"/>
      <c r="H29" s="15" cm="1">
        <f t="array" ref="H29">Fertiliser_Equations_Lime.VEERG_5_3_1_1__1_LimeApplicationCO2Emissions(E29,F29,$I$15,$I$16,G29,$I$18,$I$19,$I$20)</f>
        <v>0</v>
      </c>
    </row>
    <row r="30" spans="1:9" ht="20.100000000000001" customHeight="1" x14ac:dyDescent="0.2">
      <c r="A30" s="5" t="str">
        <f>HYPERLINK("#'6.1.1.1-2 Crop residue N2O'!A1", "6.1.1.1-2 Crop residue N2O")</f>
        <v>6.1.1.1-2 Crop residue N2O</v>
      </c>
    </row>
    <row r="31" spans="1:9" ht="20.100000000000001" customHeight="1" x14ac:dyDescent="0.2">
      <c r="A31" s="5" t="str">
        <f>HYPERLINK("#'6.3.1.1-2 Leach runoff crop'!A1", "6.3.1.1-2 Leach &amp; runoff (crop)")</f>
        <v>6.3.1.1-2 Leach &amp; runoff (crop)</v>
      </c>
      <c r="D31" s="87" t="s">
        <v>464</v>
      </c>
      <c r="E31" s="88">
        <f>SUM(H25:H29)</f>
        <v>758.08333333333326</v>
      </c>
      <c r="F31" s="167" t="s">
        <v>125</v>
      </c>
    </row>
    <row r="32" spans="1:9"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5"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E8046-EF46-4347-8951-157A2F98A0F2}">
  <sheetPr>
    <tabColor rgb="FF008000"/>
  </sheetPr>
  <dimension ref="A1:U151"/>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465</v>
      </c>
    </row>
    <row r="2" spans="1:21" s="3" customFormat="1" ht="20.100000000000001" customHeight="1" x14ac:dyDescent="0.2">
      <c r="A2"/>
    </row>
    <row r="3" spans="1:21" ht="20.100000000000001" customHeight="1" x14ac:dyDescent="0.2">
      <c r="A3" s="5" t="str">
        <f>HYPERLINK("#'Home'!A1", "Home")</f>
        <v>Home</v>
      </c>
      <c r="C3" s="23"/>
      <c r="D3" s="23" t="s">
        <v>128</v>
      </c>
      <c r="E3" s="23"/>
      <c r="F3" s="23"/>
      <c r="G3" s="23"/>
      <c r="H3" s="23"/>
      <c r="I3" s="23"/>
      <c r="J3" s="23"/>
      <c r="K3" s="23"/>
      <c r="L3" s="23"/>
      <c r="N3" s="23"/>
      <c r="O3" s="23" t="s">
        <v>129</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
      <c r="D6" s="17" t="str" cm="1">
        <f t="array" ref="D6">Fertiliser_Equations_AtmosphericDeposition.VEERG_5_4_1_1__2_MassOfNitrogenVolatilisedFromInorganicFertiliser_Source()</f>
        <v>VEERG 2026: 5.4.1.1, Equation (2)</v>
      </c>
    </row>
    <row r="7" spans="1:21" ht="20.100000000000001" customHeight="1" x14ac:dyDescent="0.2">
      <c r="D7" s="140" t="s">
        <v>402</v>
      </c>
      <c r="E7" s="140" t="str" cm="1">
        <f t="array" aca="1" ref="E7" ca="1">Common_InputFunctions.Utility_DisplayFunctionName(H19)</f>
        <v>=Fertiliser_Equations_AtmosphericDeposition.VEERG_5_4_1_1__2_MassOfNitrogenVolatilisedFromInorganicFertiliser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407</v>
      </c>
      <c r="E10" s="1" t="str" cm="1">
        <f t="array" ref="E10">Fertiliser_Equations_AtmosphericDeposition.VEERG_5_4_1_1__2_MassOfNitrogenVolatilisedFromInorganicFertiliser_Variable()</f>
        <v>M_volinorganicjf</v>
      </c>
    </row>
    <row r="11" spans="1:21" ht="20.100000000000001" customHeight="1" x14ac:dyDescent="0.2">
      <c r="A11" s="5" t="str">
        <f>HYPERLINK("#'Input - Crop'!A1", "Crop")</f>
        <v>Crop</v>
      </c>
      <c r="D11" s="77" t="s">
        <v>118</v>
      </c>
      <c r="E11" s="9" t="str" cm="1">
        <f t="array" ref="E11">Fertiliser_Equations_AtmosphericDeposition.VEERG_5_4_1_1__2_MassOfNitrogenVolatilisedFromInorganicFertiliser_Unit()</f>
        <v>kg N</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56" t="str" cm="1">
        <f t="array" ref="D13:E14">_xlfn.CHOOSECOLS(Fertiliser_Equations_AtmosphericDeposition.VEERG_5_4_1_1__2_MassOfNitrogenVolatilisedFromInorganicFertiliser_Arguments(), 1, 2)</f>
        <v>MN_jf</v>
      </c>
      <c r="E13" s="153" t="str">
        <v>mass of nitrogen in inorganic fertiliser applied</v>
      </c>
      <c r="F13" s="165"/>
      <c r="G13" s="156" t="str" cm="1">
        <f t="array" ref="G13:H14">_xlfn.CHOOSECOLS(Fertiliser_Equations_AtmosphericDeposition.VEERG_5_4_1_1__2_MassOfNitrogenVolatilisedFromInorganicFertiliser_Arguments(), 3,4)</f>
        <v>kg N</v>
      </c>
      <c r="H13" s="148" t="str">
        <v>Calculated from 5.1.1.1 (2)</v>
      </c>
      <c r="I13" s="149" t="str" cm="1">
        <f t="array" aca="1" ref="I13" ca="1">HYPERLINK(Common_InputFunctions.Utility_SourceHyperlink($D$16),$D$16)</f>
        <v>Table_M_vol_inorganic_j_f</v>
      </c>
    </row>
    <row r="14" spans="1:21" ht="20.100000000000001" customHeight="1" x14ac:dyDescent="0.2">
      <c r="A14" s="5" t="str">
        <f>HYPERLINK("#'Input - Fuel'!A1", "Fuel")</f>
        <v>Fuel</v>
      </c>
      <c r="D14" s="156" t="str">
        <v>FracGASF_f</v>
      </c>
      <c r="E14" s="153" t="str">
        <v>fraction of inorganic fertiliser that volatilises</v>
      </c>
      <c r="F14" s="165"/>
      <c r="G14" s="156" t="str">
        <v>(kg NH3-N + NOx-N)/kg N</v>
      </c>
      <c r="H14" s="148" t="str">
        <v>Constant</v>
      </c>
      <c r="I14" s="149" t="str" cm="1">
        <f t="array" aca="1" ref="I14" ca="1">HYPERLINK(Common_InputFunctions.Utility_SourceHyperlink($D$16),$D$16)</f>
        <v>Table_M_vol_inorganic_j_f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41" t="s">
        <v>466</v>
      </c>
    </row>
    <row r="17" spans="1:8" ht="20.100000000000001" customHeight="1" x14ac:dyDescent="0.2">
      <c r="A17" s="5" t="str">
        <f>HYPERLINK("#'Input - Crop pasture farm input'!A1", "Crop pasture farm input")</f>
        <v>Crop pasture farm input</v>
      </c>
      <c r="D17" s="142" t="s">
        <v>467</v>
      </c>
    </row>
    <row r="18" spans="1:8" ht="20.100000000000001" customHeight="1" x14ac:dyDescent="0.2">
      <c r="A18" s="5" t="str">
        <f>HYPERLINK("#'Input - Freight'!A1", "Freight")</f>
        <v>Freight</v>
      </c>
      <c r="D18" s="144" t="s">
        <v>468</v>
      </c>
      <c r="E18" s="144" t="s">
        <v>469</v>
      </c>
      <c r="F18" s="144" t="s">
        <v>470</v>
      </c>
      <c r="G18" s="168" t="s">
        <v>471</v>
      </c>
      <c r="H18" s="168" t="s">
        <v>472</v>
      </c>
    </row>
    <row r="19" spans="1:8" ht="20.100000000000001" customHeight="1" x14ac:dyDescent="0.2">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
      <c r="A20" s="5" t="str">
        <f>HYPERLINK("#'Input - Data quality'!A1", "Data quality")</f>
        <v>Data quality</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17399.999100000001</v>
      </c>
    </row>
    <row r="22" spans="1:8" ht="20.100000000000001" customHeight="1" x14ac:dyDescent="0.2">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
      <c r="A23" s="6" t="s">
        <v>2</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
      <c r="A24" s="5" t="str">
        <f>HYPERLINK("#'5.1.1.1-2 Inorganic fert N2O'!A1", "5.1.1.1-2 Inorganic fert N2O")</f>
        <v>5.1.1.1-2 Inorganic fert N2O</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
      <c r="A25" s="5" t="str">
        <f>HYPERLINK("#'5.1.1.3-4 Inorganic fert CO2'!A1", "5.1.1.3-4 Inorganic fert CO2")</f>
        <v>5.1.1.3-4 Inorganic fert CO2</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
      <c r="A26" s="5" t="str">
        <f>HYPERLINK("#'5.2.1.1-2 Organic Fert N2O'!A1", "5.2.1.1-2 Organic fert N2O")</f>
        <v>5.2.1.1-2 Organic fert N2O</v>
      </c>
      <c r="D26" s="15" t="str">
        <v>Nitrogen - Ammoniacal</v>
      </c>
      <c r="E26" s="15">
        <f>INDEX(Table_MN_j_f,9,4)</f>
        <v>12400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992</v>
      </c>
    </row>
    <row r="27" spans="1:8" ht="20.100000000000001" customHeight="1" x14ac:dyDescent="0.2">
      <c r="A27" s="5" t="str">
        <f>HYPERLINK("#'5.3.1.1-2 Lime CO2'!A1", "5.3.1.1-2 Lime CO2")</f>
        <v>5.3.1.1-2 Lime CO2</v>
      </c>
      <c r="D27" s="15" t="str">
        <v>Nitrogen - Nitrate</v>
      </c>
      <c r="E27" s="15">
        <f>INDEX(Table_MN_j_f,10,4)</f>
        <v>5500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55</v>
      </c>
    </row>
    <row r="28" spans="1:8" ht="20.100000000000001" customHeight="1" x14ac:dyDescent="0.2">
      <c r="A28" s="150" t="str">
        <f>HYPERLINK("#'5.4.1.1-4 Atmos deposition'!A1", "5.4.1.1-4 Atmos. deposition")</f>
        <v>5.4.1.1-4 Atmos. deposition</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
      <c r="A29" s="5" t="str">
        <f>HYPERLINK("#'5.5.1.1-2 Leaching and runoff'!A1", "5.5.1.1-2 Leaching &amp; runoff")</f>
        <v>5.5.1.1-2 Leaching &amp; runoff</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
      <c r="A30" s="5" t="str">
        <f>HYPERLINK("#'6.1.1.1-2 Crop residue N2O'!A1", "6.1.1.1-2 Crop residue N2O")</f>
        <v>6.1.1.1-2 Crop residue N2O</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
      <c r="A31" s="5" t="str">
        <f>HYPERLINK("#'6.3.1.1-2 Leach runoff crop'!A1", "6.3.1.1-2 Leach &amp; runoff (crop)")</f>
        <v>6.3.1.1-2 Leach &amp; runoff (crop)</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
      <c r="A32" s="5" t="str">
        <f>HYPERLINK("#'8.1.1.1-2 Transport fuel'!A1", "8.1.1.1-2 Transport fuel")</f>
        <v>8.1.1.1-2 Transport fuel</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
      <c r="A33" s="5" t="str">
        <f>HYPERLINK("#'8.2.1.1-2 Stationary fuel'!A1", "8.2.1.1-2 Stationary fuel")</f>
        <v>8.2.1.1-2 Stationary fuel</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
      <c r="A34" s="5" t="str">
        <f>HYPERLINK("#'10.1.1-2 Solid waste treatment'!A1", "10.1.1.1-2 Solid waste")</f>
        <v>10.1.1.1-2 Solid waste</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
      <c r="A35" s="5" t="str">
        <f>HYPERLINK("#'14.1.1-2 Purchased electricity'!A1", "14.1.1-2 Purchased electricity")</f>
        <v>14.1.1-2 Purchased electricity</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
      <c r="A36" s="5" t="str">
        <f>HYPERLINK("#'15 Scope 3'!A1", "15 Scope 3")</f>
        <v>15 Scope 3</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3294</v>
      </c>
    </row>
    <row r="37" spans="1:12" ht="20.100000000000001" customHeight="1" x14ac:dyDescent="0.2">
      <c r="D37" s="15" t="str">
        <v>Calcium nitrate</v>
      </c>
      <c r="E37" s="15">
        <f>INDEX(Table_MN_j_f,20,4)</f>
        <v>7750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77.5</v>
      </c>
    </row>
    <row r="39" spans="1:12" ht="20.100000000000001" customHeight="1" x14ac:dyDescent="0.2">
      <c r="A39" s="82" t="s">
        <v>1</v>
      </c>
    </row>
    <row r="40" spans="1:12" ht="20.100000000000001" customHeight="1" x14ac:dyDescent="0.2">
      <c r="A40" s="5" t="str">
        <f>HYPERLINK("#'Constants - Ag Residue'!A1", "Constants - Ag residue")</f>
        <v>Constants - Ag residue</v>
      </c>
      <c r="C40" s="163"/>
      <c r="D40" s="163"/>
      <c r="E40" s="163"/>
      <c r="F40" s="163"/>
      <c r="G40" s="163"/>
      <c r="H40" s="163"/>
      <c r="I40" s="163"/>
      <c r="J40" s="163"/>
      <c r="K40" s="163"/>
      <c r="L40" s="163"/>
    </row>
    <row r="41" spans="1:12" ht="20.100000000000001" customHeight="1" x14ac:dyDescent="0.2">
      <c r="A41" s="5" t="str">
        <f>HYPERLINK("#'Constants - Electricity'!A1", "Constants - Electricity")</f>
        <v>Constants - Electricity</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
      <c r="A42" s="5" t="str">
        <f>HYPERLINK("#'Constants - Fertiliser'!A1", "Constants - Fertiliser")</f>
        <v>Constants - Fertiliser</v>
      </c>
      <c r="D42" s="17" t="str" cm="1">
        <f t="array" ref="D42">Fertiliser_Equations_AtmosphericDeposition.VEERG_5_4_1_1__1_InorganicFertiliserAtmosphericDepositionN2OEmissions_Source()</f>
        <v>VEERG 2026: 5.4.1.1, Equation (1)</v>
      </c>
    </row>
    <row r="43" spans="1:12" ht="20.100000000000001" customHeight="1" x14ac:dyDescent="0.2">
      <c r="A43" s="5" t="str">
        <f>HYPERLINK("#'Constants - Fuel'!A1", "Constants - Fuel")</f>
        <v>Constants - Fuel</v>
      </c>
      <c r="D43" s="140" t="s">
        <v>402</v>
      </c>
      <c r="E43" s="140" t="str" cm="1">
        <f t="array" aca="1" ref="E43" ca="1">Common_InputFunctions.Utility_DisplayFunctionName(F59)</f>
        <v>=Fertiliser_Equations_AtmosphericDeposition.VEERG_5_4_1_1__1_InorganicFertiliserAtmosphericDepositionN2OEmissions</v>
      </c>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row>
    <row r="46" spans="1:12" ht="20.100000000000001" customHeight="1" x14ac:dyDescent="0.2">
      <c r="A46" s="5" t="str">
        <f>HYPERLINK("#'Constants - Common'!A1", "Constants - Common")</f>
        <v>Constants - Common</v>
      </c>
      <c r="D46" s="77" t="s">
        <v>407</v>
      </c>
      <c r="E46" s="1" t="str" cm="1">
        <f t="array" ref="E46">Fertiliser_Equations_AtmosphericDeposition.VEERG_5_4_1_1__1_InorganicFertiliserAtmosphericDepositionN2OEmissions_Variable()</f>
        <v>E_adinorganic</v>
      </c>
    </row>
    <row r="47" spans="1:12" ht="20.100000000000001" customHeight="1" x14ac:dyDescent="0.2">
      <c r="A47" s="5" t="str">
        <f>HYPERLINK("#'Constants - Common Livestock'!A1", "Constants - Common Livestock")</f>
        <v>Constants - Common Livestock</v>
      </c>
      <c r="D47" s="77" t="s">
        <v>118</v>
      </c>
      <c r="E47" s="9" t="str" cm="1">
        <f t="array" ref="E47">Fertiliser_Equations_AtmosphericDeposition.VEERG_5_4_1_1__1_InorganicFertiliserAtmosphericDepositionN2OEmissions_Unit()</f>
        <v>t N2O</v>
      </c>
    </row>
    <row r="49" spans="1:10" ht="20.100000000000001" customHeight="1" x14ac:dyDescent="0.2">
      <c r="D49" s="156" t="str" cm="1">
        <f t="array" ref="D49:E54">_xlfn.CHOOSECOLS(Fertiliser_Equations_AtmosphericDeposition.VEERG_5_4_1_1__1_InorganicFertiliserAtmosphericDepositionN2OEmissions_Arguments(), 1, 2)</f>
        <v>M_volinorganicjf</v>
      </c>
      <c r="E49" s="153" t="str">
        <v>mass of nitrogen volatilised from inorganic fertiliser applied to production system</v>
      </c>
      <c r="F49" s="164"/>
      <c r="G49" s="165"/>
      <c r="H49" s="156" t="str" cm="1">
        <f t="array" ref="H49:I54">_xlfn.CHOOSECOLS(Fertiliser_Equations_AtmosphericDeposition.VEERG_5_4_1_1__1_InorganicFertiliserAtmosphericDepositionN2OEmissions_Arguments(), 3,4)</f>
        <v>kg N</v>
      </c>
      <c r="I49" s="148" t="str">
        <v>Calculated from 5.4.1.1 (2)</v>
      </c>
      <c r="J49" s="149" t="str" cm="1">
        <f t="array" aca="1" ref="J49" ca="1">HYPERLINK(Common_InputFunctions.Utility_SourceHyperlink($D$16),$D$16)</f>
        <v>Table_M_vol_inorganic_j_f</v>
      </c>
    </row>
    <row r="50" spans="1:10" ht="20.100000000000001" customHeight="1" x14ac:dyDescent="0.2">
      <c r="D50" s="156" t="str">
        <v>EF_N2Oj</v>
      </c>
      <c r="E50" s="153" t="str">
        <v>emission factor for atmospheric deposition</v>
      </c>
      <c r="F50" s="164"/>
      <c r="G50" s="165"/>
      <c r="H50" s="156" t="str">
        <v>kg N2O-N/kg N</v>
      </c>
      <c r="I50" s="148" t="str">
        <v>Constant</v>
      </c>
      <c r="J50" s="156">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
      <c r="D51" s="156" t="str">
        <v>C_N2O</v>
      </c>
      <c r="E51" s="153" t="str">
        <v>factor to convert elemental mass of nitrous oxide to molecular mass</v>
      </c>
      <c r="F51" s="164"/>
      <c r="G51" s="165"/>
      <c r="H51" s="156" t="str">
        <v/>
      </c>
      <c r="I51" s="148" t="str">
        <v>Constant</v>
      </c>
      <c r="J51" s="145">
        <f>Common_InputFunctions.Utility_LookupValueInTableNumber("N2O",Table_GasToMolecularConversionFactor[Gas],Table_GasToMolecularConversionFactor[Conversion factor combined])</f>
        <v>1.5714285714285714</v>
      </c>
    </row>
    <row r="52" spans="1:10" ht="20.100000000000001" customHeight="1" x14ac:dyDescent="0.2">
      <c r="D52" s="156" t="str">
        <v>j</v>
      </c>
      <c r="E52" s="153" t="str">
        <v>Production system</v>
      </c>
      <c r="F52" s="164"/>
      <c r="G52" s="165"/>
      <c r="H52" s="156" t="str">
        <v/>
      </c>
      <c r="I52" s="147" t="str">
        <v>Input</v>
      </c>
      <c r="J52" s="156" t="str">
        <f>X_Cell_Fertiliser_ProductionSystem</f>
        <v>Crop</v>
      </c>
    </row>
    <row r="53" spans="1:10" ht="20.100000000000001" customHeight="1" x14ac:dyDescent="0.2">
      <c r="D53" s="156" t="str">
        <v>ir</v>
      </c>
      <c r="E53" s="153" t="str">
        <v>irrigation method</v>
      </c>
      <c r="F53" s="164"/>
      <c r="G53" s="165"/>
      <c r="H53" s="156" t="str">
        <v/>
      </c>
      <c r="I53" s="147" t="str">
        <v>Input</v>
      </c>
      <c r="J53" s="156" t="str">
        <f>X_Cell_Fertiliser_IrrigationMethod</f>
        <v>Sprinkler irrigation</v>
      </c>
    </row>
    <row r="54" spans="1:10" ht="20.100000000000001" customHeight="1" x14ac:dyDescent="0.2">
      <c r="D54" s="156" t="str">
        <v>r</v>
      </c>
      <c r="E54" s="153" t="str">
        <v>rainfall region</v>
      </c>
      <c r="F54" s="164"/>
      <c r="G54" s="165"/>
      <c r="H54" s="156" t="str">
        <v/>
      </c>
      <c r="I54" s="147" t="str">
        <v>Input</v>
      </c>
      <c r="J54" s="156" t="str">
        <f>X_Cell_Site_RainfallZone</f>
        <v>High rainfall</v>
      </c>
    </row>
    <row r="56" spans="1:10" ht="20.100000000000001" customHeight="1" x14ac:dyDescent="0.2">
      <c r="D56" s="141" t="s">
        <v>473</v>
      </c>
    </row>
    <row r="57" spans="1:10" ht="20.100000000000001" customHeight="1" x14ac:dyDescent="0.2">
      <c r="D57" s="142" t="s">
        <v>474</v>
      </c>
    </row>
    <row r="58" spans="1:10" ht="20.100000000000001" customHeight="1" x14ac:dyDescent="0.2">
      <c r="A58" s="81" t="str">
        <f>HYPERLINK("#A1", "▲ Back to top")</f>
        <v>▲ Back to top</v>
      </c>
      <c r="D58" s="144" t="s">
        <v>468</v>
      </c>
      <c r="E58" s="168" t="s">
        <v>472</v>
      </c>
      <c r="F58" s="168" t="s">
        <v>475</v>
      </c>
    </row>
    <row r="59" spans="1:10" ht="20.100000000000001" customHeight="1" x14ac:dyDescent="0.2">
      <c r="D59" s="15" t="str" cm="1">
        <f t="array" ref="D59:D77">Table_Fertiliser_ChemicalCompounds[Fertiliser type f]</f>
        <v>Monoammonium phosphate (MAP)</v>
      </c>
      <c r="E59" s="15">
        <f t="shared" ref="E59:E77" si="0">H19</f>
        <v>0</v>
      </c>
      <c r="F59" s="15" cm="1">
        <f t="array" ref="F59">Fertiliser_Equations_AtmosphericDeposition.VEERG_5_4_1_1__1_InorganicFertiliserAtmosphericDepositionN2OEmissions(E59,$J$50,$J$51)</f>
        <v>0</v>
      </c>
      <c r="G59" s="16" t="str">
        <f>E47</f>
        <v>t N2O</v>
      </c>
    </row>
    <row r="60" spans="1:10" ht="20.100000000000001" customHeight="1" x14ac:dyDescent="0.2">
      <c r="D60" s="15" t="str">
        <v>Diammonium phosphate (DAP)</v>
      </c>
      <c r="E60" s="15">
        <f t="shared" si="0"/>
        <v>0</v>
      </c>
      <c r="F60" s="15" cm="1">
        <f t="array" ref="F60">Fertiliser_Equations_AtmosphericDeposition.VEERG_5_4_1_1__1_InorganicFertiliserAtmosphericDepositionN2OEmissions(E60,$J$50,$J$51)</f>
        <v>0</v>
      </c>
    </row>
    <row r="61" spans="1:10" ht="20.100000000000001" customHeight="1" x14ac:dyDescent="0.2">
      <c r="D61" s="15" t="str">
        <v>Urea</v>
      </c>
      <c r="E61" s="15">
        <f t="shared" si="0"/>
        <v>17399.999100000001</v>
      </c>
      <c r="F61" s="15" cm="1">
        <f t="array" ref="F61">Fertiliser_Equations_AtmosphericDeposition.VEERG_5_4_1_1__1_InorganicFertiliserAtmosphericDepositionN2OEmissions(E61,$J$50,$J$51)</f>
        <v>0.19139999010000003</v>
      </c>
    </row>
    <row r="62" spans="1:10" ht="20.100000000000001" customHeight="1" x14ac:dyDescent="0.2">
      <c r="D62" s="15" t="str">
        <v>Sulphate of ammonia (SOA)</v>
      </c>
      <c r="E62" s="15">
        <f t="shared" si="0"/>
        <v>0</v>
      </c>
      <c r="F62" s="15" cm="1">
        <f t="array" ref="F62">Fertiliser_Equations_AtmosphericDeposition.VEERG_5_4_1_1__1_InorganicFertiliserAtmosphericDepositionN2OEmissions(E62,$J$50,$J$51)</f>
        <v>0</v>
      </c>
    </row>
    <row r="63" spans="1:10" ht="20.100000000000001" customHeight="1" x14ac:dyDescent="0.2">
      <c r="D63" s="15" t="str">
        <v>Urea-ammonium nitrate (UAN)</v>
      </c>
      <c r="E63" s="15">
        <f t="shared" si="0"/>
        <v>0</v>
      </c>
      <c r="F63" s="15" cm="1">
        <f t="array" ref="F63">Fertiliser_Equations_AtmosphericDeposition.VEERG_5_4_1_1__1_InorganicFertiliserAtmosphericDepositionN2OEmissions(E63,$J$50,$J$51)</f>
        <v>0</v>
      </c>
    </row>
    <row r="64" spans="1:10" ht="20.100000000000001" customHeight="1" x14ac:dyDescent="0.2">
      <c r="D64" s="15" t="str">
        <v>Ammonium nitrate (AN)</v>
      </c>
      <c r="E64" s="15">
        <f t="shared" si="0"/>
        <v>0</v>
      </c>
      <c r="F64" s="15" cm="1">
        <f t="array" ref="F64">Fertiliser_Equations_AtmosphericDeposition.VEERG_5_4_1_1__1_InorganicFertiliserAtmosphericDepositionN2OEmissions(E64,$J$50,$J$51)</f>
        <v>0</v>
      </c>
    </row>
    <row r="65" spans="4:6" ht="20.100000000000001" customHeight="1" x14ac:dyDescent="0.2">
      <c r="D65" s="15" t="str">
        <v>Calcium ammonium nitrate (CAN)</v>
      </c>
      <c r="E65" s="15">
        <f t="shared" si="0"/>
        <v>0</v>
      </c>
      <c r="F65" s="15" cm="1">
        <f t="array" ref="F65">Fertiliser_Equations_AtmosphericDeposition.VEERG_5_4_1_1__1_InorganicFertiliserAtmosphericDepositionN2OEmissions(E65,$J$50,$J$51)</f>
        <v>0</v>
      </c>
    </row>
    <row r="66" spans="4:6" ht="20.100000000000001" customHeight="1" x14ac:dyDescent="0.2">
      <c r="D66" s="15" t="str">
        <v>Nitrogen - Ammoniacal</v>
      </c>
      <c r="E66" s="15">
        <f t="shared" si="0"/>
        <v>992</v>
      </c>
      <c r="F66" s="15" cm="1">
        <f t="array" ref="F66">Fertiliser_Equations_AtmosphericDeposition.VEERG_5_4_1_1__1_InorganicFertiliserAtmosphericDepositionN2OEmissions(E66,$J$50,$J$51)</f>
        <v>1.0912E-2</v>
      </c>
    </row>
    <row r="67" spans="4:6" ht="20.100000000000001" customHeight="1" x14ac:dyDescent="0.2">
      <c r="D67" s="15" t="str">
        <v>Nitrogen - Nitrate</v>
      </c>
      <c r="E67" s="15">
        <f t="shared" si="0"/>
        <v>55</v>
      </c>
      <c r="F67" s="15" cm="1">
        <f t="array" ref="F67">Fertiliser_Equations_AtmosphericDeposition.VEERG_5_4_1_1__1_InorganicFertiliserAtmosphericDepositionN2OEmissions(E67,$J$50,$J$51)</f>
        <v>6.0499999999999996E-4</v>
      </c>
    </row>
    <row r="68" spans="4:6" ht="20.100000000000001" customHeight="1" x14ac:dyDescent="0.2">
      <c r="D68" s="15" t="str">
        <v>Nitrogen - Generic</v>
      </c>
      <c r="E68" s="15">
        <f t="shared" si="0"/>
        <v>0</v>
      </c>
      <c r="F68" s="15" cm="1">
        <f t="array" ref="F68">Fertiliser_Equations_AtmosphericDeposition.VEERG_5_4_1_1__1_InorganicFertiliserAtmosphericDepositionN2OEmissions(E68,$J$50,$J$51)</f>
        <v>0</v>
      </c>
    </row>
    <row r="69" spans="4:6" ht="20.100000000000001" customHeight="1" x14ac:dyDescent="0.2">
      <c r="D69" s="15" t="str">
        <v>Phosphorus - Generic</v>
      </c>
      <c r="E69" s="15">
        <f t="shared" si="0"/>
        <v>0</v>
      </c>
      <c r="F69" s="15" cm="1">
        <f t="array" ref="F69">Fertiliser_Equations_AtmosphericDeposition.VEERG_5_4_1_1__1_InorganicFertiliserAtmosphericDepositionN2OEmissions(E69,$J$50,$J$51)</f>
        <v>0</v>
      </c>
    </row>
    <row r="70" spans="4:6" ht="20.100000000000001" customHeight="1" x14ac:dyDescent="0.2">
      <c r="D70" s="15" t="str">
        <v>Potassium - Generic</v>
      </c>
      <c r="E70" s="15">
        <f t="shared" si="0"/>
        <v>0</v>
      </c>
      <c r="F70" s="15" cm="1">
        <f t="array" ref="F70">Fertiliser_Equations_AtmosphericDeposition.VEERG_5_4_1_1__1_InorganicFertiliserAtmosphericDepositionN2OEmissions(E70,$J$50,$J$51)</f>
        <v>0</v>
      </c>
    </row>
    <row r="71" spans="4:6" ht="20.100000000000001" customHeight="1" x14ac:dyDescent="0.2">
      <c r="D71" s="15" t="str">
        <v>Sulfur - Generic</v>
      </c>
      <c r="E71" s="15">
        <f t="shared" si="0"/>
        <v>0</v>
      </c>
      <c r="F71" s="15" cm="1">
        <f t="array" ref="F71">Fertiliser_Equations_AtmosphericDeposition.VEERG_5_4_1_1__1_InorganicFertiliserAtmosphericDepositionN2OEmissions(E71,$J$50,$J$51)</f>
        <v>0</v>
      </c>
    </row>
    <row r="72" spans="4:6" ht="20.100000000000001" customHeight="1" x14ac:dyDescent="0.2">
      <c r="D72" s="15" t="str">
        <v>Zinc - Generic</v>
      </c>
      <c r="E72" s="15">
        <f t="shared" si="0"/>
        <v>0</v>
      </c>
      <c r="F72" s="15" cm="1">
        <f t="array" ref="F72">Fertiliser_Equations_AtmosphericDeposition.VEERG_5_4_1_1__1_InorganicFertiliserAtmosphericDepositionN2OEmissions(E72,$J$50,$J$51)</f>
        <v>0</v>
      </c>
    </row>
    <row r="73" spans="4:6" ht="20.100000000000001" customHeight="1" x14ac:dyDescent="0.2">
      <c r="D73" s="15" t="str">
        <v>Muriate of potash (MOP)</v>
      </c>
      <c r="E73" s="15">
        <f t="shared" si="0"/>
        <v>0</v>
      </c>
      <c r="F73" s="15" cm="1">
        <f t="array" ref="F73">Fertiliser_Equations_AtmosphericDeposition.VEERG_5_4_1_1__1_InorganicFertiliserAtmosphericDepositionN2OEmissions(E73,$J$50,$J$51)</f>
        <v>0</v>
      </c>
    </row>
    <row r="74" spans="4:6" ht="20.100000000000001" customHeight="1" x14ac:dyDescent="0.2">
      <c r="D74" s="15" t="str">
        <v>Double superphosphate</v>
      </c>
      <c r="E74" s="15">
        <f t="shared" si="0"/>
        <v>0</v>
      </c>
      <c r="F74" s="15" cm="1">
        <f t="array" ref="F74">Fertiliser_Equations_AtmosphericDeposition.VEERG_5_4_1_1__1_InorganicFertiliserAtmosphericDepositionN2OEmissions(E74,$J$50,$J$51)</f>
        <v>0</v>
      </c>
    </row>
    <row r="75" spans="4:6" ht="20.100000000000001" customHeight="1" x14ac:dyDescent="0.2">
      <c r="D75" s="15" t="str">
        <v>Single superphosphate (SSP)</v>
      </c>
      <c r="E75" s="15">
        <f t="shared" si="0"/>
        <v>0</v>
      </c>
      <c r="F75" s="15" cm="1">
        <f t="array" ref="F75">Fertiliser_Equations_AtmosphericDeposition.VEERG_5_4_1_1__1_InorganicFertiliserAtmosphericDepositionN2OEmissions(E75,$J$50,$J$51)</f>
        <v>0</v>
      </c>
    </row>
    <row r="76" spans="4:6" ht="20.100000000000001" customHeight="1" x14ac:dyDescent="0.2">
      <c r="D76" s="15" t="str">
        <v>Ammonia</v>
      </c>
      <c r="E76" s="15">
        <f t="shared" si="0"/>
        <v>3294</v>
      </c>
      <c r="F76" s="15" cm="1">
        <f t="array" ref="F76">Fertiliser_Equations_AtmosphericDeposition.VEERG_5_4_1_1__1_InorganicFertiliserAtmosphericDepositionN2OEmissions(E76,$J$50,$J$51)</f>
        <v>3.6234000000000002E-2</v>
      </c>
    </row>
    <row r="77" spans="4:6" ht="20.100000000000001" customHeight="1" x14ac:dyDescent="0.2">
      <c r="D77" s="15" t="str">
        <v>Calcium nitrate</v>
      </c>
      <c r="E77" s="15">
        <f t="shared" si="0"/>
        <v>77.5</v>
      </c>
      <c r="F77" s="15" cm="1">
        <f t="array" ref="F77">Fertiliser_Equations_AtmosphericDeposition.VEERG_5_4_1_1__1_InorganicFertiliserAtmosphericDepositionN2OEmissions(E77,$J$50,$J$51)</f>
        <v>8.5249999999999996E-4</v>
      </c>
    </row>
    <row r="79" spans="4:6" ht="20.100000000000001" customHeight="1" x14ac:dyDescent="0.2">
      <c r="D79" s="87" t="s">
        <v>476</v>
      </c>
      <c r="E79" s="88">
        <f>SUM(F59:F77)</f>
        <v>0.24000349010000002</v>
      </c>
      <c r="F79" s="97" t="str">
        <f>$E$47</f>
        <v>t N2O</v>
      </c>
    </row>
    <row r="81" spans="1:12" ht="20.100000000000001" customHeight="1" x14ac:dyDescent="0.2">
      <c r="D81" s="145" t="str" cm="1">
        <f t="array" ref="D81:E82">Common_Equations.Common_ConvertN2OToCO2e_Arguments()</f>
        <v>EN2O</v>
      </c>
      <c r="E81" s="146" t="str">
        <v>Nitrous oxide emissions (t N2O)</v>
      </c>
      <c r="F81" s="155"/>
      <c r="G81" s="15">
        <f>VEERG_5_4_1_1__1_InorganicFertiliserAtmosphericDepositionN2OEmissions_Result_Method1</f>
        <v>0.24000349010000002</v>
      </c>
    </row>
    <row r="82" spans="1:12" ht="20.100000000000001" customHeight="1" x14ac:dyDescent="0.2">
      <c r="D82" s="145" t="str">
        <v>GWPN2O</v>
      </c>
      <c r="E82" s="146" t="str">
        <v>Global warming potential for nitrous oxide (t CO2-e / t N2O)</v>
      </c>
      <c r="F82" s="155"/>
      <c r="G82" s="15">
        <f>Common_InputFunctions.Utility_LookupValueInTableNumber("N2O",Table_GWPData[Gas],Table_GWPData[CO2-e factor])</f>
        <v>265</v>
      </c>
    </row>
    <row r="84" spans="1:12" ht="20.100000000000001" customHeight="1" x14ac:dyDescent="0.2">
      <c r="D84" s="85" t="s">
        <v>431</v>
      </c>
      <c r="E84" s="85" cm="1">
        <f t="array" ref="E84">Common_Equations.Common_ConvertN2OToCO2e(G81,G82)</f>
        <v>63.600924876500002</v>
      </c>
      <c r="F84" s="91" t="str" cm="1">
        <f t="array" ref="F84">Common_Equations.Common_ConvertN2OToCO2e_Unit()</f>
        <v>t CO2e</v>
      </c>
    </row>
    <row r="87" spans="1:12" ht="20.100000000000001" customHeight="1" x14ac:dyDescent="0.2">
      <c r="C87" s="163"/>
      <c r="D87" s="163"/>
      <c r="E87" s="163"/>
      <c r="F87" s="163"/>
      <c r="G87" s="163"/>
      <c r="H87" s="163"/>
      <c r="I87" s="163"/>
      <c r="J87" s="163"/>
      <c r="K87" s="163"/>
      <c r="L87" s="163"/>
    </row>
    <row r="88" spans="1:12" ht="20.100000000000001" customHeight="1" x14ac:dyDescent="0.2">
      <c r="A88" s="81" t="str">
        <f>HYPERLINK("#A1", "▲ Back to top")</f>
        <v>▲ Back to top</v>
      </c>
      <c r="D88" s="2" t="str" cm="1">
        <f t="array" ref="D88">Fertiliser_Equations_AtmosphericDeposition.VEERG_5_4_1_3__2_MassOfNitrogenVolatilisedFromOrganicFertiliser_Title()</f>
        <v>Mass of nitrogen volatilised from organic fertiliser applied to production system</v>
      </c>
    </row>
    <row r="89" spans="1:12" ht="20.100000000000001" customHeight="1" x14ac:dyDescent="0.2">
      <c r="D89" s="17" t="str" cm="1">
        <f t="array" ref="D89">Fertiliser_Equations_AtmosphericDeposition.VEERG_5_4_1_3__2_MassOfNitrogenVolatilisedFromOrganicFertiliser_Source()</f>
        <v>VEERG 2026: 5.4.1.3, Equation (2)</v>
      </c>
    </row>
    <row r="90" spans="1:12" ht="20.100000000000001" customHeight="1" x14ac:dyDescent="0.2">
      <c r="D90" s="140" t="s">
        <v>402</v>
      </c>
      <c r="E90" s="140" t="str" cm="1">
        <f t="array" aca="1" ref="E90" ca="1">Common_InputFunctions.Utility_DisplayFunctionName(F102)</f>
        <v>=Fertiliser_Equations_AtmosphericDeposition.VEERG_5_4_1_3__2_MassOfNitrogenVolatilisedFromOrganicFertiliser</v>
      </c>
    </row>
    <row r="93" spans="1:12" ht="20.100000000000001" customHeight="1" x14ac:dyDescent="0.2">
      <c r="D93" s="77" t="s">
        <v>407</v>
      </c>
      <c r="E93" s="1" t="str" cm="1">
        <f t="array" ref="E93">Fertiliser_Equations_AtmosphericDeposition.VEERG_5_4_1_3__2_MassOfNitrogenVolatilisedFromOrganicFertiliser_Variable()</f>
        <v>M_volorganicjf</v>
      </c>
    </row>
    <row r="94" spans="1:12" ht="20.100000000000001" customHeight="1" x14ac:dyDescent="0.2">
      <c r="D94" s="77" t="s">
        <v>118</v>
      </c>
      <c r="E94" s="9" t="str" cm="1">
        <f t="array" ref="E94">Fertiliser_Equations_AtmosphericDeposition.VEERG_5_4_1_3__2_MassOfNitrogenVolatilisedFromOrganicFertiliser_Unit()</f>
        <v>kg N</v>
      </c>
    </row>
    <row r="96" spans="1:12" ht="20.100000000000001" customHeight="1" x14ac:dyDescent="0.2">
      <c r="D96" s="156" t="str" cm="1">
        <f t="array" ref="D96:E97">_xlfn.CHOOSECOLS(Fertiliser_Equations_AtmosphericDeposition.VEERG_5_4_1_3__2_MassOfNitrogenVolatilisedFromOrganicFertiliser_Arguments(), 1, 2)</f>
        <v>MNSoil_jf</v>
      </c>
      <c r="E96" s="156" t="str">
        <v>mass of nitrogen in organic fertiliser type f applied to production system j</v>
      </c>
      <c r="F96" s="156"/>
      <c r="G96" s="156" t="str" cm="1">
        <f t="array" ref="G96:H97">_xlfn.CHOOSECOLS(Fertiliser_Equations_AtmosphericDeposition.VEERG_5_4_1_3__2_MassOfNitrogenVolatilisedFromOrganicFertiliser_Arguments(), 3,4)</f>
        <v>kg N</v>
      </c>
      <c r="H96" s="148" t="str">
        <v>Calculated from 5.2.1.1 (2)</v>
      </c>
      <c r="I96" s="149" t="str" cm="1">
        <f t="array" aca="1" ref="I96" ca="1">HYPERLINK(Common_InputFunctions.Utility_SourceHyperlink($D$99), $D$99)</f>
        <v>Table_M_vol_organic_j_f</v>
      </c>
    </row>
    <row r="97" spans="4:9" ht="20.100000000000001" customHeight="1" x14ac:dyDescent="0.2">
      <c r="D97" s="156" t="str">
        <v>FracGASM_soil</v>
      </c>
      <c r="E97" s="156" t="str">
        <v>fraction of organic fertiliser N that volatilises</v>
      </c>
      <c r="F97" s="156"/>
      <c r="G97" s="156" t="str">
        <v>(kg NH3-N + NOx-N)/kg N</v>
      </c>
      <c r="H97" s="148" t="str">
        <v>Constant</v>
      </c>
      <c r="I97" s="156">
        <f>Fertiliser_FracGASMSoil_Data</f>
        <v>0.21</v>
      </c>
    </row>
    <row r="99" spans="4:9" ht="20.100000000000001" customHeight="1" x14ac:dyDescent="0.2">
      <c r="D99" s="141" t="s">
        <v>477</v>
      </c>
    </row>
    <row r="100" spans="4:9" ht="20.100000000000001" customHeight="1" x14ac:dyDescent="0.2">
      <c r="D100" s="142" t="s">
        <v>478</v>
      </c>
    </row>
    <row r="101" spans="4:9" ht="20.100000000000001" customHeight="1" x14ac:dyDescent="0.2">
      <c r="D101" s="80" t="s">
        <v>451</v>
      </c>
      <c r="E101" s="158" t="s">
        <v>455</v>
      </c>
      <c r="F101" s="158" t="s">
        <v>479</v>
      </c>
    </row>
    <row r="102" spans="4:9" ht="20.100000000000001" customHeight="1" x14ac:dyDescent="0.2">
      <c r="D102" s="15" t="str" cm="1">
        <f t="array" ref="D102:D104">Table_Input_OrganicFertiliser[Organic fertiliser type (select)]</f>
        <v>Manure - Other</v>
      </c>
      <c r="E102" s="15">
        <f>INDEX(Table_MNSoil_j_f,2,6)</f>
        <v>3000</v>
      </c>
      <c r="F102" s="15" cm="1">
        <f t="array" ref="F102">Fertiliser_Equations_AtmosphericDeposition.VEERG_5_4_1_3__2_MassOfNitrogenVolatilisedFromOrganicFertiliser(E102,$I$97)</f>
        <v>630</v>
      </c>
      <c r="G102" s="16" t="str">
        <f>$E$94</f>
        <v>kg N</v>
      </c>
    </row>
    <row r="103" spans="4:9" ht="20.100000000000001" customHeight="1" x14ac:dyDescent="0.2">
      <c r="D103" s="15" t="str">
        <v>Manure - Poultry</v>
      </c>
      <c r="E103" s="15">
        <f>INDEX(Table_MNSoil_j_f,3,6)</f>
        <v>2500</v>
      </c>
      <c r="F103" s="15" cm="1">
        <f t="array" ref="F103">Fertiliser_Equations_AtmosphericDeposition.VEERG_5_4_1_3__2_MassOfNitrogenVolatilisedFromOrganicFertiliser(E103,$I$97)</f>
        <v>525</v>
      </c>
    </row>
    <row r="104" spans="4:9" ht="20.100000000000001" customHeight="1" x14ac:dyDescent="0.2">
      <c r="D104" s="15" t="str">
        <v>Other organic fertiliser</v>
      </c>
      <c r="E104" s="15">
        <f>INDEX(Table_MNSoil_j_f,4,6)</f>
        <v>1600</v>
      </c>
      <c r="F104" s="15" cm="1">
        <f t="array" ref="F104">Fertiliser_Equations_AtmosphericDeposition.VEERG_5_4_1_3__2_MassOfNitrogenVolatilisedFromOrganicFertiliser(E104,$I$97)</f>
        <v>336</v>
      </c>
    </row>
    <row r="105" spans="4:9" ht="20.100000000000001" customHeight="1" x14ac:dyDescent="0.2">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
      <c r="D112" s="15"/>
      <c r="E112" s="15">
        <f>'5.2.1.1-2 Organic Fert N2O'!I30</f>
        <v>0</v>
      </c>
      <c r="F112" s="15" cm="1">
        <f t="array" ref="F112">Fertiliser_Equations_AtmosphericDeposition.VEERG_5_4_1_3__2_MassOfNitrogenVolatilisedFromOrganicFertiliser(E112,$I$97)</f>
        <v>0</v>
      </c>
    </row>
    <row r="115" spans="1:12" ht="20.100000000000001" customHeight="1" x14ac:dyDescent="0.2">
      <c r="C115" s="163"/>
      <c r="D115" s="163"/>
      <c r="E115" s="163"/>
      <c r="F115" s="163"/>
      <c r="G115" s="163"/>
      <c r="H115" s="163"/>
      <c r="I115" s="163"/>
      <c r="J115" s="163"/>
      <c r="K115" s="163"/>
      <c r="L115" s="163"/>
    </row>
    <row r="116" spans="1:12" ht="20.100000000000001" customHeight="1" x14ac:dyDescent="0.2">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1:12" ht="20.100000000000001" customHeight="1" x14ac:dyDescent="0.2">
      <c r="D117" s="17" t="str" cm="1">
        <f t="array" ref="D117">Fertiliser_Equations_AtmosphericDeposition.VEERG_5_4_1_3__1_OrganicFertiliserAtmosphericDepositionN2OEmissions_Source()</f>
        <v>VEERG 2026: 5.4.1.3, Equation (1)</v>
      </c>
    </row>
    <row r="118" spans="1:12" ht="20.100000000000001" customHeight="1" x14ac:dyDescent="0.2">
      <c r="A118" s="81" t="str">
        <f>HYPERLINK("#A1", "▲ Back to top")</f>
        <v>▲ Back to top</v>
      </c>
      <c r="D118" s="140" t="s">
        <v>402</v>
      </c>
      <c r="E118" s="140" t="str" cm="1">
        <f t="array" aca="1" ref="E118" ca="1">Common_InputFunctions.Utility_DisplayFunctionName(F134)</f>
        <v>=Fertiliser_Equations_AtmosphericDeposition.VEERG_5_4_1_3__1_OrganicFertiliserAtmosphericDepositionN2OEmissions</v>
      </c>
    </row>
    <row r="121" spans="1:12" ht="20.100000000000001" customHeight="1" x14ac:dyDescent="0.2">
      <c r="D121" s="77" t="s">
        <v>407</v>
      </c>
      <c r="E121" s="1" t="str" cm="1">
        <f t="array" ref="E121">Fertiliser_Equations_AtmosphericDeposition.VEERG_5_4_1_3__1_OrganicFertiliserAtmosphericDepositionN2OEmissions_Variable()</f>
        <v>E_adorganic</v>
      </c>
    </row>
    <row r="122" spans="1:12" ht="20.100000000000001" customHeight="1" x14ac:dyDescent="0.2">
      <c r="D122" s="77" t="s">
        <v>118</v>
      </c>
      <c r="E122" s="9" t="str" cm="1">
        <f t="array" ref="E122">Fertiliser_Equations_AtmosphericDeposition.VEERG_5_4_1_3__1_OrganicFertiliserAtmosphericDepositionN2OEmissions_Unit()</f>
        <v>t N2O</v>
      </c>
    </row>
    <row r="124" spans="1:12" ht="20.100000000000001" customHeight="1" x14ac:dyDescent="0.2">
      <c r="D124" s="156" t="str" cm="1">
        <f t="array" ref="D124:E129">_xlfn.CHOOSECOLS(Fertiliser_Equations_AtmosphericDeposition.VEERG_5_4_1_3__1_OrganicFertiliserAtmosphericDepositionN2OEmissions_Arguments(), 1, 2)</f>
        <v>M_volorganicjf</v>
      </c>
      <c r="E124" s="153" t="str">
        <v>mass of nitrogen volatilised from organic fertiliser applied to production system</v>
      </c>
      <c r="F124" s="165"/>
      <c r="G124" s="156" t="str" cm="1">
        <f t="array" ref="G124:H129">_xlfn.CHOOSECOLS(Fertiliser_Equations_AtmosphericDeposition.VEERG_5_4_1_3__1_OrganicFertiliserAtmosphericDepositionN2OEmissions_Arguments(), 3,4)</f>
        <v>kg N</v>
      </c>
      <c r="H124" s="148" t="str">
        <v>Calculated from 5.4.1.3 (2)</v>
      </c>
      <c r="I124" s="149" t="str" cm="1">
        <f t="array" aca="1" ref="I124" ca="1">HYPERLINK(Common_InputFunctions.Utility_SourceHyperlink($D$99), $D$99)</f>
        <v>Table_M_vol_organic_j_f</v>
      </c>
    </row>
    <row r="125" spans="1:12" ht="20.100000000000001" customHeight="1" x14ac:dyDescent="0.2">
      <c r="D125" s="156" t="str">
        <v>EF_N2Oj</v>
      </c>
      <c r="E125" s="153" t="str">
        <v>emission factor for atmospheric deposition in production system j</v>
      </c>
      <c r="F125" s="165"/>
      <c r="G125" s="156" t="str">
        <v>kg N2O-N/kg N</v>
      </c>
      <c r="H125" s="148" t="str">
        <v>Constant</v>
      </c>
      <c r="I125" s="156">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
      <c r="D126" s="156" t="str">
        <v>C_N2O</v>
      </c>
      <c r="E126" s="153" t="str">
        <v>factor to convert elemental mass of nitrous oxide to molecular mass</v>
      </c>
      <c r="F126" s="165"/>
      <c r="G126" s="156" t="str">
        <v/>
      </c>
      <c r="H126" s="148" t="str">
        <v>Constant</v>
      </c>
      <c r="I126" s="145">
        <f>Common_InputFunctions.Utility_LookupValueInTableNumber("N2O",Table_GasToMolecularConversionFactor[Gas],Table_GasToMolecularConversionFactor[Conversion factor combined])</f>
        <v>1.5714285714285714</v>
      </c>
    </row>
    <row r="127" spans="1:12" ht="20.100000000000001" customHeight="1" x14ac:dyDescent="0.2">
      <c r="D127" s="156" t="str">
        <v>j</v>
      </c>
      <c r="E127" s="153" t="str">
        <v>Production system</v>
      </c>
      <c r="F127" s="165"/>
      <c r="G127" s="156" t="str">
        <v/>
      </c>
      <c r="H127" s="147" t="str">
        <v>Input</v>
      </c>
      <c r="I127" s="156" t="str">
        <f>X_Cell_Fertiliser_ProductionSystem</f>
        <v>Crop</v>
      </c>
    </row>
    <row r="128" spans="1:12" ht="20.100000000000001" customHeight="1" x14ac:dyDescent="0.2">
      <c r="D128" s="156" t="str">
        <v>ir</v>
      </c>
      <c r="E128" s="153" t="str">
        <v>irrigation method</v>
      </c>
      <c r="F128" s="165"/>
      <c r="G128" s="156" t="str">
        <v/>
      </c>
      <c r="H128" s="147" t="str">
        <v>Input</v>
      </c>
      <c r="I128" s="156" t="str">
        <f>X_Cell_Fertiliser_IrrigationMethod</f>
        <v>Sprinkler irrigation</v>
      </c>
    </row>
    <row r="129" spans="4:9" ht="20.100000000000001" customHeight="1" x14ac:dyDescent="0.2">
      <c r="D129" s="156" t="str">
        <v>r</v>
      </c>
      <c r="E129" s="153" t="str">
        <v>rainfall region</v>
      </c>
      <c r="F129" s="165"/>
      <c r="G129" s="156" t="str">
        <v/>
      </c>
      <c r="H129" s="147" t="str">
        <v>Input</v>
      </c>
      <c r="I129" s="156" t="str">
        <f>X_Cell_Site_RainfallZone</f>
        <v>High rainfall</v>
      </c>
    </row>
    <row r="131" spans="4:9" ht="20.100000000000001" customHeight="1" x14ac:dyDescent="0.2">
      <c r="D131" s="141" t="s">
        <v>480</v>
      </c>
    </row>
    <row r="132" spans="4:9" ht="20.100000000000001" customHeight="1" x14ac:dyDescent="0.2">
      <c r="D132" s="142" t="s">
        <v>481</v>
      </c>
    </row>
    <row r="133" spans="4:9" ht="20.100000000000001" customHeight="1" x14ac:dyDescent="0.2">
      <c r="D133" s="80" t="s">
        <v>451</v>
      </c>
      <c r="E133" s="158" t="s">
        <v>479</v>
      </c>
      <c r="F133" s="158" t="s">
        <v>482</v>
      </c>
    </row>
    <row r="134" spans="4:9" ht="20.100000000000001" customHeight="1" x14ac:dyDescent="0.2">
      <c r="D134" s="15" t="str" cm="1">
        <f t="array" ref="D134:D136">Table_Input_OrganicFertiliser[Organic fertiliser type (select)]</f>
        <v>Manure - Other</v>
      </c>
      <c r="E134" s="15">
        <f>F102</f>
        <v>630</v>
      </c>
      <c r="F134" s="15" cm="1">
        <f t="array" ref="F134">Fertiliser_Equations_AtmosphericDeposition.VEERG_5_4_1_3__1_OrganicFertiliserAtmosphericDepositionN2OEmissions(E134,$I$125,$I$126)</f>
        <v>6.9299999999999995E-3</v>
      </c>
    </row>
    <row r="135" spans="4:9" ht="20.100000000000001" customHeight="1" x14ac:dyDescent="0.2">
      <c r="D135" s="15" t="str">
        <v>Manure - Poultry</v>
      </c>
      <c r="E135" s="15">
        <f t="shared" ref="E135:E144" si="1">F103</f>
        <v>525</v>
      </c>
      <c r="F135" s="15" cm="1">
        <f t="array" ref="F135">Fertiliser_Equations_AtmosphericDeposition.VEERG_5_4_1_3__1_OrganicFertiliserAtmosphericDepositionN2OEmissions(E135,$I$125,$I$126)</f>
        <v>5.7750000000000006E-3</v>
      </c>
    </row>
    <row r="136" spans="4:9" ht="20.100000000000001" customHeight="1" x14ac:dyDescent="0.2">
      <c r="D136" s="15" t="str">
        <v>Other organic fertiliser</v>
      </c>
      <c r="E136" s="15">
        <f t="shared" si="1"/>
        <v>336</v>
      </c>
      <c r="F136" s="15" cm="1">
        <f t="array" ref="F136">Fertiliser_Equations_AtmosphericDeposition.VEERG_5_4_1_3__1_OrganicFertiliserAtmosphericDepositionN2OEmissions(E136,$I$125,$I$126)</f>
        <v>3.6959999999999996E-3</v>
      </c>
    </row>
    <row r="137" spans="4:9" ht="20.100000000000001" customHeight="1" x14ac:dyDescent="0.2">
      <c r="D137" s="15"/>
      <c r="E137" s="15">
        <f t="shared" si="1"/>
        <v>0</v>
      </c>
      <c r="F137" s="15" cm="1">
        <f t="array" ref="F137">Fertiliser_Equations_AtmosphericDeposition.VEERG_5_4_1_3__1_OrganicFertiliserAtmosphericDepositionN2OEmissions(E137,$I$125,$I$126)</f>
        <v>0</v>
      </c>
    </row>
    <row r="138" spans="4:9" ht="20.100000000000001" customHeight="1" x14ac:dyDescent="0.2">
      <c r="D138" s="15"/>
      <c r="E138" s="15">
        <f t="shared" si="1"/>
        <v>0</v>
      </c>
      <c r="F138" s="15" cm="1">
        <f t="array" ref="F138">Fertiliser_Equations_AtmosphericDeposition.VEERG_5_4_1_3__1_OrganicFertiliserAtmosphericDepositionN2OEmissions(E138,$I$125,$I$126)</f>
        <v>0</v>
      </c>
    </row>
    <row r="139" spans="4:9" ht="20.100000000000001" customHeight="1" x14ac:dyDescent="0.2">
      <c r="D139" s="15"/>
      <c r="E139" s="15">
        <f t="shared" si="1"/>
        <v>0</v>
      </c>
      <c r="F139" s="15" cm="1">
        <f t="array" ref="F139">Fertiliser_Equations_AtmosphericDeposition.VEERG_5_4_1_3__1_OrganicFertiliserAtmosphericDepositionN2OEmissions(E139,$I$125,$I$126)</f>
        <v>0</v>
      </c>
    </row>
    <row r="140" spans="4:9" ht="20.100000000000001" customHeight="1" x14ac:dyDescent="0.2">
      <c r="D140" s="15"/>
      <c r="E140" s="15">
        <f t="shared" si="1"/>
        <v>0</v>
      </c>
      <c r="F140" s="15" cm="1">
        <f t="array" ref="F140">Fertiliser_Equations_AtmosphericDeposition.VEERG_5_4_1_3__1_OrganicFertiliserAtmosphericDepositionN2OEmissions(E140,$I$125,$I$126)</f>
        <v>0</v>
      </c>
    </row>
    <row r="141" spans="4:9" ht="20.100000000000001" customHeight="1" x14ac:dyDescent="0.2">
      <c r="D141" s="15"/>
      <c r="E141" s="15">
        <f t="shared" si="1"/>
        <v>0</v>
      </c>
      <c r="F141" s="15" cm="1">
        <f t="array" ref="F141">Fertiliser_Equations_AtmosphericDeposition.VEERG_5_4_1_3__1_OrganicFertiliserAtmosphericDepositionN2OEmissions(E141,$I$125,$I$126)</f>
        <v>0</v>
      </c>
    </row>
    <row r="142" spans="4:9" ht="20.100000000000001" customHeight="1" x14ac:dyDescent="0.2">
      <c r="D142" s="15"/>
      <c r="E142" s="15">
        <f t="shared" si="1"/>
        <v>0</v>
      </c>
      <c r="F142" s="15" cm="1">
        <f t="array" ref="F142">Fertiliser_Equations_AtmosphericDeposition.VEERG_5_4_1_3__1_OrganicFertiliserAtmosphericDepositionN2OEmissions(E142,$I$125,$I$126)</f>
        <v>0</v>
      </c>
    </row>
    <row r="143" spans="4:9" ht="20.100000000000001" customHeight="1" x14ac:dyDescent="0.2">
      <c r="D143" s="15"/>
      <c r="E143" s="15">
        <f t="shared" si="1"/>
        <v>0</v>
      </c>
      <c r="F143" s="15" cm="1">
        <f t="array" ref="F143">Fertiliser_Equations_AtmosphericDeposition.VEERG_5_4_1_3__1_OrganicFertiliserAtmosphericDepositionN2OEmissions(E143,$I$125,$I$126)</f>
        <v>0</v>
      </c>
    </row>
    <row r="144" spans="4:9" ht="20.100000000000001" customHeight="1" x14ac:dyDescent="0.2">
      <c r="D144" s="15"/>
      <c r="E144" s="15">
        <f t="shared" si="1"/>
        <v>0</v>
      </c>
      <c r="F144" s="15" cm="1">
        <f t="array" ref="F144">Fertiliser_Equations_AtmosphericDeposition.VEERG_5_4_1_3__1_OrganicFertiliserAtmosphericDepositionN2OEmissions(E144,$I$125,$I$126)</f>
        <v>0</v>
      </c>
    </row>
    <row r="146" spans="1:7" ht="20.100000000000001" customHeight="1" x14ac:dyDescent="0.2">
      <c r="D146" s="87" t="s">
        <v>483</v>
      </c>
      <c r="E146" s="88">
        <f>SUM(F134:F144)</f>
        <v>1.6400999999999999E-2</v>
      </c>
      <c r="F146" s="97" t="str">
        <f>$E$122</f>
        <v>t N2O</v>
      </c>
    </row>
    <row r="148" spans="1:7" ht="20.100000000000001" customHeight="1" x14ac:dyDescent="0.2">
      <c r="A148" s="81" t="str">
        <f>HYPERLINK("#A1", "▲ Back to top")</f>
        <v>▲ Back to top</v>
      </c>
      <c r="D148" s="145" t="str" cm="1">
        <f t="array" ref="D148:E149">Common_Equations.Common_ConvertN2OToCO2e_Arguments()</f>
        <v>EN2O</v>
      </c>
      <c r="E148" s="146" t="str">
        <v>Nitrous oxide emissions (t N2O)</v>
      </c>
      <c r="F148" s="155"/>
      <c r="G148" s="15">
        <v>1.6401E-3</v>
      </c>
    </row>
    <row r="149" spans="1:7" ht="20.100000000000001" customHeight="1" x14ac:dyDescent="0.2">
      <c r="D149" s="145" t="str">
        <v>GWPN2O</v>
      </c>
      <c r="E149" s="146" t="str">
        <v>Global warming potential for nitrous oxide (t CO2-e / t N2O)</v>
      </c>
      <c r="F149" s="155"/>
      <c r="G149" s="15">
        <f>Common_InputFunctions.Utility_LookupValueInTableNumber("N2O",Table_GWPData[Gas],Table_GWPData[CO2-e factor])</f>
        <v>265</v>
      </c>
    </row>
    <row r="151" spans="1:7" ht="20.100000000000001" customHeight="1" x14ac:dyDescent="0.2">
      <c r="D151" s="85" t="s">
        <v>431</v>
      </c>
      <c r="E151" s="85" cm="1">
        <f t="array" ref="E151">Common_Equations.Common_ConvertN2OToCO2e(G148,G149)</f>
        <v>0.43462650000000003</v>
      </c>
      <c r="F151" s="91" t="str" cm="1">
        <f t="array" ref="F151">Common_Equations.Common_ConvertN2OToCO2e_Unit()</f>
        <v>t CO2e</v>
      </c>
    </row>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CAA59-DFF5-4712-8E1E-7BBD9E98EE25}">
  <sheetPr>
    <tabColor rgb="FF008000"/>
  </sheetPr>
  <dimension ref="A1:T99"/>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484</v>
      </c>
    </row>
    <row r="2" spans="1:20" s="3" customFormat="1" ht="20.100000000000001" customHeight="1" x14ac:dyDescent="0.2">
      <c r="A2"/>
    </row>
    <row r="3" spans="1:20" ht="20.100000000000001" customHeight="1" x14ac:dyDescent="0.2">
      <c r="A3" s="5" t="str">
        <f>HYPERLINK("#'Home'!A1", "Home")</f>
        <v>Home</v>
      </c>
      <c r="C3" s="23"/>
      <c r="D3" s="23" t="s">
        <v>128</v>
      </c>
      <c r="E3" s="23"/>
      <c r="F3" s="23"/>
      <c r="G3" s="23"/>
      <c r="H3" s="23"/>
      <c r="I3" s="23"/>
      <c r="J3" s="23"/>
      <c r="K3" s="23"/>
      <c r="M3" s="23"/>
      <c r="N3" s="23" t="s">
        <v>129</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EI")</f>
        <v>Results - Product EI</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
      <c r="D6" s="17" t="str" cm="1">
        <f t="array" ref="D6">Fertiliser_Equations_LeachingAndRunoff.VEERG_5_5_1_1__2_MassOfNitrogenLeachedFromInorganicFertiliser_Source()</f>
        <v>VEERG 2026: 5.5, Equation (2)</v>
      </c>
    </row>
    <row r="7" spans="1:20" ht="20.100000000000001" customHeight="1" x14ac:dyDescent="0.2">
      <c r="D7" s="140" t="s">
        <v>402</v>
      </c>
      <c r="E7" s="140" t="str" cm="1">
        <f t="array" aca="1" ref="E7" ca="1">Common_InputFunctions.Utility_DisplayFunctionName(F23)</f>
        <v>=Fertiliser_Equations_LeachingAndRunoff.VEERG_5_5_1_1__2_MassOfNitrogenLeachedFromInorganicFertiliser</v>
      </c>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7" t="s">
        <v>407</v>
      </c>
      <c r="E10" s="1" t="str" cm="1">
        <f t="array" ref="E10">Fertiliser_Equations_LeachingAndRunoff.VEERG_5_5_1_1__2_MassOfNitrogenLeachedFromInorganicFertiliser_Variable()</f>
        <v>M_leachinorganicj</v>
      </c>
    </row>
    <row r="11" spans="1:20" ht="20.100000000000001" customHeight="1" x14ac:dyDescent="0.2">
      <c r="A11" s="5" t="str">
        <f>HYPERLINK("#'Input - Crop'!A1", "Crop")</f>
        <v>Crop</v>
      </c>
      <c r="D11" s="77" t="s">
        <v>118</v>
      </c>
      <c r="E11" s="9" t="str" cm="1">
        <f t="array" ref="E11">Fertiliser_Equations_LeachingAndRunoff.VEERG_5_5_1_1__2_MassOfNitrogenLeachedFromInorganicFertiliser_Unit()</f>
        <v>kg N</v>
      </c>
    </row>
    <row r="12" spans="1:20" ht="20.100000000000001" customHeight="1" x14ac:dyDescent="0.2">
      <c r="A12" s="5" t="str">
        <f>HYPERLINK("#'Input - Fert Prod System'!A1", "Fert Prod System")</f>
        <v>Fert Prod System</v>
      </c>
    </row>
    <row r="13" spans="1:20" ht="20.100000000000001" customHeight="1" x14ac:dyDescent="0.2">
      <c r="A13" s="5" t="str">
        <f>HYPERLINK("#'Input - Fertiliser'!A1", "Fertiliser")</f>
        <v>Fertiliser</v>
      </c>
      <c r="D13" s="156" t="str" cm="1">
        <f t="array" ref="D13:E18">_xlfn.CHOOSECOLS(Fertiliser_Equations_LeachingAndRunoff.VEERG_5_5_1_1__2_MassOfNitrogenLeachedFromInorganicFertiliser_Arguments(), 1, 2)</f>
        <v>MN_jf</v>
      </c>
      <c r="E13" s="153" t="str">
        <v>mass of nitrogen in inorganic fertiliser</v>
      </c>
      <c r="F13" s="165"/>
      <c r="G13" s="156" t="str" cm="1">
        <f t="array" ref="G13:H18">_xlfn.CHOOSECOLS(Fertiliser_Equations_LeachingAndRunoff.VEERG_5_5_1_1__2_MassOfNitrogenLeachedFromInorganicFertiliser_Arguments(), 3,4)</f>
        <v>kg N</v>
      </c>
      <c r="H13" s="148" t="str">
        <v>Calculated from 5.1.1.1 (2)</v>
      </c>
      <c r="I13" s="149" t="str" cm="1">
        <f t="array" aca="1" ref="I13" ca="1">HYPERLINK(Common_InputFunctions.Utility_SourceHyperlink(D20), D20)</f>
        <v>Table_M_leach_inorganic_j</v>
      </c>
    </row>
    <row r="14" spans="1:20" ht="20.100000000000001" customHeight="1" x14ac:dyDescent="0.2">
      <c r="A14" s="5" t="str">
        <f>HYPERLINK("#'Input - Fuel'!A1", "Fuel")</f>
        <v>Fuel</v>
      </c>
      <c r="D14" s="156" t="str">
        <v>FracWETj</v>
      </c>
      <c r="E14" s="153" t="str">
        <v>fraction of N available for leaching and runoff</v>
      </c>
      <c r="F14" s="165"/>
      <c r="G14" s="156" t="str">
        <v>fraction</v>
      </c>
      <c r="H14" s="148" t="str">
        <v>Constant</v>
      </c>
      <c r="I14" s="156">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
      <c r="A15" s="5" t="str">
        <f>HYPERLINK("#'Input - Electricity'!A1", "Electricity")</f>
        <v>Electricity</v>
      </c>
      <c r="D15" s="156" t="str">
        <v>FracLEACH</v>
      </c>
      <c r="E15" s="153" t="str">
        <v>fraction of N that is lost through leaching and runoff</v>
      </c>
      <c r="F15" s="165"/>
      <c r="G15" s="156" t="str">
        <v>fraction</v>
      </c>
      <c r="H15" s="148" t="str">
        <v>Constant</v>
      </c>
      <c r="I15" s="156">
        <f>Fertiliser_FracLEACH_Data</f>
        <v>0.24</v>
      </c>
    </row>
    <row r="16" spans="1:20" ht="20.100000000000001" customHeight="1" x14ac:dyDescent="0.2">
      <c r="A16" s="5" t="str">
        <f>HYPERLINK("#'Input - Common farm inputs'!A1", "Common farm inputs")</f>
        <v>Common farm inputs</v>
      </c>
      <c r="D16" s="156" t="str">
        <v>z</v>
      </c>
      <c r="E16" s="153" t="str">
        <v>location in leaching zone</v>
      </c>
      <c r="F16" s="165"/>
      <c r="G16" s="156" t="str">
        <v/>
      </c>
      <c r="H16" s="147" t="str">
        <v>Input</v>
      </c>
      <c r="I16" s="156" t="str">
        <f>X_Cell_Site_LeachingZone</f>
        <v>NO - Not in leaching zone</v>
      </c>
    </row>
    <row r="17" spans="1:9" ht="20.100000000000001" customHeight="1" x14ac:dyDescent="0.2">
      <c r="A17" s="5" t="str">
        <f>HYPERLINK("#'Input - Crop pasture farm input'!A1", "Crop pasture farm input")</f>
        <v>Crop pasture farm input</v>
      </c>
      <c r="D17" s="156" t="str">
        <v>j</v>
      </c>
      <c r="E17" s="153" t="str">
        <v>production system</v>
      </c>
      <c r="F17" s="165"/>
      <c r="G17" s="156" t="str">
        <v/>
      </c>
      <c r="H17" s="147" t="str">
        <v>Input</v>
      </c>
      <c r="I17" s="156" t="str">
        <f>X_Cell_Fertiliser_ProductionSystem</f>
        <v>Crop</v>
      </c>
    </row>
    <row r="18" spans="1:9" ht="20.100000000000001" customHeight="1" x14ac:dyDescent="0.2">
      <c r="A18" s="5" t="str">
        <f>HYPERLINK("#'Input - Freight'!A1", "Freight")</f>
        <v>Freight</v>
      </c>
      <c r="D18" s="156" t="str">
        <v>ir</v>
      </c>
      <c r="E18" s="153" t="str">
        <v>irrigation method</v>
      </c>
      <c r="F18" s="165"/>
      <c r="G18" s="156" t="str">
        <v/>
      </c>
      <c r="H18" s="147" t="str">
        <v>Input</v>
      </c>
      <c r="I18" s="156" t="str">
        <f>X_Cell_Fertiliser_IrrigationMethod</f>
        <v>Sprinkler irrigation</v>
      </c>
    </row>
    <row r="19" spans="1:9" ht="20.100000000000001" customHeight="1" x14ac:dyDescent="0.2">
      <c r="A19" s="5" t="str">
        <f>HYPERLINK("#'Input - Solid waste'!A1", "Solid waste")</f>
        <v>Solid waste</v>
      </c>
    </row>
    <row r="20" spans="1:9" ht="20.100000000000001" customHeight="1" x14ac:dyDescent="0.2">
      <c r="A20" s="5" t="str">
        <f>HYPERLINK("#'Input - Data quality'!A1", "Data quality")</f>
        <v>Data quality</v>
      </c>
      <c r="D20" s="141" t="s">
        <v>485</v>
      </c>
    </row>
    <row r="21" spans="1:9" ht="20.100000000000001" customHeight="1" x14ac:dyDescent="0.2">
      <c r="D21" s="142" t="s">
        <v>486</v>
      </c>
    </row>
    <row r="22" spans="1:9" ht="20.100000000000001" customHeight="1" x14ac:dyDescent="0.2">
      <c r="D22" s="144" t="s">
        <v>415</v>
      </c>
      <c r="E22" s="144" t="s">
        <v>469</v>
      </c>
      <c r="F22" s="144" t="s">
        <v>487</v>
      </c>
    </row>
    <row r="23" spans="1:9" ht="20.100000000000001" customHeight="1" x14ac:dyDescent="0.2">
      <c r="A23" s="6" t="s">
        <v>2</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
      <c r="A24" s="5" t="str">
        <f>HYPERLINK("#'5.1.1.1-2 Inorganic fert N2O'!A1", "5.1.1.1-2 Inorganic fert N2O")</f>
        <v>5.1.1.1-2 Inorganic fert N2O</v>
      </c>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
      <c r="A25" s="5" t="str">
        <f>HYPERLINK("#'5.1.1.3-4 Inorganic fert CO2'!A1", "5.1.1.3-4 Inorganic fert CO2")</f>
        <v>5.1.1.3-4 Inorganic fert CO2</v>
      </c>
      <c r="D25" s="15" t="str">
        <v>Urea</v>
      </c>
      <c r="E25" s="15">
        <f>INDEX(Table_MN_j_f,4,4)</f>
        <v>115999.99400000001</v>
      </c>
      <c r="F25" s="15" cm="1">
        <f t="array" ref="F25">Fertiliser_Equations_LeachingAndRunoff.VEERG_5_5_1_1__2_MassOfNitrogenLeachedFromInorganicFertiliser(E25, $I$14, $I$15)</f>
        <v>27839.99856</v>
      </c>
    </row>
    <row r="26" spans="1:9" ht="20.100000000000001" customHeight="1" x14ac:dyDescent="0.2">
      <c r="A26" s="5" t="str">
        <f>HYPERLINK("#'5.2.1.1-2 Organic Fert N2O'!A1", "5.2.1.1-2 Organic fert N2O")</f>
        <v>5.2.1.1-2 Organic fert N2O</v>
      </c>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
      <c r="A27" s="5" t="str">
        <f>HYPERLINK("#'5.3.1.1-2 Lime CO2'!A1", "5.3.1.1-2 Lime CO2")</f>
        <v>5.3.1.1-2 Lime CO2</v>
      </c>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
      <c r="A28" s="5" t="str">
        <f>HYPERLINK("#'5.4.1.1-4 Atmos deposition'!A1", "5.4.1.1-4 Atmos. deposition")</f>
        <v>5.4.1.1-4 Atmos. deposition</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
      <c r="A29" s="150" t="str">
        <f>HYPERLINK("#'5.5.1.1-2 Leaching and runoff'!A1", "5.5.1.1-2 Leaching &amp; runoff")</f>
        <v>5.5.1.1-2 Leaching &amp; runoff</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
      <c r="A30" s="5" t="str">
        <f>HYPERLINK("#'6.1.1.1-2 Crop residue N2O'!A1", "6.1.1.1-2 Crop residue N2O")</f>
        <v>6.1.1.1-2 Crop residue N2O</v>
      </c>
      <c r="D30" s="15" t="str">
        <v>Nitrogen - Ammoniacal</v>
      </c>
      <c r="E30" s="15">
        <f>INDEX(Table_MN_j_f,9,4)</f>
        <v>12400</v>
      </c>
      <c r="F30" s="15" cm="1">
        <f t="array" ref="F30">Fertiliser_Equations_LeachingAndRunoff.VEERG_5_5_1_1__2_MassOfNitrogenLeachedFromInorganicFertiliser(E30, $I$14, $I$15)</f>
        <v>2976</v>
      </c>
    </row>
    <row r="31" spans="1:9" ht="20.100000000000001" customHeight="1" x14ac:dyDescent="0.2">
      <c r="A31" s="5" t="str">
        <f>HYPERLINK("#'6.3.1.1-2 Leach runoff crop'!A1", "6.3.1.1-2 Leach &amp; runoff (crop)")</f>
        <v>6.3.1.1-2 Leach &amp; runoff (crop)</v>
      </c>
      <c r="D31" s="15" t="str">
        <v>Nitrogen - Nitrate</v>
      </c>
      <c r="E31" s="15">
        <f>INDEX(Table_MN_j_f,10,4)</f>
        <v>5500</v>
      </c>
      <c r="F31" s="15" cm="1">
        <f t="array" ref="F31">Fertiliser_Equations_LeachingAndRunoff.VEERG_5_5_1_1__2_MassOfNitrogenLeachedFromInorganicFertiliser(E31, $I$14, $I$15)</f>
        <v>1320</v>
      </c>
    </row>
    <row r="32" spans="1:9" ht="20.100000000000001" customHeight="1" x14ac:dyDescent="0.2">
      <c r="A32" s="5" t="str">
        <f>HYPERLINK("#'8.1.1.1-2 Transport fuel'!A1", "8.1.1.1-2 Transport fuel")</f>
        <v>8.1.1.1-2 Transport fuel</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
      <c r="A33" s="5" t="str">
        <f>HYPERLINK("#'8.2.1.1-2 Stationary fuel'!A1", "8.2.1.1-2 Stationary fuel")</f>
        <v>8.2.1.1-2 Stationary fuel</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
      <c r="A34" s="5" t="str">
        <f>HYPERLINK("#'10.1.1-2 Solid waste treatment'!A1", "10.1.1.1-2 Solid waste")</f>
        <v>10.1.1.1-2 Solid waste</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
      <c r="A35" s="5" t="str">
        <f>HYPERLINK("#'14.1.1-2 Purchased electricity'!A1", "14.1.1-2 Purchased electricity")</f>
        <v>14.1.1-2 Purchased electricity</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
      <c r="A36" s="5" t="str">
        <f>HYPERLINK("#'15 Scope 3'!A1", "15 Scope 3")</f>
        <v>15 Scope 3</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
      <c r="A39" s="82" t="s">
        <v>1</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
      <c r="A40" s="5" t="str">
        <f>HYPERLINK("#'Constants - Ag Residue'!A1", "Constants - Ag residue")</f>
        <v>Constants - Ag residue</v>
      </c>
      <c r="D40" s="15" t="str">
        <v>Ammonia</v>
      </c>
      <c r="E40" s="15">
        <f>INDEX(Table_MN_j_f,19,4)</f>
        <v>41175</v>
      </c>
      <c r="F40" s="15" cm="1">
        <f t="array" ref="F40">Fertiliser_Equations_LeachingAndRunoff.VEERG_5_5_1_1__2_MassOfNitrogenLeachedFromInorganicFertiliser(E40, $I$14, $I$15)</f>
        <v>9882</v>
      </c>
    </row>
    <row r="41" spans="1:11" ht="20.100000000000001" customHeight="1" x14ac:dyDescent="0.2">
      <c r="A41" s="5" t="str">
        <f>HYPERLINK("#'Constants - Electricity'!A1", "Constants - Electricity")</f>
        <v>Constants - Electricity</v>
      </c>
      <c r="D41" s="15" t="str">
        <v>Calcium nitrate</v>
      </c>
      <c r="E41" s="15">
        <f>INDEX(Table_MN_j_f,20,4)</f>
        <v>7750</v>
      </c>
      <c r="F41" s="15" cm="1">
        <f t="array" ref="F41">Fertiliser_Equations_LeachingAndRunoff.VEERG_5_5_1_1__2_MassOfNitrogenLeachedFromInorganicFertiliser(E41, $I$14, $I$15)</f>
        <v>1860</v>
      </c>
    </row>
    <row r="42" spans="1:11" ht="20.100000000000001" customHeight="1" x14ac:dyDescent="0.2">
      <c r="A42" s="5" t="str">
        <f>HYPERLINK("#'Constants - Fertiliser'!A1", "Constants - Fertiliser")</f>
        <v>Constants - Fertiliser</v>
      </c>
    </row>
    <row r="43" spans="1:11" ht="20.100000000000001" customHeight="1" x14ac:dyDescent="0.2">
      <c r="A43" s="5" t="str">
        <f>HYPERLINK("#'Constants - Fuel'!A1", "Constants - Fuel")</f>
        <v>Constants - Fuel</v>
      </c>
      <c r="D43" s="90" t="s">
        <v>488</v>
      </c>
      <c r="E43" s="85">
        <f>SUM(F23:F41)</f>
        <v>43877.99856</v>
      </c>
      <c r="F43" s="91" t="str">
        <f>$E$11</f>
        <v>kg N</v>
      </c>
    </row>
    <row r="44" spans="1:11" ht="20.100000000000001" customHeight="1" x14ac:dyDescent="0.2">
      <c r="A44" s="5" t="str">
        <f>HYPERLINK("#'Constants - Scope 3'!A1", "Constants - Scope 3")</f>
        <v>Constants - Scope 3</v>
      </c>
    </row>
    <row r="45" spans="1:11" ht="20.100000000000001" customHeight="1" x14ac:dyDescent="0.2">
      <c r="A45" s="5" t="str">
        <f>HYPERLINK("#'Constants - Solid Waste'!A1", "Constants - Solid Waste")</f>
        <v>Constants - Solid Waste</v>
      </c>
      <c r="C45" s="103"/>
      <c r="D45" s="103"/>
      <c r="E45" s="103"/>
      <c r="F45" s="103"/>
      <c r="G45" s="103"/>
      <c r="H45" s="103"/>
      <c r="I45" s="103"/>
      <c r="J45" s="103"/>
      <c r="K45" s="103"/>
    </row>
    <row r="46" spans="1:11" ht="20.100000000000001" customHeight="1" x14ac:dyDescent="0.2">
      <c r="A46" s="5" t="str">
        <f>HYPERLINK("#'Constants - Common'!A1", "Constants - Common")</f>
        <v>Constants - Common</v>
      </c>
    </row>
    <row r="47" spans="1:11" ht="20.100000000000001" customHeight="1" x14ac:dyDescent="0.2">
      <c r="A47" s="5" t="str">
        <f>HYPERLINK("#'Constants - Common Livestock'!A1", "Constants - Common Livestock")</f>
        <v>Constants - Common Livestock</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
      <c r="D48" s="17" t="str" cm="1">
        <f t="array" ref="D48">Fertiliser_Equations_LeachingAndRunoff.VEERG_5_5_1_1__3_MassOfNitrogenLeachedFromOrganicFertiliser_Source()</f>
        <v>VEERG 2026: 5.5, Equation (3)</v>
      </c>
    </row>
    <row r="49" spans="1:9" ht="20.100000000000001" customHeight="1" x14ac:dyDescent="0.2">
      <c r="D49" s="140" t="s">
        <v>402</v>
      </c>
      <c r="E49" s="140" t="str" cm="1">
        <f t="array" aca="1" ref="E49" ca="1">Common_InputFunctions.Utility_DisplayFunctionName(F65)</f>
        <v>=Fertiliser_Equations_LeachingAndRunoff.VEERG_5_5_1_1__3_MassOfNitrogenLeachedFromOrganicFertiliser</v>
      </c>
    </row>
    <row r="52" spans="1:9" ht="20.100000000000001" customHeight="1" x14ac:dyDescent="0.2">
      <c r="D52" s="77" t="s">
        <v>407</v>
      </c>
      <c r="E52" s="1" t="str" cm="1">
        <f t="array" ref="E52">Fertiliser_Equations_LeachingAndRunoff.VEERG_5_5_1_1__3_MassOfNitrogenLeachedFromOrganicFertiliser_Variable()</f>
        <v>M_leachorganicj</v>
      </c>
    </row>
    <row r="53" spans="1:9" ht="20.100000000000001" customHeight="1" x14ac:dyDescent="0.2">
      <c r="D53" s="77" t="s">
        <v>118</v>
      </c>
      <c r="E53" s="9" t="str" cm="1">
        <f t="array" ref="E53">Fertiliser_Equations_LeachingAndRunoff.VEERG_5_5_1_1__3_MassOfNitrogenLeachedFromOrganicFertiliser_Unit()</f>
        <v>kg N</v>
      </c>
    </row>
    <row r="55" spans="1:9" ht="20.100000000000001" customHeight="1" x14ac:dyDescent="0.2">
      <c r="D55" s="156" t="str" cm="1">
        <f t="array" ref="D55:E60">_xlfn.CHOOSECOLS(Fertiliser_Equations_LeachingAndRunoff.VEERG_5_5_1_1__3_MassOfNitrogenLeachedFromOrganicFertiliser_Arguments(), 1, 2)</f>
        <v>MNSoil_jf</v>
      </c>
      <c r="E55" s="153" t="str">
        <v>mass of nitrogen in organic fertiliser</v>
      </c>
      <c r="F55" s="165"/>
      <c r="G55" s="156" t="str" cm="1">
        <f t="array" ref="G55:H60">_xlfn.CHOOSECOLS(Fertiliser_Equations_LeachingAndRunoff.VEERG_5_5_1_1__3_MassOfNitrogenLeachedFromOrganicFertiliser_Arguments(), 3,4)</f>
        <v>kg N</v>
      </c>
      <c r="H55" s="148" t="str">
        <v>Calculated from 5.2.1.1 (2)</v>
      </c>
      <c r="I55" s="149" t="str" cm="1">
        <f t="array" aca="1" ref="I55" ca="1">HYPERLINK(Common_InputFunctions.Utility_SourceHyperlink(D62), D62)</f>
        <v>Table_M_leach_organic_j</v>
      </c>
    </row>
    <row r="56" spans="1:9" ht="20.100000000000001" customHeight="1" x14ac:dyDescent="0.2">
      <c r="D56" s="156" t="str">
        <v>FracWETj</v>
      </c>
      <c r="E56" s="153" t="str">
        <v>fraction of N available for leaching and runoff</v>
      </c>
      <c r="F56" s="165"/>
      <c r="G56" s="156" t="str">
        <v>fraction</v>
      </c>
      <c r="H56" s="148" t="str">
        <v>Constant</v>
      </c>
      <c r="I56" s="156">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
      <c r="D57" s="156" t="str">
        <v>FracLEACH</v>
      </c>
      <c r="E57" s="153" t="str">
        <v>fraction of N that is lost through leaching and runoff</v>
      </c>
      <c r="F57" s="165"/>
      <c r="G57" s="156" t="str">
        <v>fraction</v>
      </c>
      <c r="H57" s="148" t="str">
        <v>Constant</v>
      </c>
      <c r="I57" s="156">
        <f>Fertiliser_FracLEACH_Data</f>
        <v>0.24</v>
      </c>
    </row>
    <row r="58" spans="1:9" ht="20.100000000000001" customHeight="1" x14ac:dyDescent="0.2">
      <c r="A58" s="81" t="str">
        <f>HYPERLINK("#A1", "▲ Back to top")</f>
        <v>▲ Back to top</v>
      </c>
      <c r="D58" s="156" t="str">
        <v>z</v>
      </c>
      <c r="E58" s="153" t="str">
        <v>location in leaching zone</v>
      </c>
      <c r="F58" s="165"/>
      <c r="G58" s="156" t="str">
        <v/>
      </c>
      <c r="H58" s="147" t="str">
        <v>Input</v>
      </c>
      <c r="I58" s="156" t="str">
        <f>X_Cell_Site_LeachingZone</f>
        <v>NO - Not in leaching zone</v>
      </c>
    </row>
    <row r="59" spans="1:9" ht="20.100000000000001" customHeight="1" x14ac:dyDescent="0.2">
      <c r="D59" s="156" t="str">
        <v>j</v>
      </c>
      <c r="E59" s="153" t="str">
        <v>production system</v>
      </c>
      <c r="F59" s="165"/>
      <c r="G59" s="156" t="str">
        <v/>
      </c>
      <c r="H59" s="147" t="str">
        <v>Input</v>
      </c>
      <c r="I59" s="156" t="str">
        <f>X_Cell_Fertiliser_ProductionSystem</f>
        <v>Crop</v>
      </c>
    </row>
    <row r="60" spans="1:9" ht="20.100000000000001" customHeight="1" x14ac:dyDescent="0.2">
      <c r="D60" s="156" t="str">
        <v>ir</v>
      </c>
      <c r="E60" s="153" t="str">
        <v>irrigation method</v>
      </c>
      <c r="F60" s="165"/>
      <c r="G60" s="156" t="str">
        <v/>
      </c>
      <c r="H60" s="147" t="str">
        <v>Input</v>
      </c>
      <c r="I60" s="156" t="str">
        <f>X_Cell_Fertiliser_IrrigationMethod</f>
        <v>Sprinkler irrigation</v>
      </c>
    </row>
    <row r="62" spans="1:9" ht="20.100000000000001" customHeight="1" x14ac:dyDescent="0.2">
      <c r="D62" s="141" t="s">
        <v>489</v>
      </c>
    </row>
    <row r="63" spans="1:9" ht="20.100000000000001" customHeight="1" x14ac:dyDescent="0.2">
      <c r="D63" s="142" t="s">
        <v>490</v>
      </c>
    </row>
    <row r="64" spans="1:9" ht="20.100000000000001" customHeight="1" x14ac:dyDescent="0.2">
      <c r="D64" s="80" t="s">
        <v>451</v>
      </c>
      <c r="E64" s="169" t="s">
        <v>455</v>
      </c>
      <c r="F64" s="144" t="s">
        <v>491</v>
      </c>
    </row>
    <row r="65" spans="3:11" ht="20.100000000000001" customHeight="1" x14ac:dyDescent="0.2">
      <c r="D65" s="15" t="str">
        <f>INDEX(Table_MNSoil_j_f,2,1)</f>
        <v>Manure - Other</v>
      </c>
      <c r="E65" s="15">
        <f>INDEX(Table_MNSoil_j_f,2,6)</f>
        <v>3000</v>
      </c>
      <c r="F65" s="15" cm="1">
        <f t="array" ref="F65">Fertiliser_Equations_LeachingAndRunoff.VEERG_5_5_1_1__3_MassOfNitrogenLeachedFromOrganicFertiliser(E65,$I$56, $I$57)</f>
        <v>720</v>
      </c>
    </row>
    <row r="66" spans="3:11" ht="20.100000000000001" customHeight="1" x14ac:dyDescent="0.2">
      <c r="D66" s="15" t="str">
        <f>INDEX(Table_MNSoil_j_f,3,1)</f>
        <v>Manure - Poultry</v>
      </c>
      <c r="E66" s="15">
        <f>INDEX(Table_MNSoil_j_f,3,6)</f>
        <v>2500</v>
      </c>
      <c r="F66" s="15" cm="1">
        <f t="array" ref="F66">Fertiliser_Equations_LeachingAndRunoff.VEERG_5_5_1_1__3_MassOfNitrogenLeachedFromOrganicFertiliser(E66,$I$56, $I$57)</f>
        <v>600</v>
      </c>
    </row>
    <row r="67" spans="3:11" ht="20.100000000000001" customHeight="1" x14ac:dyDescent="0.2">
      <c r="D67" s="15" t="str">
        <f>INDEX(Table_MNSoil_j_f,4,1)</f>
        <v>Other organic fertiliser</v>
      </c>
      <c r="E67" s="15">
        <f>INDEX(Table_MNSoil_j_f,4,6)</f>
        <v>1600</v>
      </c>
      <c r="F67" s="15" cm="1">
        <f t="array" ref="F67">Fertiliser_Equations_LeachingAndRunoff.VEERG_5_5_1_1__3_MassOfNitrogenLeachedFromOrganicFertiliser(E67,$I$56, $I$57)</f>
        <v>384</v>
      </c>
    </row>
    <row r="68" spans="3:11" ht="20.100000000000001" customHeight="1" x14ac:dyDescent="0.2">
      <c r="D68" s="15">
        <f>'5.2.1.1-2 Organic Fert N2O'!D23</f>
        <v>0</v>
      </c>
      <c r="E68" s="15">
        <f>'5.2.1.1-2 Organic Fert N2O'!I23</f>
        <v>0</v>
      </c>
      <c r="F68" s="15" cm="1">
        <f t="array" ref="F68">Fertiliser_Equations_LeachingAndRunoff.VEERG_5_5_1_1__3_MassOfNitrogenLeachedFromOrganicFertiliser(E68,$I$56, $I$57)</f>
        <v>0</v>
      </c>
    </row>
    <row r="69" spans="3:11" ht="20.100000000000001" customHeight="1" x14ac:dyDescent="0.2">
      <c r="D69" s="15">
        <f>'5.2.1.1-2 Organic Fert N2O'!D24</f>
        <v>0</v>
      </c>
      <c r="E69" s="15">
        <f>'5.2.1.1-2 Organic Fert N2O'!I24</f>
        <v>0</v>
      </c>
      <c r="F69" s="15" cm="1">
        <f t="array" ref="F69">Fertiliser_Equations_LeachingAndRunoff.VEERG_5_5_1_1__3_MassOfNitrogenLeachedFromOrganicFertiliser(E69,$I$56, $I$57)</f>
        <v>0</v>
      </c>
    </row>
    <row r="70" spans="3:11" ht="20.100000000000001" customHeight="1" x14ac:dyDescent="0.2">
      <c r="D70" s="15">
        <f>'5.2.1.1-2 Organic Fert N2O'!D25</f>
        <v>0</v>
      </c>
      <c r="E70" s="15">
        <f>'5.2.1.1-2 Organic Fert N2O'!I25</f>
        <v>0</v>
      </c>
      <c r="F70" s="15" cm="1">
        <f t="array" ref="F70">Fertiliser_Equations_LeachingAndRunoff.VEERG_5_5_1_1__3_MassOfNitrogenLeachedFromOrganicFertiliser(E70,$I$56, $I$57)</f>
        <v>0</v>
      </c>
    </row>
    <row r="71" spans="3:11" ht="20.100000000000001" customHeight="1" x14ac:dyDescent="0.2">
      <c r="D71" s="15">
        <f>'5.2.1.1-2 Organic Fert N2O'!D26</f>
        <v>0</v>
      </c>
      <c r="E71" s="15">
        <f>'5.2.1.1-2 Organic Fert N2O'!I26</f>
        <v>0</v>
      </c>
      <c r="F71" s="15" cm="1">
        <f t="array" ref="F71">Fertiliser_Equations_LeachingAndRunoff.VEERG_5_5_1_1__3_MassOfNitrogenLeachedFromOrganicFertiliser(E71,$I$56, $I$57)</f>
        <v>0</v>
      </c>
    </row>
    <row r="72" spans="3:11" ht="20.100000000000001" customHeight="1" x14ac:dyDescent="0.2">
      <c r="D72" s="15">
        <f>'5.2.1.1-2 Organic Fert N2O'!D27</f>
        <v>0</v>
      </c>
      <c r="E72" s="15">
        <f>'5.2.1.1-2 Organic Fert N2O'!I27</f>
        <v>0</v>
      </c>
      <c r="F72" s="15" cm="1">
        <f t="array" ref="F72">Fertiliser_Equations_LeachingAndRunoff.VEERG_5_5_1_1__3_MassOfNitrogenLeachedFromOrganicFertiliser(E72,$I$56, $I$57)</f>
        <v>0</v>
      </c>
    </row>
    <row r="73" spans="3:11" ht="20.100000000000001" customHeight="1" x14ac:dyDescent="0.2">
      <c r="D73" s="15">
        <f>'5.2.1.1-2 Organic Fert N2O'!D28</f>
        <v>0</v>
      </c>
      <c r="E73" s="15">
        <f>'5.2.1.1-2 Organic Fert N2O'!I28</f>
        <v>0</v>
      </c>
      <c r="F73" s="15" cm="1">
        <f t="array" ref="F73">Fertiliser_Equations_LeachingAndRunoff.VEERG_5_5_1_1__3_MassOfNitrogenLeachedFromOrganicFertiliser(E73,$I$56, $I$57)</f>
        <v>0</v>
      </c>
    </row>
    <row r="74" spans="3:11" ht="20.100000000000001" customHeight="1" x14ac:dyDescent="0.2">
      <c r="D74" s="15">
        <f>'5.2.1.1-2 Organic Fert N2O'!D29</f>
        <v>0</v>
      </c>
      <c r="E74" s="15">
        <f>'5.2.1.1-2 Organic Fert N2O'!I29</f>
        <v>0</v>
      </c>
      <c r="F74" s="15" cm="1">
        <f t="array" ref="F74">Fertiliser_Equations_LeachingAndRunoff.VEERG_5_5_1_1__3_MassOfNitrogenLeachedFromOrganicFertiliser(E74,$I$56, $I$57)</f>
        <v>0</v>
      </c>
    </row>
    <row r="75" spans="3:11" ht="20.100000000000001" customHeight="1" x14ac:dyDescent="0.2">
      <c r="D75" s="15">
        <f>'5.2.1.1-2 Organic Fert N2O'!D30</f>
        <v>0</v>
      </c>
      <c r="E75" s="15">
        <f>'5.2.1.1-2 Organic Fert N2O'!I30</f>
        <v>0</v>
      </c>
      <c r="F75" s="15" cm="1">
        <f t="array" ref="F75">Fertiliser_Equations_LeachingAndRunoff.VEERG_5_5_1_1__3_MassOfNitrogenLeachedFromOrganicFertiliser(E75,$I$56, $I$57)</f>
        <v>0</v>
      </c>
    </row>
    <row r="77" spans="3:11" ht="20.100000000000001" customHeight="1" x14ac:dyDescent="0.2">
      <c r="D77" s="90" t="s">
        <v>492</v>
      </c>
      <c r="E77" s="85">
        <f>SUM(F65:F75)</f>
        <v>1704</v>
      </c>
      <c r="F77" s="91" t="str">
        <f>$E$53</f>
        <v>kg N</v>
      </c>
    </row>
    <row r="79" spans="3:11" ht="20.100000000000001" customHeight="1" x14ac:dyDescent="0.2">
      <c r="C79" s="103"/>
      <c r="D79" s="103"/>
      <c r="E79" s="103"/>
      <c r="F79" s="103"/>
      <c r="G79" s="103"/>
      <c r="H79" s="103"/>
      <c r="I79" s="103"/>
      <c r="J79" s="103"/>
      <c r="K79" s="103"/>
    </row>
    <row r="81" spans="1:10" ht="20.100000000000001" customHeight="1" x14ac:dyDescent="0.2">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1:10" ht="20.100000000000001" customHeight="1" x14ac:dyDescent="0.2">
      <c r="D82" s="17" t="str" cm="1">
        <f t="array" ref="D82">Fertiliser_Equations_LeachingAndRunoff.VEERG_5_5_1_1__1_FertiliserLeachingAndRunoffN2OEmissions_Source()</f>
        <v>VEERG 2026: 5.5, Equation (1)</v>
      </c>
    </row>
    <row r="83" spans="1:10" ht="20.100000000000001" customHeight="1" x14ac:dyDescent="0.2">
      <c r="D83" s="140" t="s">
        <v>402</v>
      </c>
      <c r="E83" s="140" t="s">
        <v>1029</v>
      </c>
    </row>
    <row r="86" spans="1:10" ht="20.100000000000001" customHeight="1" x14ac:dyDescent="0.2">
      <c r="D86" s="77" t="s">
        <v>407</v>
      </c>
      <c r="E86" s="1" t="str" cm="1">
        <f t="array" ref="E86">Fertiliser_Equations_LeachingAndRunoff.VEERG_5_5_1_1__1_FertiliserLeachingAndRunoffN2OEmissions_Variable()</f>
        <v>E_fertleach</v>
      </c>
    </row>
    <row r="87" spans="1:10" ht="20.100000000000001" customHeight="1" x14ac:dyDescent="0.2">
      <c r="D87" s="77" t="s">
        <v>118</v>
      </c>
      <c r="E87" s="9" t="str" cm="1">
        <f t="array" ref="E87">Fertiliser_Equations_LeachingAndRunoff.VEERG_5_5_1_1__1_FertiliserLeachingAndRunoffN2OEmissions_Unit()</f>
        <v>t N2O</v>
      </c>
    </row>
    <row r="88" spans="1:10" ht="20.100000000000001" customHeight="1" x14ac:dyDescent="0.2">
      <c r="A88" s="81" t="str">
        <f>HYPERLINK("#A1", "▲ Back to top")</f>
        <v>▲ Back to top</v>
      </c>
    </row>
    <row r="89" spans="1:10" ht="20.100000000000001" customHeight="1" x14ac:dyDescent="0.2">
      <c r="D89" s="156" t="str" cm="1">
        <f t="array" ref="D89:E92">_xlfn.CHOOSECOLS(Fertiliser_Equations_LeachingAndRunoff.VEERG_5_5_1_1__1_FertiliserLeachingAndRunoffN2OEmissions_Arguments(), 1, 2)</f>
        <v>M_leachinorganicj</v>
      </c>
      <c r="E89" s="153" t="str">
        <v>mass of nitrogen lost through leaching and runoff from inorganic fertiliser application in production system j</v>
      </c>
      <c r="F89" s="164"/>
      <c r="G89" s="165"/>
      <c r="H89" s="156" t="str" cm="1">
        <f t="array" ref="H89:I92">_xlfn.CHOOSECOLS(Fertiliser_Equations_LeachingAndRunoff.VEERG_5_5_1_1__1_FertiliserLeachingAndRunoffN2OEmissions_Arguments(), 3,4)</f>
        <v>kg N</v>
      </c>
      <c r="I89" s="148" t="str">
        <v>Calculated from 5.5.1.1 (2)</v>
      </c>
      <c r="J89" s="156">
        <f>$E$43</f>
        <v>43877.99856</v>
      </c>
    </row>
    <row r="90" spans="1:10" ht="20.100000000000001" customHeight="1" x14ac:dyDescent="0.2">
      <c r="D90" s="156" t="str">
        <v>M_leachorganicj</v>
      </c>
      <c r="E90" s="153" t="str">
        <v>mass of nitrogen lost through leaching and runoff from organic fertiliser application</v>
      </c>
      <c r="F90" s="164"/>
      <c r="G90" s="165"/>
      <c r="H90" s="156" t="str">
        <v>kg N</v>
      </c>
      <c r="I90" s="148" t="str">
        <v>Calculated from 5.5.1.1 (3)</v>
      </c>
      <c r="J90" s="156">
        <f>$E$77</f>
        <v>1704</v>
      </c>
    </row>
    <row r="91" spans="1:10" ht="20.100000000000001" customHeight="1" x14ac:dyDescent="0.2">
      <c r="D91" s="156" t="str">
        <v>EF_leach</v>
      </c>
      <c r="E91" s="153" t="str">
        <v>emission factor for nitrogen leaching and runoff</v>
      </c>
      <c r="F91" s="164"/>
      <c r="G91" s="165"/>
      <c r="H91" s="156" t="str">
        <v>kg N2O-N/kg N</v>
      </c>
      <c r="I91" s="148" t="str">
        <v>Constant</v>
      </c>
      <c r="J91" s="156">
        <f>Fertiliser_EFLeach_Data</f>
        <v>1.0999999999999999E-2</v>
      </c>
    </row>
    <row r="92" spans="1:10" ht="20.100000000000001" customHeight="1" x14ac:dyDescent="0.2">
      <c r="D92" s="156" t="str">
        <v>C_N2O</v>
      </c>
      <c r="E92" s="153" t="str">
        <v>factor to convert elemental mass of nitrous oxide to molecular mass</v>
      </c>
      <c r="F92" s="164"/>
      <c r="G92" s="165"/>
      <c r="H92" s="156" t="str">
        <v/>
      </c>
      <c r="I92" s="148" t="str">
        <v>Constant</v>
      </c>
      <c r="J92" s="145">
        <f>Common_InputFunctions.Utility_LookupValueInTableNumber("N2O",Table_GasToMolecularConversionFactor[Gas],Table_GasToMolecularConversionFactor[Conversion factor combined])</f>
        <v>1.5714285714285714</v>
      </c>
    </row>
    <row r="94" spans="1:10" ht="20.100000000000001" customHeight="1" x14ac:dyDescent="0.2">
      <c r="D94" s="87" t="s">
        <v>493</v>
      </c>
      <c r="E94" s="88" cm="1">
        <f t="array" ref="E94">Fertiliser_Equations_LeachingAndRunoff.VEERG_5_5_1_1__1_FertiliserLeachingAndRunoffN2OEmissions(J89,J90,J91,J92)</f>
        <v>0.78791740368000007</v>
      </c>
      <c r="F94" s="97" t="str">
        <f>$E$87</f>
        <v>t N2O</v>
      </c>
    </row>
    <row r="96" spans="1:10" ht="20.100000000000001" customHeight="1" x14ac:dyDescent="0.2">
      <c r="D96" s="145" t="str" cm="1">
        <f t="array" ref="D96:E97">Common_Equations.Common_ConvertN2OToCO2e_Arguments()</f>
        <v>EN2O</v>
      </c>
      <c r="E96" s="146" t="str">
        <v>Nitrous oxide emissions (t N2O)</v>
      </c>
      <c r="F96" s="155"/>
      <c r="G96" s="15">
        <v>7.8791740367999977E-2</v>
      </c>
    </row>
    <row r="97" spans="4:7" ht="20.100000000000001" customHeight="1" x14ac:dyDescent="0.2">
      <c r="D97" s="145" t="str">
        <v>GWPN2O</v>
      </c>
      <c r="E97" s="146" t="str">
        <v>Global warming potential for nitrous oxide (t CO2-e / t N2O)</v>
      </c>
      <c r="F97" s="155"/>
      <c r="G97" s="15">
        <f>Common_InputFunctions.Utility_LookupValueInTableNumber("N2O",Table_GWPData[Gas],Table_GWPData[CO2-e factor])</f>
        <v>265</v>
      </c>
    </row>
    <row r="99" spans="4:7" ht="20.100000000000001" customHeight="1" x14ac:dyDescent="0.2">
      <c r="D99" s="85" t="s">
        <v>431</v>
      </c>
      <c r="E99" s="85" cm="1">
        <f t="array" ref="E99">Common_Equations.Common_ConvertN2OToCO2e(G96,G97)</f>
        <v>20.879811197519995</v>
      </c>
      <c r="F99" s="91" t="str" cm="1">
        <f t="array" ref="F99">Common_Equations.Common_ConvertN2OToCO2e_Unit()</f>
        <v>t CO2e</v>
      </c>
    </row>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3322-8238-416B-A85B-9C22060FA019}">
  <sheetPr>
    <tabColor rgb="FF008000"/>
  </sheetPr>
  <dimension ref="A1:T342"/>
  <sheetViews>
    <sheetView showGridLines="0" topLeftCell="A6" zoomScaleNormal="100" workbookViewId="0">
      <pane xSplit="1" topLeftCell="B1" activePane="topRight" state="frozenSplit"/>
      <selection pane="topRight" activeCell="A11" sqref="A11"/>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21" customFormat="1" ht="30" customHeight="1" x14ac:dyDescent="0.35">
      <c r="A1" s="10" t="e" vm="1">
        <v>#VALUE!</v>
      </c>
      <c r="C1" s="21" t="s">
        <v>741</v>
      </c>
      <c r="K1"/>
    </row>
    <row r="2" spans="1:20" s="3" customFormat="1" ht="20.100000000000001" customHeight="1" x14ac:dyDescent="0.2">
      <c r="A2"/>
      <c r="K2"/>
    </row>
    <row r="3" spans="1:20" ht="20.100000000000001" customHeight="1" x14ac:dyDescent="0.2">
      <c r="A3" s="5" t="str">
        <f>HYPERLINK("#'Home'!A1", "Home")</f>
        <v>Home</v>
      </c>
      <c r="C3" s="23"/>
      <c r="D3" s="23" t="s">
        <v>128</v>
      </c>
      <c r="E3" s="23"/>
      <c r="F3" s="23"/>
      <c r="G3" s="23"/>
      <c r="H3" s="23"/>
      <c r="I3" s="23"/>
      <c r="J3" s="23"/>
      <c r="L3" s="23"/>
      <c r="M3" s="23" t="s">
        <v>129</v>
      </c>
      <c r="N3" s="23"/>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EI")</f>
        <v>Results - Product EI</v>
      </c>
      <c r="D5" s="2" t="str" cm="1">
        <f t="array" ref="D5">AgResidue_Equations_CropResidue.VEERG_6_1_1_1__2__MassOfNitrogenInCropResidues_Title()</f>
        <v>Mass of nitrogen in crop residues returned to the soil</v>
      </c>
      <c r="E5" s="8"/>
      <c r="F5" s="8"/>
      <c r="G5" s="8"/>
      <c r="H5" s="8"/>
      <c r="L5" s="8"/>
      <c r="M5" s="2" t="str" cm="1">
        <f t="array" ref="M5">AgResidue_Equations_CropResidue.VEERG_6_1_1_2__1__FractionOfCropResidueRemovedBaled_Title()</f>
        <v>Fraction of crop residue that is removed for crop c, calculated where residues are baled</v>
      </c>
      <c r="N5" s="8"/>
      <c r="O5" s="8"/>
      <c r="P5" s="8"/>
      <c r="Q5" s="8"/>
    </row>
    <row r="6" spans="1:20" ht="20.100000000000001" customHeight="1" x14ac:dyDescent="0.2">
      <c r="D6" s="17" t="str" cm="1">
        <f t="array" ref="D6">AgResidue_Equations_CropResidue.VEERG_6_1_1_1__2__MassOfNitrogenInCropResidues_Source()</f>
        <v>VEERG 2026: 6.1.1.1, Equation (2)</v>
      </c>
      <c r="E6" s="8"/>
      <c r="F6" s="8"/>
      <c r="G6" s="8"/>
      <c r="H6" s="8"/>
      <c r="J6" s="8"/>
      <c r="L6" s="8"/>
      <c r="M6" s="17" t="str" cm="1">
        <f t="array" ref="M6">AgResidue_Equations_CropResidue.VEERG_6_1_1_2__1__FractionOfCropResidueRemovedBaled_Source()</f>
        <v>VEERG 2026: 6.1.1.2, Equation (1)</v>
      </c>
      <c r="N6" s="8"/>
      <c r="O6" s="8"/>
      <c r="P6" s="8"/>
      <c r="Q6" s="8"/>
    </row>
    <row r="7" spans="1:20" ht="20.100000000000001" customHeight="1" x14ac:dyDescent="0.2">
      <c r="D7" s="140" t="s">
        <v>402</v>
      </c>
      <c r="E7" s="140" t="str">
        <f ca="1">Common_InputFunctions.Utility_DisplayFunctionName(VEERG_6_1_1_1__2__MassOfNitrogenInCropResidues_Result_Method1)</f>
        <v>=AgResidue_Equations_CropResidue.VEERG_6_1_1_1__2__MassOfNitrogenInCropResidues</v>
      </c>
      <c r="F7" s="8"/>
      <c r="G7" s="8"/>
      <c r="H7" s="8"/>
      <c r="J7" s="8"/>
      <c r="L7" s="8"/>
      <c r="M7" s="140" t="s">
        <v>402</v>
      </c>
      <c r="N7" s="140" t="str">
        <f ca="1">Common_InputFunctions.Utility_DisplayFunctionName(VEERG_6_1_1_2__1__FractionOfCropResidueRemovedBaled_Result)</f>
        <v>=AgResidue_Equations_CropResidue.VEERG_6_1_1_2__1__FractionOfCropResidueRemovedBaled</v>
      </c>
      <c r="O7" s="8"/>
      <c r="P7" s="8"/>
      <c r="Q7" s="8"/>
    </row>
    <row r="8" spans="1:20" ht="20.100000000000001" customHeight="1" x14ac:dyDescent="0.2">
      <c r="A8" s="7" t="s">
        <v>0</v>
      </c>
      <c r="F8" s="8"/>
      <c r="G8" s="8"/>
      <c r="H8" s="8"/>
      <c r="J8" s="8"/>
      <c r="L8" s="8"/>
      <c r="M8" s="8"/>
      <c r="N8" s="8"/>
      <c r="O8" s="8"/>
      <c r="P8" s="8"/>
      <c r="Q8" s="8"/>
    </row>
    <row r="9" spans="1:20" ht="20.100000000000001" customHeight="1" x14ac:dyDescent="0.2">
      <c r="A9" s="5" t="str">
        <f>HYPERLINK("#'Input - Enterprise'!A1", "Enterprise")</f>
        <v>Enterprise</v>
      </c>
      <c r="D9" s="8"/>
      <c r="E9" s="8"/>
      <c r="F9" s="8"/>
      <c r="G9" s="8"/>
      <c r="H9" s="8"/>
      <c r="J9" s="8"/>
      <c r="L9" s="8"/>
      <c r="M9" s="8"/>
      <c r="N9" s="8"/>
      <c r="O9" s="8"/>
      <c r="P9" s="8"/>
      <c r="Q9" s="8"/>
    </row>
    <row r="10" spans="1:20" ht="20.100000000000001" customHeight="1" x14ac:dyDescent="0.2">
      <c r="A10" s="5" t="str">
        <f>HYPERLINK("#'Input - Site'!A1", "Site")</f>
        <v>Site</v>
      </c>
      <c r="D10" s="77" t="s">
        <v>407</v>
      </c>
      <c r="E10" s="1" t="str" cm="1">
        <f t="array" ref="E10">AgResidue_Equations_CropResidue.VEERG_6_1_1_1__2__MassOfNitrogenInCropResidues_Variable()</f>
        <v>M_c</v>
      </c>
      <c r="F10" s="8"/>
      <c r="G10" s="8"/>
      <c r="H10" s="8"/>
      <c r="J10" s="8"/>
      <c r="L10" s="8"/>
      <c r="M10" s="8"/>
      <c r="N10" s="8"/>
      <c r="O10" s="8"/>
      <c r="P10" s="8"/>
      <c r="Q10" s="8"/>
    </row>
    <row r="11" spans="1:20" ht="20.100000000000001" customHeight="1" x14ac:dyDescent="0.2">
      <c r="A11" s="5" t="str">
        <f>HYPERLINK("#'Input - Crop'!A1", "Crop")</f>
        <v>Crop</v>
      </c>
      <c r="D11" s="77" t="s">
        <v>118</v>
      </c>
      <c r="E11" s="9" t="str" cm="1">
        <f t="array" ref="E11">AgResidue_Equations_CropResidue.VEERG_6_1_1_1__2__MassOfNitrogenInCropResidues_Unit()</f>
        <v>kg N</v>
      </c>
      <c r="F11" s="8"/>
      <c r="G11" s="8"/>
      <c r="H11" s="8"/>
      <c r="J11" s="8"/>
      <c r="L11" s="8"/>
      <c r="M11" s="77" t="s">
        <v>407</v>
      </c>
      <c r="N11" s="1" t="str" cm="1">
        <f t="array" ref="N11">AgResidue_Equations_CropResidue.VEERG_6_1_1_2__1__FractionOfCropResidueRemovedBaled_Variable()</f>
        <v>FFOD_c</v>
      </c>
      <c r="O11" s="8"/>
      <c r="P11" s="8"/>
      <c r="Q11" s="8"/>
    </row>
    <row r="12" spans="1:20" ht="20.100000000000001" customHeight="1" x14ac:dyDescent="0.2">
      <c r="A12" s="5" t="str">
        <f>HYPERLINK("#'Input - Fert Prod System'!A1", "Fert Prod System")</f>
        <v>Fert Prod System</v>
      </c>
      <c r="D12" s="8"/>
      <c r="E12" s="8"/>
      <c r="F12" s="8"/>
      <c r="G12" s="8"/>
      <c r="J12" s="8"/>
      <c r="L12" s="8"/>
      <c r="M12" s="77" t="s">
        <v>118</v>
      </c>
      <c r="N12" s="9" t="str" cm="1">
        <f t="array" ref="N12">AgResidue_Equations_CropResidue.VEERG_6_1_1_2__1__FractionOfCropResidueRemovedBaled_Unit()</f>
        <v>fraction</v>
      </c>
      <c r="O12" s="8"/>
      <c r="P12" s="8"/>
      <c r="Q12" s="8"/>
    </row>
    <row r="13" spans="1:20" ht="20.100000000000001" customHeight="1" x14ac:dyDescent="0.2">
      <c r="A13" s="5" t="str">
        <f>HYPERLINK("#'Input - Fertiliser'!A1", "Fertiliser")</f>
        <v>Fertiliser</v>
      </c>
      <c r="D13" s="156" t="str" cm="1">
        <f t="array" ref="D13:E22">_xlfn.CHOOSECOLS(AgResidue_Equations_CropResidue.VEERG_6_1_1_1__2__MassOfNitrogenInCropResidues_Arguments(), 1, 2)</f>
        <v>P_c</v>
      </c>
      <c r="E13" s="153" t="str">
        <v>annual production of crop c</v>
      </c>
      <c r="F13" s="165"/>
      <c r="G13" s="156" t="str" cm="1">
        <f t="array" ref="G13:H22">_xlfn.CHOOSECOLS(AgResidue_Equations_CropResidue.VEERG_6_1_1_1__2__MassOfNitrogenInCropResidues_Arguments(), 3,4)</f>
        <v>kg</v>
      </c>
      <c r="H13" s="147" t="str">
        <v>Input</v>
      </c>
      <c r="I13" s="156">
        <f>X_Cell_Crop_TotalProductionOfCrop*10^3</f>
        <v>2502032</v>
      </c>
      <c r="J13" s="8"/>
      <c r="L13" s="8"/>
      <c r="M13" s="8"/>
      <c r="N13" s="8"/>
      <c r="O13" s="8"/>
      <c r="P13" s="8"/>
    </row>
    <row r="14" spans="1:20" ht="20.100000000000001" customHeight="1" x14ac:dyDescent="0.2">
      <c r="A14" s="5" t="str">
        <f>HYPERLINK("#'Input - Fuel'!A1", "Fuel")</f>
        <v>Fuel</v>
      </c>
      <c r="D14" s="156" t="str">
        <v>R_AGc</v>
      </c>
      <c r="E14" s="153" t="str">
        <v>residue to crop ratio for crop c</v>
      </c>
      <c r="F14" s="165"/>
      <c r="G14" s="156" t="str">
        <v/>
      </c>
      <c r="H14" s="148" t="str">
        <v>Constant</v>
      </c>
      <c r="I14" s="156">
        <f ca="1">X_Cell_Crop_ResidueToCropRatio</f>
        <v>1.9</v>
      </c>
      <c r="J14" s="8"/>
      <c r="L14" s="8"/>
      <c r="M14" s="156" t="str" cm="1">
        <f t="array" ref="M14:N18">_xlfn.CHOOSECOLS(AgResidue_Equations_CropResidue.VEERG_6_1_1_2__1__FractionOfCropResidueRemovedBaled_Arguments(), 1, 2)</f>
        <v>B</v>
      </c>
      <c r="N14" s="156" t="str">
        <v>number of bales generated</v>
      </c>
      <c r="O14" s="156" t="str" cm="1">
        <f t="array" ref="O14:P18">_xlfn.CHOOSECOLS(AgResidue_Equations_CropResidue.VEERG_6_1_1_2__1__FractionOfCropResidueRemovedBaled_Arguments(), 3,4)</f>
        <v/>
      </c>
      <c r="P14" s="147" t="str">
        <v>Input</v>
      </c>
      <c r="Q14" s="223">
        <f ca="1">X_Cell_Crop_NumberOfBales</f>
        <v>792310.13333333354</v>
      </c>
    </row>
    <row r="15" spans="1:20" ht="20.100000000000001" customHeight="1" x14ac:dyDescent="0.2">
      <c r="A15" s="5" t="str">
        <f>HYPERLINK("#'Input - Electricity'!A1", "Electricity")</f>
        <v>Electricity</v>
      </c>
      <c r="D15" s="156" t="str">
        <v>R_BGc</v>
      </c>
      <c r="E15" s="153" t="str">
        <v>below ground-residue to above ground residue ratio for crop c</v>
      </c>
      <c r="F15" s="165"/>
      <c r="G15" s="156" t="str">
        <v/>
      </c>
      <c r="H15" s="148" t="str">
        <v>Constant</v>
      </c>
      <c r="I15" s="156" cm="1">
        <f t="array" ref="I15">Common_InputFunctions.Utility_LookupValueInTableNumber($I$21,Table_SourceData_CropAttributes[Crop type],Table_SourceData_CropAttributes[Below-ground: above-ground residue ratio])</f>
        <v>0.3</v>
      </c>
      <c r="L15" s="8"/>
      <c r="M15" s="156" t="str">
        <v>M_B</v>
      </c>
      <c r="N15" s="156" t="str">
        <v>mass of each bale</v>
      </c>
      <c r="O15" s="156" t="str">
        <v>kg</v>
      </c>
      <c r="P15" s="147" t="str">
        <v>Input</v>
      </c>
      <c r="Q15" s="156">
        <f>X_Cell_Crop_AverageWeightPerBale</f>
        <v>0.6</v>
      </c>
    </row>
    <row r="16" spans="1:20" ht="20.100000000000001" customHeight="1" x14ac:dyDescent="0.2">
      <c r="A16" s="5" t="str">
        <f>HYPERLINK("#'Input - Common farm inputs'!A1", "Common farm inputs")</f>
        <v>Common farm inputs</v>
      </c>
      <c r="D16" s="156" t="str">
        <v>F_c</v>
      </c>
      <c r="E16" s="153" t="str">
        <v>fraction of crop residue that is burnt for crop c</v>
      </c>
      <c r="F16" s="165"/>
      <c r="G16" s="156" t="str">
        <v>fraction</v>
      </c>
      <c r="H16" s="147" t="str">
        <v>Input</v>
      </c>
      <c r="I16" s="156">
        <f>X_Cell_Crop_PercentResidueBurned</f>
        <v>0.6</v>
      </c>
      <c r="L16" s="8"/>
      <c r="M16" s="156" t="str">
        <v>P_c</v>
      </c>
      <c r="N16" s="156" t="str">
        <v>annual production of crop c</v>
      </c>
      <c r="O16" s="156" t="str">
        <v>kg</v>
      </c>
      <c r="P16" s="147" t="str">
        <v>Input</v>
      </c>
      <c r="Q16" s="156">
        <f>X_Cell_Crop_TotalProductionOfCrop*10^3</f>
        <v>2502032</v>
      </c>
    </row>
    <row r="17" spans="1:20" ht="20.100000000000001" customHeight="1" x14ac:dyDescent="0.2">
      <c r="A17" s="5" t="str">
        <f>HYPERLINK("#'Input - Crop pasture farm input'!A1", "Crop pasture farm input")</f>
        <v>Crop pasture farm input</v>
      </c>
      <c r="D17" s="156" t="str">
        <v>FFOD_c</v>
      </c>
      <c r="E17" s="153" t="str">
        <v>fraction of the crop residue that is removed for crop c</v>
      </c>
      <c r="F17" s="165"/>
      <c r="G17" s="156" t="str">
        <v>fraction</v>
      </c>
      <c r="H17" s="148" t="str">
        <v>Constant</v>
      </c>
      <c r="I17" s="156" cm="1">
        <f t="array" ref="I17">IF(ISNUMBER(_xlfn.XLOOKUP(1, (Table77[Crop type c]=$I$21)*(Table77[State]=$I$22),Table77[Fraction removed])), _xlfn.XLOOKUP(1, (Table77[Crop type c]=$I$21)*(Table77[State]=$I$22),Table77[Fraction removed]), 0)</f>
        <v>0</v>
      </c>
      <c r="L17" s="8"/>
      <c r="M17" s="156" t="str">
        <v>R_AGc</v>
      </c>
      <c r="N17" s="156" t="str">
        <v>residue to crop ratio for crop c</v>
      </c>
      <c r="O17" s="156" t="str">
        <v/>
      </c>
      <c r="P17" s="148" t="str">
        <v>Constant</v>
      </c>
      <c r="Q17" s="156">
        <f>'Input - Crop'!$E$18</f>
        <v>0</v>
      </c>
    </row>
    <row r="18" spans="1:20" ht="20.100000000000001" customHeight="1" x14ac:dyDescent="0.2">
      <c r="A18" s="5" t="str">
        <f>HYPERLINK("#'Input - Freight'!A1", "Freight")</f>
        <v>Freight</v>
      </c>
      <c r="D18" s="156" t="str">
        <v>DM_c</v>
      </c>
      <c r="E18" s="153" t="str">
        <v>dry matter content of crop c</v>
      </c>
      <c r="F18" s="165"/>
      <c r="G18" s="156" t="str">
        <v>kg dry weight/kg crop residue</v>
      </c>
      <c r="H18" s="148" t="str">
        <v>Constant</v>
      </c>
      <c r="I18" s="156" cm="1">
        <f t="array" ref="I18">Common_InputFunctions.Utility_LookupValueInTableNumber($I$21,Table_SourceData_CropAttributes[Crop type],Table_SourceData_CropAttributes[Dry matter content])</f>
        <v>0.9</v>
      </c>
      <c r="L18" s="8"/>
      <c r="M18" s="156" t="str">
        <v>c</v>
      </c>
      <c r="N18" s="156" t="str">
        <v>Crop type</v>
      </c>
      <c r="O18" s="156" t="str">
        <v/>
      </c>
      <c r="P18" s="147" t="str">
        <v>Input</v>
      </c>
      <c r="Q18" s="156" t="str">
        <f>X_Cell_Crop_CropType</f>
        <v>Cotton</v>
      </c>
    </row>
    <row r="19" spans="1:20" ht="20.100000000000001" customHeight="1" x14ac:dyDescent="0.2">
      <c r="A19" s="5" t="str">
        <f>HYPERLINK("#'Input - Solid waste'!A1", "Solid waste")</f>
        <v>Solid waste</v>
      </c>
      <c r="D19" s="156" t="str">
        <v>NC_AGc</v>
      </c>
      <c r="E19" s="153" t="str">
        <v>nitrogen content of above-ground crop residue of crop c</v>
      </c>
      <c r="F19" s="165"/>
      <c r="G19" s="156" t="str">
        <v>kg N/kg DM</v>
      </c>
      <c r="H19" s="148" t="str">
        <v>Constant</v>
      </c>
      <c r="I19" s="156" cm="1">
        <f t="array" ref="I19">Common_InputFunctions.Utility_LookupValueInTableNumber($I$21,Table_SourceData_CropAttributes[Crop type],Table_SourceData_CropAttributes[N content above-ground])</f>
        <v>0.01</v>
      </c>
      <c r="L19" s="8"/>
      <c r="M19" s="8"/>
      <c r="N19" s="8"/>
      <c r="O19" s="8"/>
      <c r="P19" s="8"/>
      <c r="Q19" s="8"/>
    </row>
    <row r="20" spans="1:20" ht="20.100000000000001" customHeight="1" x14ac:dyDescent="0.2">
      <c r="A20" s="5" t="str">
        <f>HYPERLINK("#'Input - Data quality'!A1", "Data quality")</f>
        <v>Data quality</v>
      </c>
      <c r="D20" s="156" t="str">
        <v>NC_BGc</v>
      </c>
      <c r="E20" s="153" t="str">
        <v>nitrogen content of below-ground crop residue of crop c</v>
      </c>
      <c r="F20" s="165"/>
      <c r="G20" s="156" t="str">
        <v>kg N/kg DM</v>
      </c>
      <c r="H20" s="148" t="str">
        <v>Constant</v>
      </c>
      <c r="I20" s="156" cm="1">
        <f t="array" ref="I20">Common_InputFunctions.Utility_LookupValueInTableNumber($I$21,Table_SourceData_CropAttributes[Crop type],Table_SourceData_CropAttributes[N content below-ground])</f>
        <v>0.01</v>
      </c>
      <c r="L20" s="8"/>
      <c r="M20" s="90" t="s">
        <v>742</v>
      </c>
      <c r="N20" s="85" cm="1">
        <f t="array" aca="1" ref="N20" ca="1">AgResidue_Equations_CropResidue.VEERG_6_1_1_2__1__FractionOfCropResidueRemovedBaled(Q14,Q15,Q16,Q17)</f>
        <v>0</v>
      </c>
    </row>
    <row r="21" spans="1:20" ht="20.100000000000001" customHeight="1" x14ac:dyDescent="0.2">
      <c r="D21" s="156" t="str">
        <v>c</v>
      </c>
      <c r="E21" s="153" t="str">
        <v>Crop type</v>
      </c>
      <c r="F21" s="165"/>
      <c r="G21" s="156" t="str">
        <v/>
      </c>
      <c r="H21" s="147" t="str">
        <v>Input</v>
      </c>
      <c r="I21" s="156" t="str">
        <f>X_Cell_Crop_CropType</f>
        <v>Cotton</v>
      </c>
      <c r="L21" s="8"/>
      <c r="M21" s="8"/>
      <c r="N21" s="8"/>
      <c r="O21" s="8"/>
      <c r="P21" s="8"/>
      <c r="Q21" s="8"/>
    </row>
    <row r="22" spans="1:20" ht="20.100000000000001" customHeight="1" x14ac:dyDescent="0.2">
      <c r="D22" s="156" t="str">
        <v>State</v>
      </c>
      <c r="E22" s="153" t="str">
        <v>State or territory</v>
      </c>
      <c r="F22" s="165"/>
      <c r="G22" s="156" t="str">
        <v/>
      </c>
      <c r="H22" s="147" t="str">
        <v>Input</v>
      </c>
      <c r="I22" s="156" t="str">
        <f>Common_InputFunctions.Utility_ConvertStateCommonNameToAbbreviation(X_Cell_Site_State,Table_AustralianStates[Common Name],Table_AustralianStates[Abbreviation])</f>
        <v>WA</v>
      </c>
      <c r="L22" s="8"/>
      <c r="M22" s="8"/>
      <c r="N22" s="8"/>
      <c r="O22" s="8"/>
      <c r="P22" s="8"/>
      <c r="Q22" s="8"/>
    </row>
    <row r="23" spans="1:20" ht="20.100000000000001" customHeight="1" x14ac:dyDescent="0.2">
      <c r="A23" s="6" t="s">
        <v>2</v>
      </c>
      <c r="D23" s="8"/>
      <c r="E23" s="8"/>
      <c r="F23" s="8"/>
      <c r="G23" s="8"/>
      <c r="H23" s="8"/>
      <c r="L23" s="85"/>
      <c r="M23" s="85"/>
      <c r="N23" s="85"/>
      <c r="O23" s="85"/>
      <c r="P23" s="85"/>
      <c r="Q23" s="85"/>
      <c r="R23" s="85"/>
      <c r="S23" s="85"/>
      <c r="T23" s="85"/>
    </row>
    <row r="24" spans="1:20" ht="20.100000000000001" customHeight="1" x14ac:dyDescent="0.2">
      <c r="A24" s="5" t="str">
        <f>HYPERLINK("#'5.1.1.1-2 Inorganic fert N2O'!A1", "5.1.1.1-2 Inorganic fert N2O")</f>
        <v>5.1.1.1-2 Inorganic fert N2O</v>
      </c>
      <c r="D24" s="90" t="s">
        <v>743</v>
      </c>
      <c r="E24" s="224" cm="1">
        <f t="array" aca="1" ref="E24" ca="1">AgResidue_Equations_CropResidue.VEERG_6_1_1_1__2__MassOfNitrogenInCropResidues(I13,I14,I16,I17,I18,I19,I15,I20)</f>
        <v>29949.323040000003</v>
      </c>
      <c r="F24" s="162" t="str">
        <f>$E$11</f>
        <v>kg N</v>
      </c>
      <c r="M24" s="2" t="str" cm="1">
        <f t="array" ref="M24">AgResidue_Equations_CropResidue.VEERG_6_1_1_1__2__MassOfNitrogenInCropResidues_Title()</f>
        <v>Mass of nitrogen in crop residues returned to the soil</v>
      </c>
      <c r="N24" s="8"/>
      <c r="O24" s="8"/>
      <c r="P24" s="8"/>
      <c r="Q24" s="8"/>
    </row>
    <row r="25" spans="1:20" ht="20.100000000000001" customHeight="1" x14ac:dyDescent="0.2">
      <c r="A25" s="5" t="str">
        <f>HYPERLINK("#'5.1.1.3-4 Inorganic fert CO2'!A1", "5.1.1.3-4 Inorganic fert CO2")</f>
        <v>5.1.1.3-4 Inorganic fert CO2</v>
      </c>
      <c r="D25" s="77"/>
      <c r="E25" s="8"/>
      <c r="F25" s="8"/>
      <c r="G25" s="8"/>
      <c r="H25" s="8"/>
      <c r="L25" s="8"/>
      <c r="M25" s="17" t="str" cm="1">
        <f t="array" ref="M25">AgResidue_Equations_CropResidue.VEERG_6_1_1_1__2__MassOfNitrogenInCropResidues_Source()</f>
        <v>VEERG 2026: 6.1.1.1, Equation (2)</v>
      </c>
      <c r="N25" s="8"/>
      <c r="O25" s="8"/>
      <c r="P25" s="8"/>
      <c r="Q25" s="8"/>
    </row>
    <row r="26" spans="1:20" ht="20.100000000000001" customHeight="1" x14ac:dyDescent="0.2">
      <c r="A26" s="5" t="str">
        <f>HYPERLINK("#'5.2.1.1-2 Organic Fert N2O'!A1", "5.2.1.1-2 Organic fert N2O")</f>
        <v>5.2.1.1-2 Organic fert N2O</v>
      </c>
      <c r="D26" s="8"/>
      <c r="E26" s="8"/>
      <c r="F26" s="8"/>
      <c r="G26" s="8"/>
      <c r="H26" s="8"/>
      <c r="L26" s="8"/>
      <c r="M26" s="140" t="s">
        <v>402</v>
      </c>
      <c r="N26" s="140" t="str">
        <f ca="1">Common_InputFunctions.Utility_DisplayFunctionName(VEERG_6_1_1_1__2__MassOfNitrogenInCropResidues_Result_Method2)</f>
        <v>=AgResidue_Equations_CropResidue.VEERG_6_1_1_1__2__MassOfNitrogenInCropResidues</v>
      </c>
      <c r="O26" s="8"/>
      <c r="P26" s="8"/>
      <c r="Q26" s="8"/>
    </row>
    <row r="27" spans="1:20" ht="20.100000000000001" customHeight="1" x14ac:dyDescent="0.2">
      <c r="A27" s="5" t="str">
        <f>HYPERLINK("#'5.3.1.1-2 Lime CO2'!A1", "5.3.1.1-2 Lime CO2")</f>
        <v>5.3.1.1-2 Lime CO2</v>
      </c>
      <c r="D27" s="225"/>
      <c r="E27" s="225"/>
      <c r="F27" s="225"/>
      <c r="G27" s="225"/>
      <c r="H27" s="225"/>
      <c r="I27" s="225"/>
      <c r="L27" s="8"/>
      <c r="O27" s="8"/>
      <c r="P27" s="8"/>
      <c r="Q27" s="8"/>
    </row>
    <row r="28" spans="1:20" ht="20.100000000000001" customHeight="1" x14ac:dyDescent="0.2">
      <c r="A28" s="5" t="str">
        <f>HYPERLINK("#'5.4.1.1-4 Atmos deposition'!A1", "5.4.1.1-4 Atmos. deposition")</f>
        <v>5.4.1.1-4 Atmos. deposition</v>
      </c>
      <c r="D28" s="2" t="str" cm="1">
        <f t="array" ref="D28">AgResidue_Equations_CropResidue.VEERG_6_1_1_1__1__NitrousOxideEmissionsFromCropResidues_Title()</f>
        <v>Nitrous oxide emissions from the return of crop residues across all crops c to the soil</v>
      </c>
      <c r="E28" s="8"/>
      <c r="F28" s="8"/>
      <c r="G28" s="8"/>
      <c r="H28" s="8"/>
      <c r="J28" s="8"/>
      <c r="L28" s="8"/>
      <c r="M28" s="8"/>
      <c r="N28" s="8"/>
      <c r="O28" s="8"/>
      <c r="P28" s="8"/>
      <c r="Q28" s="8"/>
    </row>
    <row r="29" spans="1:20" ht="20.100000000000001" customHeight="1" x14ac:dyDescent="0.2">
      <c r="A29" s="5" t="str">
        <f>HYPERLINK("#'5.5.1.1-2 Leaching and runoff'!A1", "5.5.1.1-2 Leaching &amp; runoff")</f>
        <v>5.5.1.1-2 Leaching &amp; runoff</v>
      </c>
      <c r="D29" s="17" t="str" cm="1">
        <f t="array" ref="D29">AgResidue_Equations_CropResidue.VEERG_6_1_1_1__1__NitrousOxideEmissionsFromCropResidues_Source()</f>
        <v>VEERG 2026: 6.1.1.1, Equation (1)</v>
      </c>
      <c r="E29" s="8"/>
      <c r="F29" s="8"/>
      <c r="G29" s="8"/>
      <c r="H29" s="8"/>
      <c r="J29" s="8"/>
      <c r="L29" s="8"/>
      <c r="M29" s="77" t="s">
        <v>407</v>
      </c>
      <c r="N29" s="1" t="str" cm="1">
        <f t="array" ref="N29">AgResidue_Equations_CropResidue.VEERG_6_1_1_1__2__MassOfNitrogenInCropResidues_Variable()</f>
        <v>M_c</v>
      </c>
      <c r="O29" s="8"/>
      <c r="P29" s="8"/>
      <c r="Q29" s="8"/>
    </row>
    <row r="30" spans="1:20" ht="20.100000000000001" customHeight="1" x14ac:dyDescent="0.2">
      <c r="A30" s="150" t="str">
        <f>HYPERLINK("#'6.1.1.1-2 Crop residue N2O'!A1", "6.1.1.1-2 Crop residue N2O")</f>
        <v>6.1.1.1-2 Crop residue N2O</v>
      </c>
      <c r="D30" s="140" t="s">
        <v>402</v>
      </c>
      <c r="E30" s="140" t="str">
        <f ca="1">Common_InputFunctions.Utility_DisplayFunctionName(VEERG_6_1_1_1__1__NitrousOxideEmissionsFromCropResidues_Result_Method1)</f>
        <v>=AgResidue_Equations_CropResidue.VEERG_6_1_1_1__1__NitrousOxideEmissionsFromCropResidues</v>
      </c>
      <c r="F30" s="8"/>
      <c r="G30" s="8"/>
      <c r="H30" s="8"/>
      <c r="L30" s="8"/>
      <c r="M30" s="77" t="s">
        <v>118</v>
      </c>
      <c r="N30" s="9" t="str" cm="1">
        <f t="array" ref="N30">AgResidue_Equations_CropResidue.VEERG_6_1_1_1__2__MassOfNitrogenInCropResidues_Unit()</f>
        <v>kg N</v>
      </c>
      <c r="O30" s="8"/>
      <c r="P30" s="8"/>
      <c r="Q30" s="8"/>
    </row>
    <row r="31" spans="1:20" ht="20.100000000000001" customHeight="1" x14ac:dyDescent="0.2">
      <c r="A31" s="5" t="str">
        <f>HYPERLINK("#'6.3.1.1-2 Leach runoff crop'!A1", "6.3.1.1-2 Leach &amp; runoff (crop)")</f>
        <v>6.3.1.1-2 Leach &amp; runoff (crop)</v>
      </c>
      <c r="F31" s="8"/>
      <c r="G31" s="8"/>
      <c r="H31" s="8"/>
      <c r="J31" s="8"/>
      <c r="L31" s="8"/>
      <c r="M31" s="8"/>
      <c r="N31" s="8"/>
      <c r="O31" s="8"/>
      <c r="P31" s="8"/>
    </row>
    <row r="32" spans="1:20" ht="20.100000000000001" customHeight="1" x14ac:dyDescent="0.2">
      <c r="A32" s="5" t="str">
        <f>HYPERLINK("#'8.1.1.1-2 Transport fuel'!A1", "8.1.1.1-2 Transport fuel")</f>
        <v>8.1.1.1-2 Transport fuel</v>
      </c>
      <c r="D32" s="8"/>
      <c r="E32" s="8"/>
      <c r="F32" s="8"/>
      <c r="G32" s="8"/>
      <c r="H32" s="8"/>
      <c r="J32" s="8"/>
      <c r="L32" s="8"/>
      <c r="M32" s="156" t="str" cm="1">
        <f t="array" ref="M32:N41">_xlfn.CHOOSECOLS(AgResidue_Equations_CropResidue.VEERG_6_1_1_1__2__MassOfNitrogenInCropResidues_Arguments_Method2(), 1, 2)</f>
        <v>P_c</v>
      </c>
      <c r="N32" s="153" t="str">
        <v>annual production of crop c</v>
      </c>
      <c r="O32" s="165"/>
      <c r="P32" s="156" t="str" cm="1">
        <f t="array" ref="P32:Q41">_xlfn.CHOOSECOLS(AgResidue_Equations_CropResidue.VEERG_6_1_1_1__2__MassOfNitrogenInCropResidues_Arguments_Method2(), 3,4)</f>
        <v>kg</v>
      </c>
      <c r="Q32" s="147" t="str">
        <v>Input</v>
      </c>
      <c r="R32" s="156"/>
    </row>
    <row r="33" spans="1:20" ht="20.100000000000001" customHeight="1" x14ac:dyDescent="0.2">
      <c r="A33" s="5" t="str">
        <f>HYPERLINK("#'8.2.1.1-2 Stationary fuel'!A1", "8.2.1.1-2 Stationary fuel")</f>
        <v>8.2.1.1-2 Stationary fuel</v>
      </c>
      <c r="D33" s="77" t="s">
        <v>407</v>
      </c>
      <c r="E33" s="1" t="str" cm="1">
        <f t="array" ref="E33">AgResidue_Equations_CropResidue.VEERG_6_1_1_1__1__NitrousOxideEmissionsFromCropResidues_Variable()</f>
        <v>E</v>
      </c>
      <c r="F33" s="8"/>
      <c r="G33" s="8"/>
      <c r="H33" s="8"/>
      <c r="J33" s="8"/>
      <c r="M33" s="156" t="str">
        <v>R_AGc</v>
      </c>
      <c r="N33" s="153" t="str">
        <v>residue to crop ratio for crop c</v>
      </c>
      <c r="O33" s="165"/>
      <c r="P33" s="156" t="str">
        <v/>
      </c>
      <c r="Q33" s="148" t="str">
        <v>Constant</v>
      </c>
      <c r="R33" s="156"/>
    </row>
    <row r="34" spans="1:20" ht="20.100000000000001" customHeight="1" x14ac:dyDescent="0.2">
      <c r="A34" s="5" t="str">
        <f>HYPERLINK("#'10.1.1-2 Solid waste treatment'!A1", "10.1.1.1-2 Solid waste")</f>
        <v>10.1.1.1-2 Solid waste</v>
      </c>
      <c r="D34" s="77" t="s">
        <v>118</v>
      </c>
      <c r="E34" s="9" t="str" cm="1">
        <f t="array" ref="E34">AgResidue_Equations_CropResidue.VEERG_6_1_1_1__1__NitrousOxideEmissionsFromCropResidues_Unit()</f>
        <v>t N2O</v>
      </c>
      <c r="F34" s="8"/>
      <c r="G34" s="8"/>
      <c r="H34" s="8"/>
      <c r="J34" s="8"/>
      <c r="M34" s="156" t="str">
        <v>R_BGc</v>
      </c>
      <c r="N34" s="153" t="str">
        <v>below ground-residue to above ground residue ratio for crop c</v>
      </c>
      <c r="O34" s="165"/>
      <c r="P34" s="156" t="str">
        <v/>
      </c>
      <c r="Q34" s="148" t="str">
        <v>Constant</v>
      </c>
      <c r="R34" s="156"/>
    </row>
    <row r="35" spans="1:20" ht="20.100000000000001" customHeight="1" x14ac:dyDescent="0.2">
      <c r="A35" s="5" t="str">
        <f>HYPERLINK("#'14.1.1-2 Purchased electricity'!A1", "14.1.1-2 Purchased electricity")</f>
        <v>14.1.1-2 Purchased electricity</v>
      </c>
      <c r="D35" s="8"/>
      <c r="E35" s="8"/>
      <c r="F35" s="8"/>
      <c r="G35" s="8"/>
      <c r="H35" s="8"/>
      <c r="J35" s="8"/>
      <c r="M35" s="156" t="str">
        <v>F_c</v>
      </c>
      <c r="N35" s="153" t="str">
        <v>fraction of crop residue that is burnt for crop c</v>
      </c>
      <c r="O35" s="165"/>
      <c r="P35" s="156" t="str">
        <v>fraction</v>
      </c>
      <c r="Q35" s="147" t="str">
        <v>Input</v>
      </c>
      <c r="R35" s="156"/>
    </row>
    <row r="36" spans="1:20" ht="20.100000000000001" customHeight="1" x14ac:dyDescent="0.2">
      <c r="A36" s="5" t="str">
        <f>HYPERLINK("#'15 Scope 3'!A1", "15 Scope 3")</f>
        <v>15 Scope 3</v>
      </c>
      <c r="D36" s="156" t="str" cm="1">
        <f t="array" ref="D36:E40">_xlfn.CHOOSECOLS(AgResidue_Equations_CropResidue.VEERG_6_1_1_1__1__NitrousOxideEmissionsFromCropResidues_Arguments(), 1, 2)</f>
        <v>M_c</v>
      </c>
      <c r="E36" s="153" t="str">
        <v>mass of nitrogen in crop c residues returned to the soil</v>
      </c>
      <c r="F36" s="165"/>
      <c r="G36" s="156" t="str" cm="1">
        <f t="array" ref="G36:H40">_xlfn.CHOOSECOLS(AgResidue_Equations_CropResidue.VEERG_6_1_1_1__1__NitrousOxideEmissionsFromCropResidues_Arguments(), 3,4)</f>
        <v>kg N</v>
      </c>
      <c r="H36" s="148" t="str">
        <v>Calculated from 6.1.1.1 (2)</v>
      </c>
      <c r="I36" s="156">
        <f ca="1">VEERG_6_1_1_1__2__MassOfNitrogenInCropResidues_Result_Method1</f>
        <v>29949.323040000003</v>
      </c>
      <c r="J36" s="8"/>
      <c r="M36" s="156" t="str">
        <v>FFOD_c</v>
      </c>
      <c r="N36" s="153" t="str">
        <v>fraction of the crop residue that is removed for crop c</v>
      </c>
      <c r="O36" s="165"/>
      <c r="P36" s="156" t="str">
        <v>fraction</v>
      </c>
      <c r="Q36" s="148" t="str">
        <v>Calculated from 6.1.1.2 (1)</v>
      </c>
      <c r="R36" s="156">
        <f ca="1">VEERG_6_1_1_2__1__FractionOfCropResidueRemovedBaled_Result</f>
        <v>0</v>
      </c>
    </row>
    <row r="37" spans="1:20" ht="20.100000000000001" customHeight="1" x14ac:dyDescent="0.2">
      <c r="D37" s="156" t="str">
        <v>EF_Ni</v>
      </c>
      <c r="E37" s="153" t="str">
        <v>emission factor for crop residues returned to the soil</v>
      </c>
      <c r="F37" s="165"/>
      <c r="G37" s="156" t="str">
        <v>kg N2O-N/kg N</v>
      </c>
      <c r="H37" s="148" t="str">
        <v>Constant</v>
      </c>
      <c r="I37" s="156" cm="1">
        <f t="array" ref="I37">Common_InputFunctions.Utility_LookupValueInTableNumber(I40,Table_SourceData_N2OEFOrganicFert[Climate zone type i],Table_SourceData_N2OEFOrganicFert[EF i N2O])</f>
        <v>5.0000000000000001E-3</v>
      </c>
      <c r="J37" s="8"/>
      <c r="M37" s="156" t="str">
        <v>DM_c</v>
      </c>
      <c r="N37" s="153" t="str">
        <v>dry matter content of crop c</v>
      </c>
      <c r="O37" s="165"/>
      <c r="P37" s="156" t="str">
        <v>kg dry weight/kg crop residue</v>
      </c>
      <c r="Q37" s="148" t="str">
        <v>Constant</v>
      </c>
      <c r="R37" s="156"/>
    </row>
    <row r="38" spans="1:20" ht="20.100000000000001" customHeight="1" x14ac:dyDescent="0.2">
      <c r="D38" s="156" t="str">
        <v>C_N2O</v>
      </c>
      <c r="E38" s="153" t="str">
        <v>factor to convert elemental mass of nitrous oxide to molecular mass</v>
      </c>
      <c r="F38" s="165"/>
      <c r="G38" s="156" t="str">
        <v>dimensionless</v>
      </c>
      <c r="H38" s="148" t="str">
        <v>Constant</v>
      </c>
      <c r="I38" s="156">
        <f>Common_InputFunctions.Utility_LookupValueInTableNumber("N2O",Table_GasToMolecularConversionFactor[Gas],Table_GasToMolecularConversionFactor[Conversion factor combined])</f>
        <v>1.5714285714285714</v>
      </c>
      <c r="J38" s="8"/>
      <c r="M38" s="156" t="str">
        <v>NC_AGc</v>
      </c>
      <c r="N38" s="153" t="str">
        <v>nitrogen content of above-ground crop residue of crop c</v>
      </c>
      <c r="O38" s="165"/>
      <c r="P38" s="156" t="str">
        <v>kg N/kg DM</v>
      </c>
      <c r="Q38" s="148" t="str">
        <v>Constant</v>
      </c>
      <c r="R38" s="156"/>
    </row>
    <row r="39" spans="1:20" ht="20.100000000000001" customHeight="1" x14ac:dyDescent="0.2">
      <c r="A39" s="82" t="s">
        <v>1</v>
      </c>
      <c r="D39" s="156" t="str">
        <v>c</v>
      </c>
      <c r="E39" s="153" t="str">
        <v>Crop type</v>
      </c>
      <c r="F39" s="165"/>
      <c r="G39" s="156" t="str">
        <v/>
      </c>
      <c r="H39" s="147" t="str">
        <v>Input</v>
      </c>
      <c r="I39" s="156" t="str">
        <f>X_Cell_Crop_CropType</f>
        <v>Cotton</v>
      </c>
      <c r="J39" s="8"/>
      <c r="M39" s="156" t="str">
        <v>NC_BGc</v>
      </c>
      <c r="N39" s="153" t="str">
        <v>nitrogen content of below-ground crop residue of crop c</v>
      </c>
      <c r="O39" s="165"/>
      <c r="P39" s="156" t="str">
        <v>kg N/kg DM</v>
      </c>
      <c r="Q39" s="148" t="str">
        <v>Constant</v>
      </c>
      <c r="R39" s="156"/>
    </row>
    <row r="40" spans="1:20" ht="20.100000000000001" customHeight="1" x14ac:dyDescent="0.2">
      <c r="A40" s="5" t="str">
        <f>HYPERLINK("#'Constants - Ag Residue'!A1", "Constants - Ag residue")</f>
        <v>Constants - Ag residue</v>
      </c>
      <c r="D40" s="156" t="str">
        <v>i</v>
      </c>
      <c r="E40" s="153" t="str">
        <v>Wet or dry climate zone</v>
      </c>
      <c r="F40" s="165"/>
      <c r="G40" s="156" t="str">
        <v/>
      </c>
      <c r="H40" s="147" t="str">
        <v>Input</v>
      </c>
      <c r="I40" s="156" t="str">
        <f>X_Cell_Site_WetOrDryClimateZone</f>
        <v>Dry climate zone</v>
      </c>
      <c r="M40" s="156" t="str">
        <v>c</v>
      </c>
      <c r="N40" s="153" t="str">
        <v>Crop type</v>
      </c>
      <c r="O40" s="165"/>
      <c r="P40" s="156" t="str">
        <v/>
      </c>
      <c r="Q40" s="147" t="str">
        <v>Input</v>
      </c>
      <c r="R40" s="156"/>
    </row>
    <row r="41" spans="1:20" ht="20.100000000000001" customHeight="1" x14ac:dyDescent="0.2">
      <c r="A41" s="5" t="str">
        <f>HYPERLINK("#'Constants - Electricity'!A1", "Constants - Electricity")</f>
        <v>Constants - Electricity</v>
      </c>
      <c r="D41" s="8"/>
      <c r="E41" s="8"/>
      <c r="F41" s="8"/>
      <c r="G41" s="8"/>
      <c r="H41" s="8"/>
      <c r="M41" s="156" t="str">
        <v>State</v>
      </c>
      <c r="N41" s="153" t="str">
        <v>State or territory</v>
      </c>
      <c r="O41" s="165"/>
      <c r="P41" s="156" t="str">
        <v/>
      </c>
      <c r="Q41" s="147" t="str">
        <v>Input</v>
      </c>
      <c r="R41" s="156"/>
    </row>
    <row r="42" spans="1:20" ht="20.100000000000001" customHeight="1" x14ac:dyDescent="0.2">
      <c r="A42" s="5" t="str">
        <f>HYPERLINK("#'Constants - Fertiliser'!A1", "Constants - Fertiliser")</f>
        <v>Constants - Fertiliser</v>
      </c>
      <c r="D42" s="87" t="s">
        <v>430</v>
      </c>
      <c r="E42" s="88" cm="1">
        <f t="array" aca="1" ref="E42" ca="1">AgResidue_Equations_CropResidue.VEERG_6_1_1_1__1__NitrousOxideEmissionsFromCropResidues(I36,I37,I38)</f>
        <v>0.23531610960000002</v>
      </c>
      <c r="F42" s="97" t="str">
        <f>$E$34</f>
        <v>t N2O</v>
      </c>
      <c r="H42" s="8"/>
      <c r="M42" s="8"/>
      <c r="N42" s="8"/>
      <c r="O42" s="8"/>
      <c r="P42" s="8"/>
      <c r="Q42" s="8"/>
    </row>
    <row r="43" spans="1:20" ht="20.100000000000001" customHeight="1" x14ac:dyDescent="0.2">
      <c r="A43" s="5" t="str">
        <f>HYPERLINK("#'Constants - Fuel'!A1", "Constants - Fuel")</f>
        <v>Constants - Fuel</v>
      </c>
      <c r="H43" s="8"/>
      <c r="M43" s="90" t="s">
        <v>743</v>
      </c>
      <c r="N43" s="224" cm="1">
        <f t="array" aca="1" ref="N43" ca="1">AgResidue_Equations_CropResidue.VEERG_6_1_1_1__2__MassOfNitrogenInCropResidues(I13,I14,I16,R36,I18,I19,I15,I20)</f>
        <v>29949.323040000003</v>
      </c>
      <c r="O43" s="162" t="str">
        <f>$E$11</f>
        <v>kg N</v>
      </c>
    </row>
    <row r="44" spans="1:20" ht="20.100000000000001" customHeight="1" x14ac:dyDescent="0.2">
      <c r="A44" s="5" t="str">
        <f>HYPERLINK("#'Constants - Scope 3'!A1", "Constants - Scope 3")</f>
        <v>Constants - Scope 3</v>
      </c>
      <c r="D44" s="145" t="str" cm="1">
        <f t="array" ref="D44:E45">Common_Equations.Common_ConvertN2OToCO2e_Arguments()</f>
        <v>EN2O</v>
      </c>
      <c r="E44" s="146" t="str">
        <v>Nitrous oxide emissions (t N2O)</v>
      </c>
      <c r="F44" s="155"/>
      <c r="G44" s="15">
        <f ca="1">VEERG_6_1_1_1__1__NitrousOxideEmissionsFromCropResidues_Result_Method1</f>
        <v>0.23531610960000002</v>
      </c>
      <c r="M44" s="77"/>
      <c r="N44" s="8"/>
      <c r="O44" s="8"/>
      <c r="P44" s="8"/>
      <c r="Q44" s="8"/>
    </row>
    <row r="45" spans="1:20" ht="20.100000000000001" customHeight="1" x14ac:dyDescent="0.2">
      <c r="A45" s="5" t="str">
        <f>HYPERLINK("#'Constants - Solid Waste'!A1", "Constants - Solid Waste")</f>
        <v>Constants - Solid Waste</v>
      </c>
      <c r="D45" s="145" t="str">
        <v>GWPN2O</v>
      </c>
      <c r="E45" s="146" t="str">
        <v>Global warming potential for nitrous oxide (t CO2-e / t N2O)</v>
      </c>
      <c r="F45" s="155"/>
      <c r="G45" s="15">
        <f>Common_InputFunctions.Utility_LookupValueInTableNumber("N2O",Table_GWPData[Gas],Table_GWPData[CO2-e factor])</f>
        <v>265</v>
      </c>
      <c r="J45" s="8"/>
      <c r="M45" s="8"/>
      <c r="N45" s="8"/>
      <c r="O45" s="8"/>
      <c r="P45" s="8"/>
      <c r="Q45" s="8"/>
    </row>
    <row r="46" spans="1:20" ht="20.100000000000001" customHeight="1" x14ac:dyDescent="0.2">
      <c r="A46" s="5" t="str">
        <f>HYPERLINK("#'Constants - Common'!A1", "Constants - Common")</f>
        <v>Constants - Common</v>
      </c>
      <c r="H46" s="8"/>
      <c r="J46" s="8"/>
      <c r="L46" s="225"/>
      <c r="M46" s="225"/>
      <c r="N46" s="225"/>
      <c r="O46" s="225"/>
      <c r="P46" s="225"/>
      <c r="Q46" s="225"/>
      <c r="R46" s="225"/>
      <c r="S46" s="225"/>
      <c r="T46" s="225"/>
    </row>
    <row r="47" spans="1:20" ht="20.100000000000001" customHeight="1" x14ac:dyDescent="0.2">
      <c r="A47" s="5" t="str">
        <f>HYPERLINK("#'Constants - Common Livestock'!A1", "Constants - Common Livestock")</f>
        <v>Constants - Common Livestock</v>
      </c>
      <c r="D47" s="85" t="s">
        <v>431</v>
      </c>
      <c r="E47" s="85" cm="1">
        <f t="array" aca="1" ref="E47" ca="1">Common_Equations.Common_ConvertN2OToCO2e(G44,G45)</f>
        <v>62.358769044000006</v>
      </c>
      <c r="F47" s="91" t="str" cm="1">
        <f t="array" ref="F47">Common_Equations.Common_ConvertN2OToCO2e_Unit()</f>
        <v>t CO2e</v>
      </c>
      <c r="H47" s="8"/>
      <c r="J47" s="8"/>
      <c r="L47" s="8"/>
      <c r="M47" s="2" t="str" cm="1">
        <f t="array" ref="M47">AgResidue_Equations_CropResidue.VEERG_6_1_1_1__1__NitrousOxideEmissionsFromCropResidues_Title()</f>
        <v>Nitrous oxide emissions from the return of crop residues across all crops c to the soil</v>
      </c>
      <c r="N47" s="8"/>
      <c r="O47" s="8"/>
      <c r="P47" s="8"/>
      <c r="Q47" s="8"/>
    </row>
    <row r="48" spans="1:20" ht="20.100000000000001" customHeight="1" x14ac:dyDescent="0.2">
      <c r="D48" s="8"/>
      <c r="E48" s="8"/>
      <c r="F48" s="226"/>
      <c r="G48" s="8"/>
      <c r="H48" s="8"/>
      <c r="I48" s="8"/>
      <c r="J48" s="8"/>
      <c r="M48" s="17" t="str" cm="1">
        <f t="array" ref="M48">AgResidue_Equations_CropResidue.VEERG_6_1_1_1__1__NitrousOxideEmissionsFromCropResidues_Source()</f>
        <v>VEERG 2026: 6.1.1.1, Equation (1)</v>
      </c>
      <c r="N48" s="8"/>
      <c r="O48" s="8"/>
      <c r="P48" s="8"/>
      <c r="Q48" s="8"/>
    </row>
    <row r="49" spans="1:18" ht="20.100000000000001" customHeight="1" x14ac:dyDescent="0.2">
      <c r="J49" s="8"/>
      <c r="L49" s="8"/>
      <c r="M49" s="140" t="s">
        <v>402</v>
      </c>
      <c r="N49" s="140" t="str">
        <f ca="1">Common_InputFunctions.Utility_DisplayFunctionName(VEERG_6_1_1_1__1__NitrousOxideEmissionsFromCropResidues_Result_Method2)</f>
        <v>=AgResidue_Equations_CropResidue.VEERG_6_1_1_1__1__NitrousOxideEmissionsFromCropResidues</v>
      </c>
      <c r="O49" s="8"/>
      <c r="P49" s="8"/>
      <c r="Q49" s="8"/>
    </row>
    <row r="50" spans="1:18" ht="20.100000000000001" customHeight="1" x14ac:dyDescent="0.2">
      <c r="J50" s="8"/>
      <c r="L50" s="8"/>
      <c r="O50" s="8"/>
      <c r="P50" s="8"/>
      <c r="Q50" s="8"/>
    </row>
    <row r="51" spans="1:18" ht="20.100000000000001" customHeight="1" x14ac:dyDescent="0.2">
      <c r="J51" s="8"/>
      <c r="L51" s="8"/>
      <c r="M51" s="8"/>
      <c r="N51" s="8"/>
      <c r="O51" s="8"/>
      <c r="P51" s="8"/>
      <c r="Q51" s="8"/>
    </row>
    <row r="52" spans="1:18" ht="20.100000000000001" customHeight="1" x14ac:dyDescent="0.2">
      <c r="J52" s="8"/>
      <c r="L52" s="8"/>
      <c r="M52" s="77" t="s">
        <v>407</v>
      </c>
      <c r="N52" s="1" t="str" cm="1">
        <f t="array" ref="N52">AgResidue_Equations_CropResidue.VEERG_6_1_1_1__1__NitrousOxideEmissionsFromCropResidues_Variable()</f>
        <v>E</v>
      </c>
      <c r="O52" s="8"/>
      <c r="P52" s="8"/>
      <c r="Q52" s="8"/>
    </row>
    <row r="53" spans="1:18" ht="20.100000000000001" customHeight="1" x14ac:dyDescent="0.2">
      <c r="L53" s="8"/>
      <c r="M53" s="77" t="s">
        <v>118</v>
      </c>
      <c r="N53" s="9" t="str" cm="1">
        <f t="array" ref="N53">AgResidue_Equations_CropResidue.VEERG_6_1_1_1__1__NitrousOxideEmissionsFromCropResidues_Unit()</f>
        <v>t N2O</v>
      </c>
      <c r="O53" s="8"/>
      <c r="P53" s="8"/>
      <c r="Q53" s="8"/>
    </row>
    <row r="54" spans="1:18" ht="20.100000000000001" customHeight="1" x14ac:dyDescent="0.2">
      <c r="L54" s="8"/>
      <c r="M54" s="8"/>
      <c r="N54" s="8"/>
      <c r="O54" s="8"/>
      <c r="P54" s="8"/>
      <c r="Q54" s="8"/>
    </row>
    <row r="55" spans="1:18" ht="20.100000000000001" customHeight="1" x14ac:dyDescent="0.2">
      <c r="L55" s="8"/>
      <c r="M55" s="156" t="str" cm="1">
        <f t="array" ref="M55:N59">_xlfn.CHOOSECOLS(AgResidue_Equations_CropResidue.VEERG_6_1_1_1__1__NitrousOxideEmissionsFromCropResidues_Arguments(), 1, 2)</f>
        <v>M_c</v>
      </c>
      <c r="N55" s="153" t="str">
        <v>mass of nitrogen in crop c residues returned to the soil</v>
      </c>
      <c r="O55" s="165"/>
      <c r="P55" s="156" t="str" cm="1">
        <f t="array" ref="P55:Q59">_xlfn.CHOOSECOLS(AgResidue_Equations_CropResidue.VEERG_6_1_1_1__1__NitrousOxideEmissionsFromCropResidues_Arguments(), 3,4)</f>
        <v>kg N</v>
      </c>
      <c r="Q55" s="148" t="str">
        <v>Calculated from 6.1.1.1 (2)</v>
      </c>
      <c r="R55" s="156">
        <f ca="1">VEERG_6_1_1_1__2__MassOfNitrogenInCropResidues_Result_Method2</f>
        <v>29949.323040000003</v>
      </c>
    </row>
    <row r="56" spans="1:18" ht="20.100000000000001" customHeight="1" x14ac:dyDescent="0.2">
      <c r="L56" s="8"/>
      <c r="M56" s="156" t="str">
        <v>EF_Ni</v>
      </c>
      <c r="N56" s="153" t="str">
        <v>emission factor for crop residues returned to the soil</v>
      </c>
      <c r="O56" s="165"/>
      <c r="P56" s="156" t="str">
        <v>kg N2O-N/kg N</v>
      </c>
      <c r="Q56" s="148" t="str">
        <v>Constant</v>
      </c>
      <c r="R56" s="156" cm="1">
        <f t="array" ref="R56">Common_InputFunctions.Utility_LookupValueInTableNumber(R59,Table_SourceData_N2OEFOrganicFert[Climate zone type i],Table_SourceData_N2OEFOrganicFert[EF i N2O])</f>
        <v>5.0000000000000001E-3</v>
      </c>
    </row>
    <row r="57" spans="1:18" ht="20.100000000000001" customHeight="1" x14ac:dyDescent="0.2">
      <c r="L57" s="8"/>
      <c r="M57" s="156" t="str">
        <v>C_N2O</v>
      </c>
      <c r="N57" s="153" t="str">
        <v>factor to convert elemental mass of nitrous oxide to molecular mass</v>
      </c>
      <c r="O57" s="165"/>
      <c r="P57" s="156" t="str">
        <v>dimensionless</v>
      </c>
      <c r="Q57" s="148" t="str">
        <v>Constant</v>
      </c>
      <c r="R57" s="156">
        <f>Common_InputFunctions.Utility_LookupValueInTableNumber("N2O",Table_GasToMolecularConversionFactor[Gas],Table_GasToMolecularConversionFactor[Conversion factor combined])</f>
        <v>1.5714285714285714</v>
      </c>
    </row>
    <row r="58" spans="1:18" ht="20.100000000000001" customHeight="1" x14ac:dyDescent="0.2">
      <c r="A58" s="81" t="str">
        <f>HYPERLINK("#A1", "▲ Back to top")</f>
        <v>▲ Back to top</v>
      </c>
      <c r="L58" s="8"/>
      <c r="M58" s="156" t="str">
        <v>c</v>
      </c>
      <c r="N58" s="153" t="str">
        <v>Crop type</v>
      </c>
      <c r="O58" s="165"/>
      <c r="P58" s="156" t="str">
        <v/>
      </c>
      <c r="Q58" s="147" t="str">
        <v>Input</v>
      </c>
      <c r="R58" s="156" t="str">
        <f>X_Cell_Crop_CropType</f>
        <v>Cotton</v>
      </c>
    </row>
    <row r="59" spans="1:18" ht="20.100000000000001" customHeight="1" x14ac:dyDescent="0.2">
      <c r="L59" s="8"/>
      <c r="M59" s="156" t="str">
        <v>i</v>
      </c>
      <c r="N59" s="153" t="str">
        <v>Wet or dry climate zone</v>
      </c>
      <c r="O59" s="165"/>
      <c r="P59" s="156" t="str">
        <v/>
      </c>
      <c r="Q59" s="147" t="str">
        <v>Input</v>
      </c>
      <c r="R59" s="156" t="str">
        <f>X_Cell_Site_WetOrDryClimateZone</f>
        <v>Dry climate zone</v>
      </c>
    </row>
    <row r="60" spans="1:18" ht="20.100000000000001" customHeight="1" x14ac:dyDescent="0.2">
      <c r="L60" s="8"/>
      <c r="M60" s="8"/>
      <c r="N60" s="8"/>
      <c r="O60" s="8"/>
      <c r="P60" s="8"/>
      <c r="Q60" s="8"/>
    </row>
    <row r="61" spans="1:18" ht="20.100000000000001" customHeight="1" x14ac:dyDescent="0.2">
      <c r="L61" s="8"/>
      <c r="M61" s="87" t="s">
        <v>430</v>
      </c>
      <c r="N61" s="88" cm="1">
        <f t="array" aca="1" ref="N61" ca="1">AgResidue_Equations_CropResidue.VEERG_6_1_1_1__1__NitrousOxideEmissionsFromCropResidues(R55,R56,R57)</f>
        <v>0.23531610960000002</v>
      </c>
      <c r="O61" s="97" t="str">
        <f>$E$34</f>
        <v>t N2O</v>
      </c>
      <c r="Q61" s="8"/>
    </row>
    <row r="62" spans="1:18" ht="20.100000000000001" customHeight="1" x14ac:dyDescent="0.2">
      <c r="L62" s="8"/>
      <c r="Q62" s="8"/>
    </row>
    <row r="63" spans="1:18" ht="20.100000000000001" customHeight="1" x14ac:dyDescent="0.2">
      <c r="L63" s="8"/>
      <c r="M63" s="145" t="str" cm="1">
        <f t="array" ref="M63:N64">Common_Equations.Common_ConvertN2OToCO2e_Arguments()</f>
        <v>EN2O</v>
      </c>
      <c r="N63" s="146" t="str">
        <v>Nitrous oxide emissions (t N2O)</v>
      </c>
      <c r="O63" s="155"/>
      <c r="P63" s="15">
        <f ca="1">VEERG_6_1_1_1__1__NitrousOxideEmissionsFromCropResidues_Result_Method2</f>
        <v>0.23531610960000002</v>
      </c>
    </row>
    <row r="64" spans="1:18" ht="20.100000000000001" customHeight="1" x14ac:dyDescent="0.2">
      <c r="L64" s="8"/>
      <c r="M64" s="145" t="str">
        <v>GWPN2O</v>
      </c>
      <c r="N64" s="146" t="str">
        <v>Global warming potential for nitrous oxide (t CO2-e / t N2O)</v>
      </c>
      <c r="O64" s="155"/>
      <c r="P64" s="15">
        <f>Common_InputFunctions.Utility_LookupValueInTableNumber("N2O",Table_GWPData[Gas],Table_GWPData[CO2-e factor])</f>
        <v>265</v>
      </c>
    </row>
    <row r="65" spans="12:18" ht="20.100000000000001" customHeight="1" x14ac:dyDescent="0.2">
      <c r="L65" s="8"/>
      <c r="Q65" s="8"/>
    </row>
    <row r="66" spans="12:18" ht="20.100000000000001" customHeight="1" x14ac:dyDescent="0.2">
      <c r="L66" s="8"/>
      <c r="M66" s="85" t="s">
        <v>431</v>
      </c>
      <c r="N66" s="85" cm="1">
        <f t="array" aca="1" ref="N66" ca="1">Common_Equations.Common_ConvertN2OToCO2e(P63,P64)</f>
        <v>62.358769044000006</v>
      </c>
      <c r="O66" s="91" t="str" cm="1">
        <f t="array" ref="O66">Common_Equations.Common_ConvertN2OToCO2e_Unit()</f>
        <v>t CO2e</v>
      </c>
      <c r="Q66" s="8"/>
    </row>
    <row r="67" spans="12:18" ht="20.100000000000001" customHeight="1" x14ac:dyDescent="0.2">
      <c r="L67" s="8"/>
      <c r="M67" s="8"/>
      <c r="N67" s="8"/>
      <c r="O67" s="226"/>
      <c r="P67" s="8"/>
      <c r="Q67" s="8"/>
      <c r="R67" s="8"/>
    </row>
    <row r="68" spans="12:18" ht="20.100000000000001" customHeight="1" x14ac:dyDescent="0.2">
      <c r="L68" s="8"/>
    </row>
    <row r="69" spans="12:18" ht="20.100000000000001" customHeight="1" x14ac:dyDescent="0.2">
      <c r="L69" s="8"/>
    </row>
    <row r="86" spans="12:12" ht="20.100000000000001" customHeight="1" x14ac:dyDescent="0.2">
      <c r="L86" s="8"/>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S172 O150:R150 E269 N166:S166 O143:S144 E228 O167:S167 G132 I129:I133 F134:I134 F129:F132 H128:H132 G129 F148:I148 I149 F150:I150 R149:S149" xr:uid="{19B369BD-D2F0-4DE6-8439-209E82BA4173}"/>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086F-84C5-43EC-8404-E30F29DC93B6}">
  <sheetPr>
    <tabColor rgb="FF008000"/>
  </sheetPr>
  <dimension ref="A1:T61"/>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744</v>
      </c>
    </row>
    <row r="2" spans="1:20" s="3" customFormat="1" ht="20.100000000000001" customHeight="1" x14ac:dyDescent="0.2">
      <c r="A2"/>
    </row>
    <row r="3" spans="1:20" ht="20.100000000000001" customHeight="1" x14ac:dyDescent="0.2">
      <c r="A3" s="5" t="str">
        <f>HYPERLINK("#'Home'!A1", "Home")</f>
        <v>Home</v>
      </c>
      <c r="C3" s="23"/>
      <c r="D3" s="23" t="s">
        <v>128</v>
      </c>
      <c r="E3" s="23"/>
      <c r="F3" s="23"/>
      <c r="G3" s="23"/>
      <c r="H3" s="23"/>
      <c r="I3" s="23"/>
      <c r="J3" s="23"/>
      <c r="K3" s="23"/>
      <c r="M3" s="23"/>
      <c r="N3" s="23" t="s">
        <v>129</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EI")</f>
        <v>Results - Product EI</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
      <c r="C6" s="8"/>
      <c r="D6" s="1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
      <c r="C7" s="8"/>
      <c r="D7" s="140" t="s">
        <v>402</v>
      </c>
      <c r="E7" s="140" t="str" cm="1">
        <f t="array" aca="1" ref="E7" ca="1">Common_InputFunctions.Utility_DisplayFunctionName(I24)</f>
        <v>=AgResidue_Equations_Leaching.VEERG_6_3_1_1__2__MassOfNitrogenLostThroughLeachingAndRunoff</v>
      </c>
      <c r="F7" s="140"/>
      <c r="G7" s="8"/>
      <c r="H7" s="8"/>
      <c r="I7" s="8"/>
      <c r="J7" s="8"/>
      <c r="K7" s="8"/>
    </row>
    <row r="8" spans="1:20" ht="20.100000000000001" customHeight="1" x14ac:dyDescent="0.2">
      <c r="A8" s="7" t="s">
        <v>0</v>
      </c>
      <c r="C8" s="8"/>
      <c r="F8" s="8"/>
      <c r="G8" s="8"/>
      <c r="H8" s="8"/>
      <c r="I8" s="8"/>
      <c r="J8" s="8"/>
      <c r="K8" s="8"/>
    </row>
    <row r="9" spans="1:20" ht="20.100000000000001" customHeight="1" x14ac:dyDescent="0.2">
      <c r="A9" s="5" t="str">
        <f>HYPERLINK("#'Input - Enterprise'!A1", "Enterprise")</f>
        <v>Enterprise</v>
      </c>
      <c r="C9" s="8"/>
      <c r="D9" s="8"/>
      <c r="E9" s="8"/>
      <c r="F9" s="8"/>
      <c r="G9" s="8"/>
      <c r="H9" s="8"/>
      <c r="I9" s="8"/>
      <c r="J9" s="8"/>
      <c r="K9" s="8"/>
    </row>
    <row r="10" spans="1:20" ht="20.100000000000001" customHeight="1" x14ac:dyDescent="0.2">
      <c r="A10" s="5" t="str">
        <f>HYPERLINK("#'Input - Site'!A1", "Site")</f>
        <v>Site</v>
      </c>
      <c r="C10" s="8"/>
      <c r="D10" s="60" t="s">
        <v>407</v>
      </c>
      <c r="E10" s="8" t="str" cm="1">
        <f t="array" ref="E10">AgResidue_Equations_Leaching.VEERG_6_3_1_1__2__MassOfNitrogenLostThroughLeachingAndRunoff_Variable()</f>
        <v>M_leachcp</v>
      </c>
      <c r="F10" s="8"/>
      <c r="G10" s="17"/>
      <c r="H10" s="8"/>
      <c r="I10" s="8"/>
      <c r="J10" s="8"/>
      <c r="K10" s="8"/>
    </row>
    <row r="11" spans="1:20" ht="20.100000000000001" customHeight="1" x14ac:dyDescent="0.2">
      <c r="A11" s="5" t="str">
        <f>HYPERLINK("#'Input - Crop'!A1", "Crop")</f>
        <v>Crop</v>
      </c>
      <c r="C11" s="8"/>
      <c r="D11" s="60" t="s">
        <v>118</v>
      </c>
      <c r="E11" s="9" t="str" cm="1">
        <f t="array" ref="E11">AgResidue_Equations_Leaching.VEERG_6_3_1_1__2__MassOfNitrogenLostThroughLeachingAndRunoff_Unit()</f>
        <v>kg N</v>
      </c>
      <c r="F11" s="8"/>
      <c r="G11" s="8"/>
      <c r="H11" s="8"/>
      <c r="I11" s="8"/>
      <c r="J11" s="8"/>
      <c r="K11" s="8"/>
    </row>
    <row r="12" spans="1:20" ht="20.100000000000001" customHeight="1" x14ac:dyDescent="0.2">
      <c r="A12" s="5" t="str">
        <f>HYPERLINK("#'Input - Fert Prod System'!A1", "Fert Prod System")</f>
        <v>Fert Prod System</v>
      </c>
      <c r="C12" s="8"/>
      <c r="D12" s="8"/>
      <c r="E12" s="8"/>
      <c r="F12" s="8"/>
      <c r="G12" s="8"/>
      <c r="H12" s="8"/>
      <c r="I12" s="8"/>
      <c r="J12" s="8"/>
      <c r="K12" s="8"/>
    </row>
    <row r="13" spans="1:20" ht="20.100000000000001" customHeight="1" x14ac:dyDescent="0.2">
      <c r="A13" s="5" t="str">
        <f>HYPERLINK("#'Input - Fertiliser'!A1", "Fertiliser")</f>
        <v>Fertiliser</v>
      </c>
      <c r="C13" s="8"/>
      <c r="D13" s="156" t="str" cm="1">
        <f t="array" ref="D13:E19">_xlfn.CHOOSECOLS(AgResidue_Equations_Leaching.VEERG_6_3_1_1__2__MassOfNitrogenLostThroughLeachingAndRunoff_Arguments(), 1,2)</f>
        <v>M_cp</v>
      </c>
      <c r="E13" s="153" t="str">
        <v>mass of nitrogen in crop residues c or pasture residues p applied to soils</v>
      </c>
      <c r="F13" s="164"/>
      <c r="G13" s="165"/>
      <c r="H13" s="156" t="str" cm="1">
        <f t="array" ref="H13:I19">_xlfn.CHOOSECOLS(AgResidue_Equations_Leaching.VEERG_6_3_1_1__2__MassOfNitrogenLostThroughLeachingAndRunoff_Arguments(), 3,4)</f>
        <v>kg N</v>
      </c>
      <c r="I13" s="148" t="str">
        <v>Calc from 6.1.1.1 (2) and 6.2.1.1 (2)</v>
      </c>
      <c r="J13" s="149" t="str" cm="1">
        <f t="array" aca="1" ref="J13" ca="1">HYPERLINK(Common_InputFunctions.Utility_SourceHyperlink($D$21), $D$21)</f>
        <v>M1_Table_M_leach_cp</v>
      </c>
      <c r="K13" s="8"/>
    </row>
    <row r="14" spans="1:20" ht="20.100000000000001" customHeight="1" x14ac:dyDescent="0.2">
      <c r="A14" s="5" t="str">
        <f>HYPERLINK("#'Input - Fuel'!A1", "Fuel")</f>
        <v>Fuel</v>
      </c>
      <c r="C14" s="8"/>
      <c r="D14" s="156" t="str">
        <v>FracWET_j</v>
      </c>
      <c r="E14" s="153" t="str">
        <v>fraction of N that is available for leaching and runoff from the leaching zone z and irrigation type ir</v>
      </c>
      <c r="F14" s="164"/>
      <c r="G14" s="165"/>
      <c r="H14" s="156" t="str">
        <v>fraction</v>
      </c>
      <c r="I14" s="148" t="str">
        <v>Constant</v>
      </c>
      <c r="J14" s="149" t="str" cm="1">
        <f t="array" aca="1" ref="J14" ca="1">HYPERLINK(Common_InputFunctions.Utility_SourceHyperlink($D$21), $D$21)</f>
        <v>M1_Table_M_leach_cp</v>
      </c>
      <c r="K14" s="8"/>
    </row>
    <row r="15" spans="1:20" ht="20.100000000000001" customHeight="1" x14ac:dyDescent="0.2">
      <c r="A15" s="5" t="str">
        <f>HYPERLINK("#'Input - Electricity'!A1", "Electricity")</f>
        <v>Electricity</v>
      </c>
      <c r="C15" s="8"/>
      <c r="D15" s="156" t="str">
        <v>FracLEACH</v>
      </c>
      <c r="E15" s="153" t="str">
        <v>fraction of N that is lost through leaching and runoff</v>
      </c>
      <c r="F15" s="164"/>
      <c r="G15" s="165"/>
      <c r="H15" s="156" t="str">
        <v>fraction</v>
      </c>
      <c r="I15" s="148" t="str">
        <v>Constant</v>
      </c>
      <c r="J15" s="156">
        <f>'Constants - Common'!$E$164</f>
        <v>0.24</v>
      </c>
      <c r="K15" s="8"/>
    </row>
    <row r="16" spans="1:20" ht="20.100000000000001" customHeight="1" x14ac:dyDescent="0.2">
      <c r="A16" s="5" t="str">
        <f>HYPERLINK("#'Input - Common farm inputs'!A1", "Common farm inputs")</f>
        <v>Common farm inputs</v>
      </c>
      <c r="C16" s="8"/>
      <c r="D16" s="156" t="str">
        <v>z</v>
      </c>
      <c r="E16" s="153" t="str">
        <v>Location in leaching zone</v>
      </c>
      <c r="F16" s="164"/>
      <c r="G16" s="165"/>
      <c r="H16" s="156" t="str">
        <v/>
      </c>
      <c r="I16" s="147" t="str">
        <v>Input</v>
      </c>
      <c r="J16" s="149" t="str" cm="1">
        <f t="array" aca="1" ref="J16" ca="1">HYPERLINK(Common_InputFunctions.Utility_SourceHyperlink($D$21), $D$21)</f>
        <v>M1_Table_M_leach_cp</v>
      </c>
      <c r="K16" s="8"/>
    </row>
    <row r="17" spans="1:20" ht="20.100000000000001" customHeight="1" x14ac:dyDescent="0.2">
      <c r="A17" s="5" t="str">
        <f>HYPERLINK("#'Input - Crop pasture farm input'!A1", "Crop pasture farm input")</f>
        <v>Crop pasture farm input</v>
      </c>
      <c r="C17" s="8"/>
      <c r="D17" s="156" t="str">
        <v>c</v>
      </c>
      <c r="E17" s="153" t="str">
        <v>Crop residue type</v>
      </c>
      <c r="F17" s="164"/>
      <c r="G17" s="165"/>
      <c r="H17" s="156" t="str">
        <v/>
      </c>
      <c r="I17" s="147" t="str">
        <v>Input</v>
      </c>
      <c r="J17" s="156" t="str">
        <f>X_Cell_Crop_CropType</f>
        <v>Cotton</v>
      </c>
      <c r="K17" s="8"/>
    </row>
    <row r="18" spans="1:20" ht="20.100000000000001" customHeight="1" x14ac:dyDescent="0.2">
      <c r="A18" s="5" t="str">
        <f>HYPERLINK("#'Input - Freight'!A1", "Freight")</f>
        <v>Freight</v>
      </c>
      <c r="C18" s="8"/>
      <c r="D18" s="156" t="str">
        <v>p</v>
      </c>
      <c r="E18" s="153" t="str">
        <v>Pasture residue type</v>
      </c>
      <c r="F18" s="164"/>
      <c r="G18" s="165"/>
      <c r="H18" s="156" t="str">
        <v/>
      </c>
      <c r="I18" s="147" t="str">
        <v>Input</v>
      </c>
      <c r="J18" s="156" t="s">
        <v>745</v>
      </c>
      <c r="K18" s="8"/>
    </row>
    <row r="19" spans="1:20" ht="20.100000000000001" customHeight="1" x14ac:dyDescent="0.2">
      <c r="A19" s="5" t="str">
        <f>HYPERLINK("#'Input - Solid waste'!A1", "Solid waste")</f>
        <v>Solid waste</v>
      </c>
      <c r="C19" s="8"/>
      <c r="D19" s="156" t="str">
        <v>ir</v>
      </c>
      <c r="E19" s="153" t="str">
        <v>Irrigation type</v>
      </c>
      <c r="F19" s="164"/>
      <c r="G19" s="165"/>
      <c r="H19" s="156" t="str">
        <v/>
      </c>
      <c r="I19" s="147" t="str">
        <v>Input</v>
      </c>
      <c r="J19" s="149" t="str" cm="1">
        <f t="array" aca="1" ref="J19" ca="1">HYPERLINK(Common_InputFunctions.Utility_SourceHyperlink($D$21), $D$21)</f>
        <v>M1_Table_M_leach_cp</v>
      </c>
      <c r="K19" s="8"/>
    </row>
    <row r="20" spans="1:20" ht="20.100000000000001" customHeight="1" x14ac:dyDescent="0.2">
      <c r="A20" s="5" t="str">
        <f>HYPERLINK("#'Input - Data quality'!A1", "Data quality")</f>
        <v>Data quality</v>
      </c>
      <c r="C20" s="8"/>
      <c r="D20" s="8"/>
      <c r="E20" s="8"/>
      <c r="F20" s="8"/>
      <c r="G20" s="8"/>
      <c r="H20" s="8"/>
      <c r="I20" s="8"/>
      <c r="J20" s="8"/>
      <c r="K20" s="8"/>
    </row>
    <row r="21" spans="1:20" ht="20.100000000000001" customHeight="1" x14ac:dyDescent="0.2">
      <c r="C21" s="8"/>
      <c r="D21" s="141" t="s">
        <v>746</v>
      </c>
      <c r="E21" s="8"/>
      <c r="F21" s="8"/>
      <c r="G21" s="8"/>
      <c r="H21" s="8"/>
      <c r="I21" s="8"/>
      <c r="J21" s="8"/>
      <c r="K21" s="8"/>
      <c r="N21" s="141" t="s">
        <v>747</v>
      </c>
      <c r="O21" s="8"/>
      <c r="P21" s="8"/>
      <c r="Q21" s="8"/>
      <c r="R21" s="8"/>
      <c r="S21" s="8"/>
    </row>
    <row r="22" spans="1:20" ht="20.100000000000001" customHeight="1" x14ac:dyDescent="0.2">
      <c r="C22" s="8"/>
      <c r="D22" s="142" t="s">
        <v>748</v>
      </c>
      <c r="E22" s="8"/>
      <c r="F22" s="8"/>
      <c r="G22" s="8"/>
      <c r="H22" s="8"/>
      <c r="I22" s="8"/>
      <c r="J22" s="8"/>
      <c r="K22" s="8"/>
      <c r="N22" s="142" t="s">
        <v>749</v>
      </c>
      <c r="O22" s="8"/>
      <c r="P22" s="8"/>
      <c r="Q22" s="8"/>
      <c r="R22" s="8"/>
      <c r="S22" s="8"/>
    </row>
    <row r="23" spans="1:20" ht="20.100000000000001" customHeight="1" x14ac:dyDescent="0.2">
      <c r="A23" s="6" t="s">
        <v>2</v>
      </c>
      <c r="C23" s="8"/>
      <c r="D23" s="80" t="s">
        <v>750</v>
      </c>
      <c r="E23" s="144" t="s">
        <v>751</v>
      </c>
      <c r="F23" s="80" t="s">
        <v>752</v>
      </c>
      <c r="G23" s="80" t="s">
        <v>103</v>
      </c>
      <c r="H23" s="144" t="s">
        <v>753</v>
      </c>
      <c r="I23" s="144" t="s">
        <v>754</v>
      </c>
      <c r="J23" s="8"/>
      <c r="K23" s="8"/>
      <c r="N23" s="80" t="s">
        <v>750</v>
      </c>
      <c r="O23" s="144" t="s">
        <v>751</v>
      </c>
      <c r="P23" s="80" t="s">
        <v>752</v>
      </c>
      <c r="Q23" s="80" t="s">
        <v>103</v>
      </c>
      <c r="R23" s="144" t="s">
        <v>753</v>
      </c>
      <c r="S23" s="144" t="s">
        <v>754</v>
      </c>
    </row>
    <row r="24" spans="1:20" ht="20.100000000000001" customHeight="1" x14ac:dyDescent="0.2">
      <c r="A24" s="5" t="str">
        <f>HYPERLINK("#'5.1.1.1-2 Inorganic fert N2O'!A1", "5.1.1.1-2 Inorganic fert N2O")</f>
        <v>5.1.1.1-2 Inorganic fert N2O</v>
      </c>
      <c r="D24" s="15" t="s">
        <v>162</v>
      </c>
      <c r="E24" s="15">
        <f ca="1">VEERG_6_1_1_1__2__MassOfNitrogenInCropResidues_Result_Method1</f>
        <v>29949.323040000003</v>
      </c>
      <c r="F24" s="15" t="str">
        <f>X_Cell_Crop_IrrigationMethod</f>
        <v>Sprinkler irrigation</v>
      </c>
      <c r="G24" s="15" t="str">
        <f>X_Cell_Site_LeachingZone</f>
        <v>NO - Not in leaching zone</v>
      </c>
      <c r="H24" s="15">
        <f>CommonCropping_InputFunctions.CommonCropping_GetFracWET(G24,F24,Table_SourceData_FracWET[Is in leaching zone],Table_SourceData_FracWET[FracWET], Table_SourceData_FracWETIrrigation[Irrigation type i],Table_SourceData_FracWETIrrigation[FracWET])</f>
        <v>1</v>
      </c>
      <c r="I24" s="15" cm="1">
        <f t="array" aca="1" ref="I24" ca="1">AgResidue_Equations_Leaching.VEERG_6_3_1_1__2__MassOfNitrogenLostThroughLeachingAndRunoff(E24,H24,$J$15)</f>
        <v>7187.8375296000004</v>
      </c>
      <c r="N24" s="15"/>
      <c r="O24" s="15">
        <f ca="1">VEERG_6_1_1_1__2__MassOfNitrogenInCropResidues_Result_Method2</f>
        <v>29949.323040000003</v>
      </c>
      <c r="P24" s="15"/>
      <c r="Q24" s="15"/>
      <c r="R24" s="15"/>
      <c r="S24" s="15" cm="1">
        <f t="array" aca="1" ref="S24" ca="1">AgResidue_Equations_Leaching.VEERG_6_3_1_1__2__MassOfNitrogenLostThroughLeachingAndRunoff(O24,H24,$J$15)</f>
        <v>7187.8375296000004</v>
      </c>
    </row>
    <row r="25" spans="1:20" ht="20.100000000000001" customHeight="1" x14ac:dyDescent="0.2">
      <c r="A25" s="5" t="str">
        <f>HYPERLINK("#'5.1.1.3-4 Inorganic fert CO2'!A1", "5.1.1.3-4 Inorganic fert CO2")</f>
        <v>5.1.1.3-4 Inorganic fert CO2</v>
      </c>
      <c r="D25" s="15" t="s">
        <v>504</v>
      </c>
      <c r="E25" s="15" t="s">
        <v>745</v>
      </c>
      <c r="F25" s="15" t="s">
        <v>745</v>
      </c>
      <c r="G25" s="15" t="s">
        <v>745</v>
      </c>
      <c r="H25" s="15" t="s">
        <v>745</v>
      </c>
      <c r="I25" s="15" t="s">
        <v>745</v>
      </c>
      <c r="N25" s="15"/>
      <c r="O25" s="15" t="s">
        <v>745</v>
      </c>
      <c r="P25" s="15"/>
      <c r="Q25" s="15"/>
      <c r="R25" s="15"/>
      <c r="S25" s="15" t="s">
        <v>745</v>
      </c>
    </row>
    <row r="26" spans="1:20" ht="20.100000000000001" customHeight="1" x14ac:dyDescent="0.2">
      <c r="A26" s="5" t="str">
        <f>HYPERLINK("#'5.2.1.1-2 Organic Fert N2O'!A1", "5.2.1.1-2 Organic fert N2O")</f>
        <v>5.2.1.1-2 Organic fert N2O</v>
      </c>
    </row>
    <row r="27" spans="1:20" ht="20.100000000000001" customHeight="1" x14ac:dyDescent="0.2">
      <c r="A27" s="5" t="str">
        <f>HYPERLINK("#'5.3.1.1-2 Lime CO2'!A1", "5.3.1.1-2 Lime CO2")</f>
        <v>5.3.1.1-2 Lime CO2</v>
      </c>
      <c r="C27" s="225"/>
      <c r="D27" s="225"/>
      <c r="E27" s="225"/>
      <c r="F27" s="225"/>
      <c r="G27" s="225"/>
      <c r="H27" s="225"/>
      <c r="I27" s="225"/>
      <c r="J27" s="225"/>
      <c r="K27" s="225"/>
      <c r="M27" s="225"/>
      <c r="N27" s="225"/>
      <c r="O27" s="225"/>
      <c r="P27" s="225"/>
      <c r="Q27" s="225"/>
      <c r="R27" s="225"/>
      <c r="S27" s="225"/>
      <c r="T27" s="225"/>
    </row>
    <row r="28" spans="1:20" ht="20.100000000000001" customHeight="1" x14ac:dyDescent="0.2">
      <c r="A28" s="5" t="str">
        <f>HYPERLINK("#'5.4.1.1-4 Atmos deposition'!A1", "5.4.1.1-4 Atmos. deposition")</f>
        <v>5.4.1.1-4 Atmos. deposition</v>
      </c>
      <c r="C28" s="8"/>
      <c r="D28" s="2" t="str" cm="1">
        <f t="array" ref="D28">AgResidue_Equations_Leaching.VEERG_6_3_1_1__1__LeachingAndRunoffEmissionsCropAndPastureResidue_Title()</f>
        <v>Nitrous oxide leaching and runoff emissions from crop and pasture residues returned to the soil</v>
      </c>
      <c r="E28" s="8"/>
      <c r="F28" s="227"/>
      <c r="G28" s="8"/>
      <c r="H28" s="8"/>
      <c r="I28" s="8"/>
      <c r="J28" s="8"/>
      <c r="K28" s="8"/>
    </row>
    <row r="29" spans="1:20" ht="20.100000000000001" customHeight="1" x14ac:dyDescent="0.2">
      <c r="A29" s="5" t="str">
        <f>HYPERLINK("#'5.5.1.1-2 Leaching and runoff'!A1", "5.5.1.1-2 Leaching &amp; runoff")</f>
        <v>5.5.1.1-2 Leaching &amp; runoff</v>
      </c>
      <c r="C29" s="8"/>
      <c r="D29" s="1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
      <c r="A30" s="5" t="str">
        <f>HYPERLINK("#'6.1.1.1-2 Crop residue N2O'!A1", "6.1.1.1-2 Crop residue N2O")</f>
        <v>6.1.1.1-2 Crop residue N2O</v>
      </c>
      <c r="C30" s="8"/>
      <c r="D30" s="140" t="s">
        <v>402</v>
      </c>
      <c r="E30" s="140" t="str" cm="1">
        <f t="array" aca="1" ref="E30" ca="1">Common_InputFunctions.Utility_DisplayFunctionName(E45)</f>
        <v>=AgResidue_Equations_Leaching.VEERG_6_3_1_1__1__LeachingAndRunoffEmissionsCropAndPastureResidue</v>
      </c>
      <c r="F30" s="8"/>
      <c r="G30" s="8"/>
      <c r="H30" s="8"/>
      <c r="I30" s="8"/>
      <c r="J30" s="8"/>
      <c r="K30" s="8"/>
    </row>
    <row r="31" spans="1:20" ht="20.100000000000001" customHeight="1" x14ac:dyDescent="0.2">
      <c r="A31" s="150" t="str">
        <f>HYPERLINK("#'6.3.1.1-2 Leach runoff crop'!A1", "6.3.1.1-2 Leach &amp; runoff (crop)")</f>
        <v>6.3.1.1-2 Leach &amp; runoff (crop)</v>
      </c>
      <c r="C31" s="8"/>
      <c r="D31" s="8"/>
      <c r="E31" s="8"/>
      <c r="F31" s="8"/>
      <c r="G31" s="8"/>
      <c r="H31" s="8"/>
      <c r="I31" s="8"/>
      <c r="J31" s="8"/>
      <c r="K31" s="8"/>
    </row>
    <row r="32" spans="1:20" ht="20.100000000000001" customHeight="1" x14ac:dyDescent="0.2">
      <c r="A32" s="5" t="str">
        <f>HYPERLINK("#'8.1.1.1-2 Transport fuel'!A1", "8.1.1.1-2 Transport fuel")</f>
        <v>8.1.1.1-2 Transport fuel</v>
      </c>
      <c r="C32" s="8"/>
      <c r="D32" s="8"/>
      <c r="E32" s="8"/>
      <c r="F32" s="17"/>
      <c r="G32" s="8"/>
      <c r="H32" s="8"/>
      <c r="I32" s="8"/>
      <c r="J32" s="8"/>
      <c r="K32" s="8"/>
    </row>
    <row r="33" spans="1:17" ht="20.100000000000001" customHeight="1" x14ac:dyDescent="0.2">
      <c r="A33" s="5" t="str">
        <f>HYPERLINK("#'8.2.1.1-2 Stationary fuel'!A1", "8.2.1.1-2 Stationary fuel")</f>
        <v>8.2.1.1-2 Stationary fuel</v>
      </c>
      <c r="C33" s="8"/>
      <c r="D33" s="60" t="s">
        <v>407</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
      <c r="A34" s="5" t="str">
        <f>HYPERLINK("#'10.1.1-2 Solid waste treatment'!A1", "10.1.1.1-2 Solid waste")</f>
        <v>10.1.1.1-2 Solid waste</v>
      </c>
      <c r="C34" s="8"/>
      <c r="D34" s="60" t="s">
        <v>118</v>
      </c>
      <c r="E34" s="9" t="str" cm="1">
        <f t="array" ref="E34">AgResidue_Equations_Leaching.VEERG_6_3_1_1__1__LeachingAndRunoffEmissionsCropAndPastureResidue_Unit()</f>
        <v>t N2O</v>
      </c>
      <c r="F34" s="8"/>
      <c r="G34" s="8"/>
      <c r="H34" s="8"/>
      <c r="I34" s="8"/>
      <c r="J34" s="8"/>
      <c r="K34" s="8"/>
    </row>
    <row r="35" spans="1:17" ht="20.100000000000001" customHeight="1" x14ac:dyDescent="0.2">
      <c r="A35" s="5" t="str">
        <f>HYPERLINK("#'14.1.1-2 Purchased electricity'!A1", "14.1.1-2 Purchased electricity")</f>
        <v>14.1.1-2 Purchased electricity</v>
      </c>
      <c r="C35" s="8"/>
      <c r="D35" s="8"/>
      <c r="E35" s="8"/>
      <c r="F35" s="8"/>
      <c r="G35" s="8"/>
      <c r="H35" s="8"/>
      <c r="I35" s="8"/>
      <c r="J35" s="8"/>
      <c r="K35" s="8"/>
    </row>
    <row r="36" spans="1:17" ht="20.100000000000001" customHeight="1" x14ac:dyDescent="0.2">
      <c r="A36" s="5" t="str">
        <f>HYPERLINK("#'15 Scope 3'!A1", "15 Scope 3")</f>
        <v>15 Scope 3</v>
      </c>
      <c r="C36" s="8"/>
      <c r="D36" s="156" t="str" cm="1">
        <f t="array" ref="D36:E40">_xlfn.CHOOSECOLS(AgResidue_Equations_Leaching.VEERG_6_3_1_1__1__LeachingAndRunoffEmissionsCropAndPastureResidue_Arguments(),1,2)</f>
        <v>M_leachcp</v>
      </c>
      <c r="E36" s="153" t="str">
        <v>mass of nitrogen lost through leaching and runoff from the crop residue c or pasture residue p</v>
      </c>
      <c r="F36" s="164"/>
      <c r="G36" s="165"/>
      <c r="H36" s="156" t="str" cm="1">
        <f t="array" ref="H36:I40">_xlfn.CHOOSECOLS(AgResidue_Equations_Leaching.VEERG_6_3_1_1__1__LeachingAndRunoffEmissionsCropAndPastureResidue_Arguments(),3,4)</f>
        <v>kg N</v>
      </c>
      <c r="I36" s="148" t="str">
        <v>Calculated from 6.3.1.1 (2)</v>
      </c>
      <c r="J36" s="156" t="str" cm="1">
        <f t="array" aca="1" ref="J36" ca="1">HYPERLINK(Common_InputFunctions.Utility_SourceHyperlink($D$21), $D$21)</f>
        <v>M1_Table_M_leach_cp</v>
      </c>
      <c r="K36" s="8"/>
    </row>
    <row r="37" spans="1:17" ht="20.100000000000001" customHeight="1" x14ac:dyDescent="0.2">
      <c r="C37" s="8"/>
      <c r="D37" s="156" t="str">
        <v>EF_leach</v>
      </c>
      <c r="E37" s="153" t="str">
        <v>emission factor for leaching and runoff</v>
      </c>
      <c r="F37" s="164"/>
      <c r="G37" s="165"/>
      <c r="H37" s="156" t="str">
        <v>kg N2O-N/kg N</v>
      </c>
      <c r="I37" s="148" t="str">
        <v>Constant</v>
      </c>
      <c r="J37" s="156">
        <f>'Constants - Common'!$E$170</f>
        <v>1.0999999999999999E-2</v>
      </c>
      <c r="K37" s="8"/>
    </row>
    <row r="38" spans="1:17" ht="20.100000000000001" customHeight="1" x14ac:dyDescent="0.2">
      <c r="C38" s="8"/>
      <c r="D38" s="156" t="str">
        <v>C_N2O</v>
      </c>
      <c r="E38" s="153" t="str">
        <v>factor to convert elemental mass of nitrous oxide to molecular mass</v>
      </c>
      <c r="F38" s="164"/>
      <c r="G38" s="165"/>
      <c r="H38" s="156" t="str">
        <v>dimensionless</v>
      </c>
      <c r="I38" s="148" t="str">
        <v>Constant</v>
      </c>
      <c r="J38" s="156">
        <f>Common_InputFunctions.Utility_LookupValueInTableNumber("N2O",Table_GasToMolecularConversionFactor[Gas],Table_GasToMolecularConversionFactor[Conversion factor combined])</f>
        <v>1.5714285714285714</v>
      </c>
      <c r="K38" s="8"/>
    </row>
    <row r="39" spans="1:17" ht="20.100000000000001" customHeight="1" x14ac:dyDescent="0.2">
      <c r="A39" s="82" t="s">
        <v>1</v>
      </c>
      <c r="C39" s="8"/>
      <c r="D39" s="156" t="str">
        <v>c</v>
      </c>
      <c r="E39" s="153" t="str">
        <v>Crop residue type</v>
      </c>
      <c r="F39" s="164"/>
      <c r="G39" s="165"/>
      <c r="H39" s="156" t="str">
        <v/>
      </c>
      <c r="I39" s="147" t="str">
        <v>Input</v>
      </c>
      <c r="J39" s="156" t="str">
        <f>X_Cell_Crop_CropType</f>
        <v>Cotton</v>
      </c>
      <c r="K39" s="8"/>
    </row>
    <row r="40" spans="1:17" ht="20.100000000000001" customHeight="1" x14ac:dyDescent="0.2">
      <c r="A40" s="5" t="str">
        <f>HYPERLINK("#'Constants - Ag Residue'!A1", "Constants - Ag residue")</f>
        <v>Constants - Ag residue</v>
      </c>
      <c r="C40" s="8"/>
      <c r="D40" s="156" t="str">
        <v>p</v>
      </c>
      <c r="E40" s="153" t="str">
        <v>Pasture residue type</v>
      </c>
      <c r="F40" s="164"/>
      <c r="G40" s="165"/>
      <c r="H40" s="156" t="str">
        <v/>
      </c>
      <c r="I40" s="147" t="str">
        <v>Input</v>
      </c>
      <c r="J40" s="156" t="s">
        <v>745</v>
      </c>
      <c r="K40" s="8"/>
    </row>
    <row r="41" spans="1:17" ht="20.100000000000001" customHeight="1" x14ac:dyDescent="0.2">
      <c r="A41" s="5" t="str">
        <f>HYPERLINK("#'Constants - Electricity'!A1", "Constants - Electricity")</f>
        <v>Constants - Electricity</v>
      </c>
      <c r="C41" s="8"/>
      <c r="D41" s="8"/>
      <c r="E41" s="8"/>
      <c r="F41" s="8"/>
      <c r="G41" s="8"/>
      <c r="H41" s="8"/>
      <c r="I41" s="8"/>
      <c r="J41" s="8"/>
      <c r="K41" s="8"/>
    </row>
    <row r="42" spans="1:17" ht="20.100000000000001" customHeight="1" x14ac:dyDescent="0.2">
      <c r="A42" s="5" t="str">
        <f>HYPERLINK("#'Constants - Fertiliser'!A1", "Constants - Fertiliser")</f>
        <v>Constants - Fertiliser</v>
      </c>
      <c r="C42" s="8"/>
      <c r="D42" s="141" t="s">
        <v>425</v>
      </c>
      <c r="E42" s="8"/>
      <c r="F42" s="8"/>
      <c r="G42" s="8"/>
      <c r="H42" s="8"/>
      <c r="I42" s="8"/>
      <c r="J42" s="8"/>
      <c r="K42" s="8"/>
      <c r="N42" s="141" t="s">
        <v>425</v>
      </c>
      <c r="O42" s="8"/>
      <c r="P42" s="8"/>
      <c r="Q42" s="8"/>
    </row>
    <row r="43" spans="1:17" ht="20.100000000000001" customHeight="1" x14ac:dyDescent="0.2">
      <c r="A43" s="5" t="str">
        <f>HYPERLINK("#'Constants - Fuel'!A1", "Constants - Fuel")</f>
        <v>Constants - Fuel</v>
      </c>
      <c r="C43" s="8"/>
      <c r="D43" s="142" t="s">
        <v>755</v>
      </c>
      <c r="E43" s="8"/>
      <c r="F43" s="8"/>
      <c r="G43" s="8"/>
      <c r="H43" s="8"/>
      <c r="I43" s="8"/>
      <c r="J43" s="8"/>
      <c r="K43" s="8"/>
      <c r="N43" s="142" t="s">
        <v>755</v>
      </c>
      <c r="O43" s="8"/>
      <c r="P43" s="8"/>
      <c r="Q43" s="8"/>
    </row>
    <row r="44" spans="1:17" ht="20.100000000000001" customHeight="1" x14ac:dyDescent="0.2">
      <c r="A44" s="5" t="str">
        <f>HYPERLINK("#'Constants - Scope 3'!A1", "Constants - Scope 3")</f>
        <v>Constants - Scope 3</v>
      </c>
      <c r="C44" s="8"/>
      <c r="D44" s="144" t="s">
        <v>754</v>
      </c>
      <c r="E44" s="144" t="s">
        <v>756</v>
      </c>
      <c r="F44" s="8"/>
      <c r="G44" s="8"/>
      <c r="H44" s="8"/>
      <c r="I44" s="8"/>
      <c r="J44" s="8"/>
      <c r="K44" s="8"/>
      <c r="N44" s="144" t="s">
        <v>754</v>
      </c>
      <c r="O44" s="144" t="s">
        <v>756</v>
      </c>
      <c r="P44" s="8"/>
      <c r="Q44" s="8"/>
    </row>
    <row r="45" spans="1:17" ht="20.100000000000001" customHeight="1" x14ac:dyDescent="0.2">
      <c r="A45" s="5" t="str">
        <f>HYPERLINK("#'Constants - Solid Waste'!A1", "Constants - Solid Waste")</f>
        <v>Constants - Solid Waste</v>
      </c>
      <c r="C45" s="8"/>
      <c r="D45" s="15">
        <f ca="1">I24</f>
        <v>7187.8375296000004</v>
      </c>
      <c r="E45" s="15" cm="1">
        <f t="array" aca="1" ref="E45" ca="1">AgResidue_Equations_Leaching.VEERG_6_3_1_1__1__LeachingAndRunoffEmissionsCropAndPastureResidue(D45,$J$37,$J$38)</f>
        <v>0.12424690586879999</v>
      </c>
      <c r="F45" s="8"/>
      <c r="G45" s="8"/>
      <c r="H45" s="8"/>
      <c r="I45" s="8"/>
      <c r="J45" s="8"/>
      <c r="K45" s="8"/>
      <c r="N45" s="15">
        <f ca="1">S24</f>
        <v>7187.8375296000004</v>
      </c>
      <c r="O45" s="15" cm="1">
        <f t="array" aca="1" ref="O45" ca="1">AgResidue_Equations_Leaching.VEERG_6_3_1_1__1__LeachingAndRunoffEmissionsCropAndPastureResidue(N45,$J$37,$J$38)</f>
        <v>0.12424690586879999</v>
      </c>
      <c r="P45" s="8"/>
      <c r="Q45" s="8"/>
    </row>
    <row r="46" spans="1:17" ht="20.100000000000001" customHeight="1" x14ac:dyDescent="0.2">
      <c r="A46" s="5" t="str">
        <f>HYPERLINK("#'Constants - Common'!A1", "Constants - Common")</f>
        <v>Constants - Common</v>
      </c>
      <c r="C46" s="8"/>
      <c r="D46" s="15" t="str">
        <f>I25</f>
        <v>N/A</v>
      </c>
      <c r="E46" s="15" t="s">
        <v>745</v>
      </c>
      <c r="F46" s="8"/>
      <c r="G46" s="8"/>
      <c r="H46" s="8"/>
      <c r="I46" s="8"/>
      <c r="J46" s="8"/>
      <c r="K46" s="8"/>
      <c r="N46" s="15" t="str">
        <f>S25</f>
        <v>N/A</v>
      </c>
      <c r="O46" s="15" t="s">
        <v>745</v>
      </c>
      <c r="P46" s="8"/>
      <c r="Q46" s="8"/>
    </row>
    <row r="47" spans="1:17" ht="20.100000000000001" customHeight="1" x14ac:dyDescent="0.2">
      <c r="A47" s="5" t="str">
        <f>HYPERLINK("#'Constants - Common Livestock'!A1", "Constants - Common Livestock")</f>
        <v>Constants - Common Livestock</v>
      </c>
      <c r="C47" s="8"/>
      <c r="F47" s="8"/>
      <c r="G47" s="8"/>
      <c r="H47" s="8"/>
      <c r="I47" s="8"/>
      <c r="J47" s="8"/>
      <c r="K47" s="8"/>
      <c r="P47" s="8"/>
      <c r="Q47" s="8"/>
    </row>
    <row r="48" spans="1:17" ht="20.100000000000001" customHeight="1" x14ac:dyDescent="0.35">
      <c r="C48" s="8"/>
      <c r="D48" s="228" t="s">
        <v>757</v>
      </c>
      <c r="E48" s="229">
        <f ca="1">SUM(E45:E46)</f>
        <v>0.12424690586879999</v>
      </c>
      <c r="F48" s="97" t="str">
        <f>$E$34</f>
        <v>t N2O</v>
      </c>
      <c r="G48" s="8"/>
      <c r="H48" s="8"/>
      <c r="I48" s="8"/>
      <c r="J48" s="8"/>
      <c r="K48" s="8"/>
      <c r="N48" s="228" t="s">
        <v>757</v>
      </c>
      <c r="O48" s="229">
        <f ca="1">SUM(O45:O46)</f>
        <v>0.12424690586879999</v>
      </c>
      <c r="P48" s="97" t="str">
        <f>$E$34</f>
        <v>t N2O</v>
      </c>
      <c r="Q48" s="8"/>
    </row>
    <row r="49" spans="4:17" ht="20.100000000000001" customHeight="1" x14ac:dyDescent="0.2">
      <c r="D49" s="8"/>
      <c r="E49" s="8"/>
      <c r="F49" s="8"/>
      <c r="G49" s="8"/>
      <c r="N49" s="8"/>
      <c r="O49" s="8"/>
      <c r="P49" s="8"/>
      <c r="Q49" s="8"/>
    </row>
    <row r="50" spans="4:17" ht="20.100000000000001" customHeight="1" x14ac:dyDescent="0.2">
      <c r="D50" s="145" t="str" cm="1">
        <f t="array" ref="D50:E51">Common_Equations.Common_ConvertN2OToCO2e_Arguments()</f>
        <v>EN2O</v>
      </c>
      <c r="E50" s="146" t="str">
        <v>Nitrous oxide emissions (t N2O)</v>
      </c>
      <c r="F50" s="155"/>
      <c r="G50" s="15">
        <f ca="1">VEERG_6_3_1_1__1__LeachingAndRunoffEmissionsCropAndPastureResidue_CropOnly_Result_Method1</f>
        <v>0.12424690586879999</v>
      </c>
      <c r="N50" s="145" t="str" cm="1">
        <f t="array" ref="N50:O51">Common_Equations.Common_ConvertN2OToCO2e_Arguments()</f>
        <v>EN2O</v>
      </c>
      <c r="O50" s="146" t="str">
        <v>Nitrous oxide emissions (t N2O)</v>
      </c>
      <c r="P50" s="155"/>
      <c r="Q50" s="15">
        <f ca="1">VEERG_6_3_1_1__1__LeachingAndRunoffEmissionsCropAndPastureResidue_CropOnly_Result_Method2</f>
        <v>0.12424690586879999</v>
      </c>
    </row>
    <row r="51" spans="4:17" ht="20.100000000000001" customHeight="1" x14ac:dyDescent="0.2">
      <c r="D51" s="145" t="str">
        <v>GWPN2O</v>
      </c>
      <c r="E51" s="146" t="str">
        <v>Global warming potential for nitrous oxide (t CO2-e / t N2O)</v>
      </c>
      <c r="F51" s="155"/>
      <c r="G51" s="15">
        <f>Common_InputFunctions.Utility_LookupValueInTableNumber("N2O",Table_GWPData[Gas],Table_GWPData[CO2-e factor])</f>
        <v>265</v>
      </c>
      <c r="H51" s="8"/>
      <c r="I51" s="8"/>
      <c r="N51" s="145" t="str">
        <v>GWPN2O</v>
      </c>
      <c r="O51" s="146" t="str">
        <v>Global warming potential for nitrous oxide (t CO2-e / t N2O)</v>
      </c>
      <c r="P51" s="155"/>
      <c r="Q51" s="15">
        <f>Common_InputFunctions.Utility_LookupValueInTableNumber("N2O",Table_GWPData[Gas],Table_GWPData[CO2-e factor])</f>
        <v>265</v>
      </c>
    </row>
    <row r="52" spans="4:17" ht="20.100000000000001" customHeight="1" x14ac:dyDescent="0.2">
      <c r="H52" s="8"/>
      <c r="I52" s="8"/>
    </row>
    <row r="53" spans="4:17" ht="20.100000000000001" customHeight="1" x14ac:dyDescent="0.2">
      <c r="D53" s="85" t="s">
        <v>431</v>
      </c>
      <c r="E53" s="85" cm="1">
        <f t="array" aca="1" ref="E53" ca="1">Common_Equations.Common_ConvertN2OToCO2e(G50,G51)</f>
        <v>32.925430055231999</v>
      </c>
      <c r="F53" s="91" t="str" cm="1">
        <f t="array" ref="F53">Common_Equations.Common_ConvertN2OToCO2e_Unit()</f>
        <v>t CO2e</v>
      </c>
      <c r="I53" s="8"/>
      <c r="N53" s="85" t="s">
        <v>431</v>
      </c>
      <c r="O53" s="85" cm="1">
        <f t="array" aca="1" ref="O53" ca="1">Common_Equations.Common_ConvertN2OToCO2e(Q50,Q51)</f>
        <v>32.925430055231999</v>
      </c>
      <c r="P53" s="91" t="str" cm="1">
        <f t="array" ref="P53">Common_Equations.Common_ConvertN2OToCO2e_Unit()</f>
        <v>t CO2e</v>
      </c>
    </row>
    <row r="54" spans="4:17" ht="20.100000000000001" customHeight="1" x14ac:dyDescent="0.2">
      <c r="I54" s="8"/>
    </row>
    <row r="60" spans="4:17" ht="20.100000000000001" customHeight="1" x14ac:dyDescent="0.2">
      <c r="H60" s="8"/>
      <c r="I60" s="8"/>
    </row>
    <row r="61" spans="4:17" ht="20.100000000000001" customHeight="1" x14ac:dyDescent="0.2">
      <c r="H61" s="8"/>
      <c r="I61" s="8"/>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7DCD-9907-403B-9776-7F47EA267020}">
  <sheetPr>
    <tabColor rgb="FF008000"/>
  </sheetPr>
  <dimension ref="A1:R34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599</v>
      </c>
    </row>
    <row r="2" spans="1:18" s="3" customFormat="1" ht="20.100000000000001" customHeight="1" x14ac:dyDescent="0.2">
      <c r="A2"/>
    </row>
    <row r="3" spans="1:18" ht="20.100000000000001" customHeight="1" x14ac:dyDescent="0.2">
      <c r="A3" s="5" t="str">
        <f>HYPERLINK("#'Home'!A1", "Home")</f>
        <v>Home</v>
      </c>
      <c r="C3" s="23"/>
      <c r="D3" s="23" t="s">
        <v>128</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EI")</f>
        <v>Results - Product EI</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61"/>
      <c r="P5" s="161"/>
      <c r="Q5" s="161"/>
    </row>
    <row r="6" spans="1:18" ht="20.100000000000001" customHeight="1" x14ac:dyDescent="0.2">
      <c r="D6" s="17" t="str" cm="1">
        <f t="array" ref="D6">Fuel_Equations.VEERG_8_1_1_1__1_FuelCombustionTransport_Source()</f>
        <v>VEERG 2026: 8.1.1.1, Equation (1)</v>
      </c>
      <c r="K6" s="17" t="str" cm="1">
        <f t="array" ref="K6">Scope3_Equations.VEERG_15_11_1_1__2_UpstreamTransportFuelEmissions_Source()</f>
        <v>VEERG 2026: 15.11.1.1, Equation (2)</v>
      </c>
      <c r="O6" s="161"/>
      <c r="P6" s="161"/>
      <c r="Q6" s="161"/>
    </row>
    <row r="7" spans="1:18" ht="20.100000000000001" customHeight="1" x14ac:dyDescent="0.2">
      <c r="D7" s="140" t="s">
        <v>402</v>
      </c>
      <c r="E7" s="140" t="str" cm="1">
        <f t="array" aca="1" ref="E7" ca="1">Common_InputFunctions.Utility_DisplayFunctionName(N25)</f>
        <v>=Fuel_Equations.VEERG_8_1_1_1__1_FuelCombustionTransport</v>
      </c>
      <c r="K7" s="140" t="s">
        <v>402</v>
      </c>
      <c r="L7" s="140" t="str" cm="1">
        <f t="array" aca="1" ref="L7" ca="1">Common_InputFunctions.Utility_DisplayFunctionName(Q25)</f>
        <v>=Scope3_Equations.VEERG_15_11_1_1__2_UpstreamTransportFuelEmissions</v>
      </c>
      <c r="O7" s="161"/>
      <c r="P7" s="161"/>
      <c r="Q7" s="161"/>
    </row>
    <row r="8" spans="1:18" ht="20.100000000000001" customHeight="1" x14ac:dyDescent="0.2">
      <c r="A8" s="7" t="s">
        <v>0</v>
      </c>
      <c r="E8" s="140"/>
      <c r="L8" s="140"/>
      <c r="O8" s="161"/>
      <c r="P8" s="161"/>
      <c r="Q8" s="161"/>
    </row>
    <row r="9" spans="1:18" ht="20.100000000000001" customHeight="1" x14ac:dyDescent="0.2">
      <c r="A9" s="5" t="str">
        <f>HYPERLINK("#'Input - Enterprise'!A1", "Enterprise")</f>
        <v>Enterprise</v>
      </c>
      <c r="G9" s="17"/>
      <c r="O9" s="161"/>
      <c r="P9" s="161"/>
      <c r="Q9" s="161"/>
    </row>
    <row r="10" spans="1:18" ht="20.100000000000001" customHeight="1" x14ac:dyDescent="0.2">
      <c r="A10" s="5" t="str">
        <f>HYPERLINK("#'Input - Site'!A1", "Site")</f>
        <v>Site</v>
      </c>
      <c r="O10" s="161"/>
      <c r="P10" s="161"/>
      <c r="Q10" s="161"/>
    </row>
    <row r="11" spans="1:18" ht="20.100000000000001" customHeight="1" x14ac:dyDescent="0.2">
      <c r="A11" s="5" t="str">
        <f>HYPERLINK("#'Input - Crop'!A1", "Crop")</f>
        <v>Crop</v>
      </c>
      <c r="D11" s="77" t="s">
        <v>407</v>
      </c>
      <c r="E11" s="1" t="str" cm="1">
        <f t="array" ref="E11">Fuel_Equations.VEERG_8_1_1_1__1_FuelCombustionTransport_Variable()</f>
        <v>E_g</v>
      </c>
      <c r="K11" s="77" t="s">
        <v>407</v>
      </c>
      <c r="L11" s="1" t="str" cm="1">
        <f t="array" ref="L11">Scope3_Equations.VEERG_15_11_1_1__2_UpstreamTransportFuelEmissions_Variable()</f>
        <v>E_WTTtransq</v>
      </c>
      <c r="O11" s="161"/>
      <c r="P11" s="161"/>
      <c r="Q11" s="161"/>
    </row>
    <row r="12" spans="1:18" ht="20.100000000000001" customHeight="1" x14ac:dyDescent="0.2">
      <c r="A12" s="5" t="str">
        <f>HYPERLINK("#'Input - Fert Prod System'!A1", "Fert Prod System")</f>
        <v>Fert Prod System</v>
      </c>
      <c r="D12" s="77" t="s">
        <v>118</v>
      </c>
      <c r="E12" s="9" t="str" cm="1">
        <f t="array" ref="E12">Fuel_Equations.VEERG_8_1_1_1__1_FuelCombustionTransport_Unit()</f>
        <v>t CO2-e</v>
      </c>
      <c r="K12" s="77" t="s">
        <v>118</v>
      </c>
      <c r="L12" s="9" t="str" cm="1">
        <f t="array" ref="L12">Scope3_Equations.VEERG_15_11_1_1__2_UpstreamTransportFuelEmissions_Unit()</f>
        <v>t CO2e</v>
      </c>
    </row>
    <row r="13" spans="1:18" ht="20.100000000000001" customHeight="1" x14ac:dyDescent="0.2">
      <c r="A13" s="5" t="str">
        <f>HYPERLINK("#'Input - Fertiliser'!A1", "Fertiliser")</f>
        <v>Fertiliser</v>
      </c>
    </row>
    <row r="14" spans="1:18" ht="20.100000000000001" customHeight="1" x14ac:dyDescent="0.2">
      <c r="A14" s="5" t="str">
        <f>HYPERLINK("#'Input - Fuel'!A1", "Fuel")</f>
        <v>Fuel</v>
      </c>
      <c r="D14" s="156" t="str" cm="1">
        <f t="array" ref="D14:E20">_xlfn.CHOOSECOLS(Fuel_Equations.VEERG_8_1_1_1__1_FuelCombustionTransport_Arguments(), 1,2)</f>
        <v>Q_Transtq</v>
      </c>
      <c r="E14" s="153" t="str">
        <v>Amount of fuel type q combusted for transport energy purposes</v>
      </c>
      <c r="F14" s="165"/>
      <c r="G14" s="156" t="str" cm="1">
        <f t="array" ref="G14:H20">_xlfn.CHOOSECOLS(Fuel_Equations.VEERG_8_1_1_1__1_FuelCombustionTransport_Arguments(), 3,4)</f>
        <v>Varies based on fuel type: kL, m3, GJ</v>
      </c>
      <c r="H14" s="147" t="str">
        <v>Input</v>
      </c>
      <c r="I14" s="149" t="str" cm="1">
        <f t="array" aca="1" ref="I14" ca="1">HYPERLINK(Common_InputFunctions.Utility_SourceHyperlink($D$22), $D$22)</f>
        <v>Table_E_g</v>
      </c>
      <c r="K14" s="156" t="str" cm="1">
        <f t="array" ref="K14:L16">_xlfn.CHOOSECOLS(Scope3_Equations.VEERG_15_11_1_1__2_UpstreamTransportFuelEmissions_Arguments(),1,2)</f>
        <v>Q_Transq</v>
      </c>
      <c r="L14" s="156" t="str">
        <v>amount of fuel q combusted for transport energy purposes</v>
      </c>
      <c r="M14" s="156"/>
      <c r="N14" s="156" t="str" cm="1">
        <f t="array" ref="N14:O16">_xlfn.CHOOSECOLS(Scope3_Equations.VEERG_15_11_1_1__2_UpstreamTransportFuelEmissions_Arguments(),3,4)</f>
        <v>kL</v>
      </c>
      <c r="O14" s="147" t="str">
        <v>Input</v>
      </c>
      <c r="P14" s="149" t="str" cm="1">
        <f t="array" aca="1" ref="P14" ca="1">HYPERLINK(Common_InputFunctions.Utility_SourceHyperlink($D$22), $D$22)</f>
        <v>Table_E_g</v>
      </c>
      <c r="Q14" s="161"/>
    </row>
    <row r="15" spans="1:18" ht="20.100000000000001" customHeight="1" x14ac:dyDescent="0.2">
      <c r="A15" s="5" t="str">
        <f>HYPERLINK("#'Input - Electricity'!A1", "Electricity")</f>
        <v>Electricity</v>
      </c>
      <c r="D15" s="156" t="str">
        <v>EC_Transq</v>
      </c>
      <c r="E15" s="153" t="str">
        <v>Energy content factor for transport energy purposes</v>
      </c>
      <c r="F15" s="165"/>
      <c r="G15" s="156" t="str">
        <v>GJ / unit of fuel</v>
      </c>
      <c r="H15" s="148" t="str">
        <v>Constant</v>
      </c>
      <c r="I15" s="149" t="str" cm="1">
        <f t="array" aca="1" ref="I15" ca="1">HYPERLINK(Common_InputFunctions.Utility_SourceHyperlink($D$22), $D$22)</f>
        <v>Table_E_g</v>
      </c>
      <c r="K15" s="156" t="str">
        <v>EC_Transq</v>
      </c>
      <c r="L15" s="156" t="str">
        <v>energy content factor for transport energy purposes</v>
      </c>
      <c r="M15" s="156"/>
      <c r="N15" s="156" t="str">
        <v>GJ/kL or GJ/m3</v>
      </c>
      <c r="O15" s="148" t="str">
        <v>Constant</v>
      </c>
      <c r="P15" s="149" t="str" cm="1">
        <f t="array" aca="1" ref="P15" ca="1">HYPERLINK(Common_InputFunctions.Utility_SourceHyperlink($D$22), $D$22)</f>
        <v>Table_E_g</v>
      </c>
      <c r="Q15" s="161"/>
    </row>
    <row r="16" spans="1:18" ht="20.100000000000001" customHeight="1" x14ac:dyDescent="0.2">
      <c r="A16" s="5" t="str">
        <f>HYPERLINK("#'Input - Common farm inputs'!A1", "Common farm inputs")</f>
        <v>Common farm inputs</v>
      </c>
      <c r="D16" s="156" t="str">
        <v>EF_Trans1tqg</v>
      </c>
      <c r="E16" s="153" t="str">
        <v>Scope 1 emission factor for transport energy purposes for each greenhouse gas</v>
      </c>
      <c r="F16" s="165"/>
      <c r="G16" s="156" t="str">
        <v>kg CO2e / GJ</v>
      </c>
      <c r="H16" s="148" t="str">
        <v>Constant</v>
      </c>
      <c r="I16" s="149" t="str" cm="1">
        <f t="array" aca="1" ref="I16" ca="1">HYPERLINK(Common_InputFunctions.Utility_SourceHyperlink($D$22), $D$22)</f>
        <v>Table_E_g</v>
      </c>
      <c r="K16" s="156" t="str">
        <v>EF_Trans3q</v>
      </c>
      <c r="L16" s="156" t="str">
        <v>scope 3 emission factor for transport energy purposes</v>
      </c>
      <c r="M16" s="156"/>
      <c r="N16" s="156" t="str">
        <v>kg CO2e/GJ</v>
      </c>
      <c r="O16" s="148" t="str">
        <v>Constant</v>
      </c>
      <c r="P16" s="149" t="str" cm="1">
        <f t="array" aca="1" ref="P16" ca="1">HYPERLINK(Common_InputFunctions.Utility_SourceHyperlink($D$22), $D$22)</f>
        <v>Table_E_g</v>
      </c>
      <c r="Q16" s="161"/>
    </row>
    <row r="17" spans="1:17" ht="20.100000000000001" customHeight="1" x14ac:dyDescent="0.2">
      <c r="A17" s="5" t="str">
        <f>HYPERLINK("#'Input - Crop pasture farm input'!A1", "Crop pasture farm input")</f>
        <v>Crop pasture farm input</v>
      </c>
      <c r="D17" s="156" t="str">
        <v>q</v>
      </c>
      <c r="E17" s="153" t="str">
        <v>Fuel type</v>
      </c>
      <c r="F17" s="165"/>
      <c r="G17" s="156" t="str">
        <v/>
      </c>
      <c r="H17" s="148" t="str">
        <v>Constant</v>
      </c>
      <c r="I17" s="149"/>
      <c r="J17" s="161"/>
      <c r="P17" s="161"/>
      <c r="Q17" s="161"/>
    </row>
    <row r="18" spans="1:17" ht="20.100000000000001" customHeight="1" x14ac:dyDescent="0.2">
      <c r="A18" s="5" t="str">
        <f>HYPERLINK("#'Input - Freight'!A1", "Freight")</f>
        <v>Freight</v>
      </c>
      <c r="D18" s="156" t="str">
        <v>Trans</v>
      </c>
      <c r="E18" s="153" t="str">
        <v>Transport combustion</v>
      </c>
      <c r="F18" s="165"/>
      <c r="G18" s="156" t="str">
        <v/>
      </c>
      <c r="H18" s="148" t="str">
        <v>Constant</v>
      </c>
      <c r="I18" s="149"/>
      <c r="J18" s="161"/>
      <c r="L18" s="161"/>
      <c r="M18" s="161"/>
      <c r="N18" s="161"/>
      <c r="O18" s="161"/>
      <c r="P18" s="161"/>
      <c r="Q18" s="161"/>
    </row>
    <row r="19" spans="1:17" ht="20.100000000000001" customHeight="1" x14ac:dyDescent="0.2">
      <c r="A19" s="5" t="str">
        <f>HYPERLINK("#'Input - Solid waste'!A1", "Solid waste")</f>
        <v>Solid waste</v>
      </c>
      <c r="D19" s="156" t="str">
        <v>g</v>
      </c>
      <c r="E19" s="153" t="str">
        <v>Greenhouse gas</v>
      </c>
      <c r="F19" s="165"/>
      <c r="G19" s="156" t="str">
        <v/>
      </c>
      <c r="H19" s="148" t="str">
        <v>Constant</v>
      </c>
      <c r="I19" s="149"/>
      <c r="J19" s="161"/>
      <c r="L19" s="161"/>
      <c r="M19" s="161"/>
      <c r="N19" s="161"/>
      <c r="O19" s="161"/>
      <c r="P19" s="161"/>
      <c r="Q19" s="161"/>
    </row>
    <row r="20" spans="1:17" ht="20.100000000000001" customHeight="1" x14ac:dyDescent="0.2">
      <c r="A20" s="5" t="str">
        <f>HYPERLINK("#'Input - Data quality'!A1", "Data quality")</f>
        <v>Data quality</v>
      </c>
      <c r="D20" s="156" t="str">
        <v>1</v>
      </c>
      <c r="E20" s="153" t="str">
        <v>Scope 1</v>
      </c>
      <c r="F20" s="165"/>
      <c r="G20" s="156" t="str">
        <v/>
      </c>
      <c r="H20" s="148" t="str">
        <v>Constant</v>
      </c>
      <c r="I20" s="149"/>
      <c r="J20" s="161"/>
      <c r="L20" s="161"/>
      <c r="M20" s="161"/>
      <c r="N20" s="161"/>
      <c r="O20" s="161"/>
      <c r="P20" s="161"/>
      <c r="Q20" s="161"/>
    </row>
    <row r="21" spans="1:17" ht="20.100000000000001" customHeight="1" x14ac:dyDescent="0.2">
      <c r="O21" s="161"/>
      <c r="P21" s="161"/>
      <c r="Q21" s="161"/>
    </row>
    <row r="22" spans="1:17" ht="20.100000000000001" customHeight="1" x14ac:dyDescent="0.2">
      <c r="D22" s="141" t="s">
        <v>600</v>
      </c>
    </row>
    <row r="23" spans="1:17" ht="20.100000000000001" customHeight="1" x14ac:dyDescent="0.2">
      <c r="A23" s="6" t="s">
        <v>2</v>
      </c>
      <c r="D23" s="142" t="s">
        <v>601</v>
      </c>
    </row>
    <row r="24" spans="1:17" ht="20.100000000000001" customHeight="1" x14ac:dyDescent="0.2">
      <c r="A24" s="5" t="str">
        <f>HYPERLINK("#'5.1.1.1-2 Inorganic fert N2O'!A1", "5.1.1.1-2 Inorganic fert N2O")</f>
        <v>5.1.1.1-2 Inorganic fert N2O</v>
      </c>
      <c r="D24" s="144" t="s">
        <v>602</v>
      </c>
      <c r="E24" s="144" t="s">
        <v>603</v>
      </c>
      <c r="F24" s="144" t="s">
        <v>604</v>
      </c>
      <c r="G24" s="144" t="s">
        <v>605</v>
      </c>
      <c r="H24" s="144" t="s">
        <v>606</v>
      </c>
      <c r="I24" s="144" t="s">
        <v>607</v>
      </c>
      <c r="J24" s="144" t="s">
        <v>608</v>
      </c>
      <c r="K24" s="144" t="s">
        <v>609</v>
      </c>
      <c r="L24" s="80" t="s">
        <v>610</v>
      </c>
      <c r="M24" s="144" t="s">
        <v>611</v>
      </c>
      <c r="N24" s="144" t="s">
        <v>612</v>
      </c>
      <c r="O24" s="144" t="s">
        <v>613</v>
      </c>
      <c r="P24" s="144" t="s">
        <v>614</v>
      </c>
      <c r="Q24" s="144" t="s">
        <v>615</v>
      </c>
    </row>
    <row r="25" spans="1:17" ht="20.100000000000001" customHeight="1" x14ac:dyDescent="0.2">
      <c r="A25" s="5" t="str">
        <f>HYPERLINK("#'5.1.1.3-4 Inorganic fert CO2'!A1", "5.1.1.3-4 Inorganic fert CO2")</f>
        <v>5.1.1.3-4 Inorganic fert CO2</v>
      </c>
      <c r="D25" s="25" t="str">
        <f>Table_FuelTypesPerUse[[#Headers],[Cars and light commercial vehicles]]</f>
        <v>Cars and light commercial vehicles</v>
      </c>
      <c r="E25" s="184" t="str">
        <f>'Constants - Fuel'!$E$10</f>
        <v>Gasoline</v>
      </c>
      <c r="F25" s="184"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02" cm="1">
        <f t="array" ref="L25">Fuel_InputFunctions.Fuel_TotalConsumption(Table_Input_Fuel[Amount consumed], Table_Input_Fuel[Fuel use (select)], D25, Table_Input_Fuel[Fuel type (select)],F25)</f>
        <v>0</v>
      </c>
      <c r="M25" s="102" t="str" cm="1">
        <f t="array" ref="M25">Common_InputFunctions.Utility_LookupValueInTable(F25,Table_FuelTypes_Units[Fuel type],Table_FuelTypes_Units[Unit])</f>
        <v>kL</v>
      </c>
      <c r="N25" s="185" cm="1">
        <f t="array" ref="N25">Fuel_Equations.VEERG_8_1_1_1__1_FuelCombustionTransport($L25,$G25,$H25)</f>
        <v>0</v>
      </c>
      <c r="O25" s="185" cm="1">
        <f t="array" ref="O25">Fuel_Equations.VEERG_8_1_1_1__1_FuelCombustionTransport($L25,$G25,$I25)</f>
        <v>0</v>
      </c>
      <c r="P25" s="185" cm="1">
        <f t="array" ref="P25">Fuel_Equations.VEERG_8_1_1_1__1_FuelCombustionTransport($L25,$G25,$J25)</f>
        <v>0</v>
      </c>
      <c r="Q25" s="185" cm="1">
        <f t="array" ref="Q25">Scope3_Equations.VEERG_15_11_1_1__2_UpstreamTransportFuelEmissions(L25,G25,K25)</f>
        <v>0</v>
      </c>
    </row>
    <row r="26" spans="1:17" ht="20.100000000000001" customHeight="1" x14ac:dyDescent="0.2">
      <c r="A26" s="5" t="str">
        <f>HYPERLINK("#'5.2.1.1-2 Organic Fert N2O'!A1", "5.2.1.1-2 Organic fert N2O")</f>
        <v>5.2.1.1-2 Organic fert N2O</v>
      </c>
      <c r="D26" s="186" t="str">
        <f t="shared" ref="D26:D32" si="0">$D$25</f>
        <v>Cars and light commercial vehicles</v>
      </c>
      <c r="E26" s="184" t="str">
        <f>'Constants - Fuel'!$E$11</f>
        <v>Diesel oil</v>
      </c>
      <c r="F26" s="184"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02" cm="1">
        <f t="array" ref="L26">Fuel_InputFunctions.Fuel_TotalConsumption(Table_Input_Fuel[Amount consumed], Table_Input_Fuel[Fuel use (select)], D26, Table_Input_Fuel[Fuel type (select)],F26)</f>
        <v>10</v>
      </c>
      <c r="M26" s="102" t="str" cm="1">
        <f t="array" ref="M26">Common_InputFunctions.Utility_LookupValueInTable(F26,Table_FuelTypes_Units[Fuel type],Table_FuelTypes_Units[Unit])</f>
        <v>kL</v>
      </c>
      <c r="N26" s="185" cm="1">
        <f t="array" ref="N26">Fuel_Equations.VEERG_8_1_1_1__1_FuelCombustionTransport($L26,$G26,$H26)</f>
        <v>26.981400000000001</v>
      </c>
      <c r="O26" s="185" cm="1">
        <f t="array" ref="O26">Fuel_Equations.VEERG_8_1_1_1__1_FuelCombustionTransport($L26,$G26,$I26)</f>
        <v>3.8600000000000001E-3</v>
      </c>
      <c r="P26" s="185" cm="1">
        <f t="array" ref="P26">Fuel_Equations.VEERG_8_1_1_1__1_FuelCombustionTransport($L26,$G26,$J26)</f>
        <v>0.193</v>
      </c>
      <c r="Q26" s="185" cm="1">
        <f t="array" ref="Q26">Scope3_Equations.VEERG_15_11_1_1__2_UpstreamTransportFuelEmissions(L26,G26,K26)</f>
        <v>6.6778000000000004</v>
      </c>
    </row>
    <row r="27" spans="1:17" ht="20.100000000000001" customHeight="1" x14ac:dyDescent="0.2">
      <c r="A27" s="5" t="str">
        <f>HYPERLINK("#'5.3.1.1-2 Lime CO2'!A1", "5.3.1.1-2 Lime CO2")</f>
        <v>5.3.1.1-2 Lime CO2</v>
      </c>
      <c r="D27" s="186" t="str">
        <f t="shared" si="0"/>
        <v>Cars and light commercial vehicles</v>
      </c>
      <c r="E27" s="184" t="str">
        <f>'Constants - Fuel'!$E$12</f>
        <v>Liquefied petroleum gas (LPG)</v>
      </c>
      <c r="F27" s="184"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02" cm="1">
        <f t="array" ref="L27">Fuel_InputFunctions.Fuel_TotalConsumption(Table_Input_Fuel[Amount consumed], Table_Input_Fuel[Fuel use (select)], D27, Table_Input_Fuel[Fuel type (select)],F27)</f>
        <v>0</v>
      </c>
      <c r="M27" s="102" t="str" cm="1">
        <f t="array" ref="M27">Common_InputFunctions.Utility_LookupValueInTable(F27,Table_FuelTypes_Units[Fuel type],Table_FuelTypes_Units[Unit])</f>
        <v>kL</v>
      </c>
      <c r="N27" s="185" cm="1">
        <f t="array" ref="N27">Fuel_Equations.VEERG_8_1_1_1__1_FuelCombustionTransport($L27,$G27,$H27)</f>
        <v>0</v>
      </c>
      <c r="O27" s="185" cm="1">
        <f t="array" ref="O27">Fuel_Equations.VEERG_8_1_1_1__1_FuelCombustionTransport($L27,$G27,$I27)</f>
        <v>0</v>
      </c>
      <c r="P27" s="185" cm="1">
        <f t="array" ref="P27">Fuel_Equations.VEERG_8_1_1_1__1_FuelCombustionTransport($L27,$G27,$J27)</f>
        <v>0</v>
      </c>
      <c r="Q27" s="185" cm="1">
        <f t="array" ref="Q27">Scope3_Equations.VEERG_15_11_1_1__2_UpstreamTransportFuelEmissions(L27,G27,K27)</f>
        <v>0</v>
      </c>
    </row>
    <row r="28" spans="1:17" ht="20.100000000000001" customHeight="1" x14ac:dyDescent="0.2">
      <c r="A28" s="5" t="str">
        <f>HYPERLINK("#'5.4.1.1-4 Atmos deposition'!A1", "5.4.1.1-4 Atmos. deposition")</f>
        <v>5.4.1.1-4 Atmos. deposition</v>
      </c>
      <c r="D28" s="186" t="str">
        <f t="shared" si="0"/>
        <v>Cars and light commercial vehicles</v>
      </c>
      <c r="E28" s="184" t="str">
        <f>'Constants - Fuel'!$E$13</f>
        <v>Fuel oil</v>
      </c>
      <c r="F28" s="184"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02" cm="1">
        <f t="array" ref="L28">Fuel_InputFunctions.Fuel_TotalConsumption(Table_Input_Fuel[Amount consumed], Table_Input_Fuel[Fuel use (select)], D28, Table_Input_Fuel[Fuel type (select)],F28)</f>
        <v>0</v>
      </c>
      <c r="M28" s="102" t="str" cm="1">
        <f t="array" ref="M28">Common_InputFunctions.Utility_LookupValueInTable(F28,Table_FuelTypes_Units[Fuel type],Table_FuelTypes_Units[Unit])</f>
        <v>kL</v>
      </c>
      <c r="N28" s="185" cm="1">
        <f t="array" ref="N28">Fuel_Equations.VEERG_8_1_1_1__1_FuelCombustionTransport($L28,$G28,$H28)</f>
        <v>0</v>
      </c>
      <c r="O28" s="185" cm="1">
        <f t="array" ref="O28">Fuel_Equations.VEERG_8_1_1_1__1_FuelCombustionTransport($L28,$G28,$I28)</f>
        <v>0</v>
      </c>
      <c r="P28" s="185" cm="1">
        <f t="array" ref="P28">Fuel_Equations.VEERG_8_1_1_1__1_FuelCombustionTransport($L28,$G28,$J28)</f>
        <v>0</v>
      </c>
      <c r="Q28" s="185" cm="1">
        <f t="array" ref="Q28">Scope3_Equations.VEERG_15_11_1_1__2_UpstreamTransportFuelEmissions(L28,G28,K28)</f>
        <v>0</v>
      </c>
    </row>
    <row r="29" spans="1:17" ht="20.100000000000001" customHeight="1" x14ac:dyDescent="0.2">
      <c r="A29" s="5" t="str">
        <f>HYPERLINK("#'5.5.1.1-2 Leaching and runoff'!A1", "5.5.1.1-2 Leaching &amp; runoff")</f>
        <v>5.5.1.1-2 Leaching &amp; runoff</v>
      </c>
      <c r="D29" s="186" t="str">
        <f t="shared" si="0"/>
        <v>Cars and light commercial vehicles</v>
      </c>
      <c r="E29" s="184" t="str">
        <f>'Constants - Fuel'!$E$14</f>
        <v>Ethanol</v>
      </c>
      <c r="F29" s="184"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02" cm="1">
        <f t="array" ref="L29">Fuel_InputFunctions.Fuel_TotalConsumption(Table_Input_Fuel[Amount consumed], Table_Input_Fuel[Fuel use (select)], D29, Table_Input_Fuel[Fuel type (select)],F29)</f>
        <v>0</v>
      </c>
      <c r="M29" s="102" t="str" cm="1">
        <f t="array" ref="M29">Common_InputFunctions.Utility_LookupValueInTable(F29,Table_FuelTypes_Units[Fuel type],Table_FuelTypes_Units[Unit])</f>
        <v>kL</v>
      </c>
      <c r="N29" s="185" cm="1">
        <f t="array" ref="N29">Fuel_Equations.VEERG_8_1_1_1__1_FuelCombustionTransport($L29,$G29,$H29)</f>
        <v>0</v>
      </c>
      <c r="O29" s="185" cm="1">
        <f t="array" ref="O29">Fuel_Equations.VEERG_8_1_1_1__1_FuelCombustionTransport($L29,$G29,$I29)</f>
        <v>0</v>
      </c>
      <c r="P29" s="185" cm="1">
        <f t="array" ref="P29">Fuel_Equations.VEERG_8_1_1_1__1_FuelCombustionTransport($L29,$G29,$J29)</f>
        <v>0</v>
      </c>
      <c r="Q29" s="185" cm="1">
        <f t="array" ref="Q29">Scope3_Equations.VEERG_15_11_1_1__2_UpstreamTransportFuelEmissions(L29,G29,IF(ISNUMBER(K29),K29,0))</f>
        <v>0</v>
      </c>
    </row>
    <row r="30" spans="1:17" ht="20.100000000000001" customHeight="1" x14ac:dyDescent="0.2">
      <c r="A30" s="5" t="str">
        <f>HYPERLINK("#'6.1.1.1-2 Crop residue N2O'!A1", "6.1.1.1-2 Crop residue N2O")</f>
        <v>6.1.1.1-2 Crop residue N2O</v>
      </c>
      <c r="D30" s="186" t="str">
        <f t="shared" si="0"/>
        <v>Cars and light commercial vehicles</v>
      </c>
      <c r="E30" s="184" t="str">
        <f>'Constants - Fuel'!$E$15</f>
        <v>Biodiesel</v>
      </c>
      <c r="F30" s="184"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02" cm="1">
        <f t="array" ref="L30">Fuel_InputFunctions.Fuel_TotalConsumption(Table_Input_Fuel[Amount consumed], Table_Input_Fuel[Fuel use (select)], D30, Table_Input_Fuel[Fuel type (select)],F30)</f>
        <v>0</v>
      </c>
      <c r="M30" s="102" t="str" cm="1">
        <f t="array" ref="M30">Common_InputFunctions.Utility_LookupValueInTable(F30,Table_FuelTypes_Units[Fuel type],Table_FuelTypes_Units[Unit])</f>
        <v>kL</v>
      </c>
      <c r="N30" s="185" cm="1">
        <f t="array" ref="N30">Fuel_Equations.VEERG_8_1_1_1__1_FuelCombustionTransport($L30,$G30,$H30)</f>
        <v>0</v>
      </c>
      <c r="O30" s="185" cm="1">
        <f t="array" ref="O30">Fuel_Equations.VEERG_8_1_1_1__1_FuelCombustionTransport($L30,$G30,$I30)</f>
        <v>0</v>
      </c>
      <c r="P30" s="185" cm="1">
        <f t="array" ref="P30">Fuel_Equations.VEERG_8_1_1_1__1_FuelCombustionTransport($L30,$G30,$J30)</f>
        <v>0</v>
      </c>
      <c r="Q30" s="185" cm="1">
        <f t="array" ref="Q30">Scope3_Equations.VEERG_15_11_1_1__2_UpstreamTransportFuelEmissions(L30,G30,IF(ISNUMBER(K30),K30,0))</f>
        <v>0</v>
      </c>
    </row>
    <row r="31" spans="1:17" ht="20.100000000000001" customHeight="1" x14ac:dyDescent="0.2">
      <c r="A31" s="5" t="str">
        <f>HYPERLINK("#'6.3.1.1-2 Leach runoff crop'!A1", "6.3.1.1-2 Leach &amp; runoff (crop)")</f>
        <v>6.3.1.1-2 Leach &amp; runoff (crop)</v>
      </c>
      <c r="D31" s="186" t="str">
        <f t="shared" si="0"/>
        <v>Cars and light commercial vehicles</v>
      </c>
      <c r="E31" s="184" t="str">
        <f>'Constants - Fuel'!$E$16</f>
        <v>Renewable diesel</v>
      </c>
      <c r="F31" s="184"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02" cm="1">
        <f t="array" ref="L31">Fuel_InputFunctions.Fuel_TotalConsumption(Table_Input_Fuel[Amount consumed], Table_Input_Fuel[Fuel use (select)], D31, Table_Input_Fuel[Fuel type (select)],F31)</f>
        <v>0</v>
      </c>
      <c r="M31" s="102" t="str" cm="1">
        <f t="array" ref="M31">Common_InputFunctions.Utility_LookupValueInTable(F31,Table_FuelTypes_Units[Fuel type],Table_FuelTypes_Units[Unit])</f>
        <v>kL</v>
      </c>
      <c r="N31" s="185" cm="1">
        <f t="array" ref="N31">Fuel_Equations.VEERG_8_1_1_1__1_FuelCombustionTransport($L31,$G31,$H31)</f>
        <v>0</v>
      </c>
      <c r="O31" s="185" cm="1">
        <f t="array" ref="O31">Fuel_Equations.VEERG_8_1_1_1__1_FuelCombustionTransport($L31,$G31,$I31)</f>
        <v>0</v>
      </c>
      <c r="P31" s="185" cm="1">
        <f t="array" ref="P31">Fuel_Equations.VEERG_8_1_1_1__1_FuelCombustionTransport($L31,$G31,$J31)</f>
        <v>0</v>
      </c>
      <c r="Q31" s="185" cm="1">
        <f t="array" ref="Q31">Scope3_Equations.VEERG_15_11_1_1__2_UpstreamTransportFuelEmissions(L31,G31,IF(ISNUMBER(K31),K31,0))</f>
        <v>0</v>
      </c>
    </row>
    <row r="32" spans="1:17" ht="20.100000000000001" customHeight="1" x14ac:dyDescent="0.2">
      <c r="A32" s="150" t="str">
        <f>HYPERLINK("#'8.1.1.1-2 Transport fuel'!A1", "8.1.1.1-2 Transport fuel")</f>
        <v>8.1.1.1-2 Transport fuel</v>
      </c>
      <c r="D32" s="186" t="str">
        <f t="shared" si="0"/>
        <v>Cars and light commercial vehicles</v>
      </c>
      <c r="E32" s="184" t="str">
        <f>'Constants - Fuel'!$E$17</f>
        <v>Other biofuels</v>
      </c>
      <c r="F32" s="184"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82"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02"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5" cm="1">
        <f t="array" ref="Q32">Scope3_Equations.VEERG_15_11_1_1__2_UpstreamTransportFuelEmissions(L32,G32,IF(ISNUMBER(K32),K32,0))</f>
        <v>0</v>
      </c>
    </row>
    <row r="33" spans="1:17" ht="20.100000000000001" customHeight="1" x14ac:dyDescent="0.2">
      <c r="A33" s="5" t="str">
        <f>HYPERLINK("#'8.2.1.1-2 Stationary fuel'!A1", "8.2.1.1-2 Stationary fuel")</f>
        <v>8.2.1.1-2 Stationary fuel</v>
      </c>
      <c r="D33" s="189" t="str">
        <f>Table_FuelTypesPerUse[[#Headers],[Off-road Agriculture and forestry equipment]]</f>
        <v>Off-road Agriculture and forestry equipment</v>
      </c>
      <c r="E33" s="190" t="str">
        <f>'Constants - Fuel'!$E$11</f>
        <v>Diesel oil</v>
      </c>
      <c r="F33" s="190" t="str">
        <f>'Constants - Fuel'!H131</f>
        <v>Diesel</v>
      </c>
      <c r="G33" s="191" cm="1">
        <f t="array" ref="G33">IFERROR(_xlfn.XLOOKUP(1, (Table_Fuel_EFs_Transport[Fuel combusted]=$E33)*(Table_Fuel_EFs_Transport[Transport type]=$D$33), Table_Fuel_EFs_Transport[Energy Content Factor (GJ per unit of fuel)]), 0)</f>
        <v>38.6</v>
      </c>
      <c r="H33" s="191" cm="1">
        <f t="array" ref="H33">IFERROR(_xlfn.XLOOKUP(1, (Table_Fuel_EFs_Transport[Fuel combusted]=$E33)*(Table_Fuel_EFs_Transport[Transport type]=$D$33), Table_Fuel_EFs_Transport[Scope 1 Emission Factor (kg CO2 - e / GJ) CO2]), 0)</f>
        <v>69.900000000000006</v>
      </c>
      <c r="I33" s="191" cm="1">
        <f t="array" ref="I33">IFERROR(_xlfn.XLOOKUP(1, (Table_Fuel_EFs_Transport[Fuel combusted]=$E33)*(Table_Fuel_EFs_Transport[Transport type]=$D$33), Table_Fuel_EFs_Transport[Scope 1 Emission Factor (kg CO2 - e / GJ) CH4]), 0)</f>
        <v>0.3</v>
      </c>
      <c r="J33" s="191" cm="1">
        <f t="array" ref="J33">IFERROR(_xlfn.XLOOKUP(1, (Table_Fuel_EFs_Transport[Fuel combusted]=$E33)*(Table_Fuel_EFs_Transport[Transport type]=$D$33), Table_Fuel_EFs_Transport[Scope 1 Emission Factor (kg CO2 - e / GJ) N2O]), 0)</f>
        <v>0.5</v>
      </c>
      <c r="K33" s="192" cm="1">
        <f t="array" ref="K33">IFERROR(_xlfn.XLOOKUP(1, (Table_Fuel_EFs_Transport[Fuel combusted]=$E33)*(Table_Fuel_EFs_Transport[Transport type]=$D$25), Table_Fuel_EFs_Transport[Scope 3 Emission Factor (kg CO2 - e / GJ)]), 0)</f>
        <v>17.3</v>
      </c>
      <c r="L33" s="193" cm="1">
        <f t="array" ref="L33">Fuel_InputFunctions.Fuel_TotalConsumption(Table_Input_Fuel[Amount consumed], Table_Input_Fuel[Fuel use (select)], D33, Table_Input_Fuel[Fuel type (select)],F33)</f>
        <v>10</v>
      </c>
      <c r="M33" s="194" t="str" cm="1">
        <f t="array" ref="M33">Common_InputFunctions.Utility_LookupValueInTable(F33,Table_FuelTypes_Units[Fuel type],Table_FuelTypes_Units[Unit])</f>
        <v>kL</v>
      </c>
      <c r="N33" s="195" cm="1">
        <f t="array" ref="N33">Fuel_Equations.VEERG_8_1_1_1__1_FuelCombustionTransport($L33,$G33,$H33)</f>
        <v>26.981400000000001</v>
      </c>
      <c r="O33" s="195" cm="1">
        <f t="array" ref="O33">Fuel_Equations.VEERG_8_1_1_1__1_FuelCombustionTransport($L33,$G33,$I33)</f>
        <v>0.1158</v>
      </c>
      <c r="P33" s="195" cm="1">
        <f t="array" ref="P33">Fuel_Equations.VEERG_8_1_1_1__1_FuelCombustionTransport($L33,$G33,$J33)</f>
        <v>0.193</v>
      </c>
      <c r="Q33" s="196" cm="1">
        <f t="array" ref="Q33">Scope3_Equations.VEERG_15_11_1_1__2_UpstreamTransportFuelEmissions(L33,G33,K33)</f>
        <v>6.6778000000000004</v>
      </c>
    </row>
    <row r="34" spans="1:17" ht="20.100000000000001" customHeight="1" x14ac:dyDescent="0.2">
      <c r="A34" s="5" t="str">
        <f>HYPERLINK("#'10.1.1-2 Solid waste treatment'!A1", "10.1.1.1-2 Solid waste")</f>
        <v>10.1.1.1-2 Solid waste</v>
      </c>
      <c r="D34" s="189" t="str">
        <f>Table_FuelTypesPerUse[[#Headers],[Aviation]]</f>
        <v>Aviation</v>
      </c>
      <c r="E34" s="190" t="str">
        <f>'Constants - Fuel'!$E$28</f>
        <v>Gasoline for use as fuel in an aircraft</v>
      </c>
      <c r="F34" s="190" t="str">
        <f>'Constants - Fuel'!$F$131</f>
        <v>Avgas</v>
      </c>
      <c r="G34" s="197" cm="1">
        <f t="array" ref="G34">IFERROR(_xlfn.XLOOKUP(1, (Table_Fuel_EFs_Transport[Fuel combusted]=$E34)*(Table_Fuel_EFs_Transport[Transport type]=$D$34), Table_Fuel_EFs_Transport[Energy Content Factor (GJ per unit of fuel)]), 0)</f>
        <v>33.1</v>
      </c>
      <c r="H34" s="197" cm="1">
        <f t="array" ref="H34">IFERROR(_xlfn.XLOOKUP(1, (Table_Fuel_EFs_Transport[Fuel combusted]=$E34)*(Table_Fuel_EFs_Transport[Transport type]=$D$34), Table_Fuel_EFs_Transport[Scope 1 Emission Factor (kg CO2 - e / GJ) CO2]), 0)</f>
        <v>67</v>
      </c>
      <c r="I34" s="197" cm="1">
        <f t="array" ref="I34">IFERROR(_xlfn.XLOOKUP(1, (Table_Fuel_EFs_Transport[Fuel combusted]=$E34)*(Table_Fuel_EFs_Transport[Transport type]=$D$34), Table_Fuel_EFs_Transport[Scope 1 Emission Factor (kg CO2 - e / GJ) CH4]), 0)</f>
        <v>0.06</v>
      </c>
      <c r="J34" s="197" cm="1">
        <f t="array" ref="J34">IFERROR(_xlfn.XLOOKUP(1, (Table_Fuel_EFs_Transport[Fuel combusted]=$E34)*(Table_Fuel_EFs_Transport[Transport type]=$D$34), Table_Fuel_EFs_Transport[Scope 1 Emission Factor (kg CO2 - e / GJ) N2O]), 0)</f>
        <v>0.6</v>
      </c>
      <c r="K34" s="197" cm="1">
        <f t="array" ref="K34">IFERROR(_xlfn.XLOOKUP(1, (Table_Fuel_EFs_Transport[Fuel combusted]=$E34)*(Table_Fuel_EFs_Transport[Transport type]=$D$25), Table_Fuel_EFs_Transport[Scope 3 Emission Factor (kg CO2 - e / GJ)]), 0)</f>
        <v>0</v>
      </c>
      <c r="L34" s="194" cm="1">
        <f t="array" ref="L34">Fuel_InputFunctions.Fuel_TotalConsumption(Table_Input_Fuel[Amount consumed], Table_Input_Fuel[Fuel use (select)], D34, Table_Input_Fuel[Fuel type (select)],F34)</f>
        <v>0</v>
      </c>
      <c r="M34" s="194" t="str" cm="1">
        <f t="array" ref="M34">Common_InputFunctions.Utility_LookupValueInTable(F34,Table_FuelTypes_Units[Fuel type],Table_FuelTypes_Units[Unit])</f>
        <v>kL</v>
      </c>
      <c r="N34" s="195" cm="1">
        <f t="array" ref="N34">Fuel_Equations.VEERG_8_1_1_1__1_FuelCombustionTransport($L34,$G34,$H34)</f>
        <v>0</v>
      </c>
      <c r="O34" s="195" cm="1">
        <f t="array" ref="O34">Fuel_Equations.VEERG_8_1_1_1__1_FuelCombustionTransport($L34,$G34,$I34)</f>
        <v>0</v>
      </c>
      <c r="P34" s="195" cm="1">
        <f t="array" ref="P34">Fuel_Equations.VEERG_8_1_1_1__1_FuelCombustionTransport($L34,$G34,$J34)</f>
        <v>0</v>
      </c>
      <c r="Q34" s="195" cm="1">
        <f t="array" ref="Q34">Scope3_Equations.VEERG_15_11_1_1__2_UpstreamTransportFuelEmissions(L34,G34,K34)</f>
        <v>0</v>
      </c>
    </row>
    <row r="35" spans="1:17" ht="20.100000000000001" customHeight="1" x14ac:dyDescent="0.2">
      <c r="A35" s="5" t="str">
        <f>HYPERLINK("#'14.1.1-2 Purchased electricity'!A1", "14.1.1-2 Purchased electricity")</f>
        <v>14.1.1-2 Purchased electricity</v>
      </c>
      <c r="D35" s="186" t="str">
        <f>$D$34</f>
        <v>Aviation</v>
      </c>
      <c r="E35" s="184" t="str">
        <f>'Constants - Fuel'!$E$29</f>
        <v>Kerosene for use as fuel in an aircraft</v>
      </c>
      <c r="F35" s="184"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02" cm="1">
        <f t="array" ref="L35">Fuel_InputFunctions.Fuel_TotalConsumption(Table_Input_Fuel[Amount consumed], Table_Input_Fuel[Fuel use (select)], D35, Table_Input_Fuel[Fuel type (select)],F35)</f>
        <v>0</v>
      </c>
      <c r="M35" s="102" t="str" cm="1">
        <f t="array" ref="M35">Common_InputFunctions.Utility_LookupValueInTable(F35,Table_FuelTypes_Units[Fuel type],Table_FuelTypes_Units[Unit])</f>
        <v>kL</v>
      </c>
      <c r="N35" s="185" cm="1">
        <f t="array" ref="N35">Fuel_Equations.VEERG_8_1_1_1__1_FuelCombustionTransport($L35,$G35,$H35)</f>
        <v>0</v>
      </c>
      <c r="O35" s="185" cm="1">
        <f t="array" ref="O35">Fuel_Equations.VEERG_8_1_1_1__1_FuelCombustionTransport($L35,$G35,$I35)</f>
        <v>0</v>
      </c>
      <c r="P35" s="185" cm="1">
        <f t="array" ref="P35">Fuel_Equations.VEERG_8_1_1_1__1_FuelCombustionTransport($L35,$G35,$J35)</f>
        <v>0</v>
      </c>
      <c r="Q35" s="185" cm="1">
        <f t="array" ref="Q35">Scope3_Equations.VEERG_15_11_1_1__2_UpstreamTransportFuelEmissions(L35,G35,K35)</f>
        <v>0</v>
      </c>
    </row>
    <row r="36" spans="1:17" ht="20.100000000000001" customHeight="1" x14ac:dyDescent="0.2">
      <c r="A36" s="5" t="str">
        <f>HYPERLINK("#'15 Scope 3'!A1", "15 Scope 3")</f>
        <v>15 Scope 3</v>
      </c>
      <c r="D36" s="186" t="str">
        <f>$D$34</f>
        <v>Aviation</v>
      </c>
      <c r="E36" s="184" t="str">
        <f>'Constants - Fuel'!$E$30</f>
        <v>Renewable aviation kerosene</v>
      </c>
      <c r="F36" s="184" t="str">
        <f>'Constants - Fuel'!$F$133</f>
        <v>Renewable aviation kerosene</v>
      </c>
      <c r="G36" s="182" cm="1">
        <f t="array" ref="G36">IFERROR(_xlfn.XLOOKUP(1, (Table_Fuel_EFs_Transport[Fuel combusted]=$E36)*(Table_Fuel_EFs_Transport[Transport type]=$D$34), Table_Fuel_EFs_Transport[Energy Content Factor (GJ per unit of fuel)]), 0)</f>
        <v>36.799999999999997</v>
      </c>
      <c r="H36" s="182" cm="1">
        <f t="array" ref="H36">IFERROR(_xlfn.XLOOKUP(1, (Table_Fuel_EFs_Transport[Fuel combusted]=$E36)*(Table_Fuel_EFs_Transport[Transport type]=$D$34), Table_Fuel_EFs_Transport[Scope 1 Emission Factor (kg CO2 - e / GJ) CO2]), 0)</f>
        <v>0</v>
      </c>
      <c r="I36" s="182" cm="1">
        <f t="array" ref="I36">IFERROR(_xlfn.XLOOKUP(1, (Table_Fuel_EFs_Transport[Fuel combusted]=$E36)*(Table_Fuel_EFs_Transport[Transport type]=$D$34), Table_Fuel_EFs_Transport[Scope 1 Emission Factor (kg CO2 - e / GJ) CH4]), 0)</f>
        <v>0.01</v>
      </c>
      <c r="J36" s="182" cm="1">
        <f t="array" ref="J36">IFERROR(_xlfn.XLOOKUP(1, (Table_Fuel_EFs_Transport[Fuel combusted]=$E36)*(Table_Fuel_EFs_Transport[Transport type]=$D$34), Table_Fuel_EFs_Transport[Scope 1 Emission Factor (kg CO2 - e / GJ) N2O]), 0)</f>
        <v>0.6</v>
      </c>
      <c r="K36" s="182"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02" t="str" cm="1">
        <f t="array" ref="M36">Common_InputFunctions.Utility_LookupValueInTable(F36,Table_FuelTypes_Units[Fuel type],Table_FuelTypes_Units[Unit])</f>
        <v>kL</v>
      </c>
      <c r="N36" s="185" cm="1">
        <f t="array" ref="N36">Fuel_Equations.VEERG_8_1_1_1__1_FuelCombustionTransport($L36,$G36,$H36)</f>
        <v>0</v>
      </c>
      <c r="O36" s="185" cm="1">
        <f t="array" ref="O36">Fuel_Equations.VEERG_8_1_1_1__1_FuelCombustionTransport($L36,$G36,$I36)</f>
        <v>0</v>
      </c>
      <c r="P36" s="185" cm="1">
        <f t="array" ref="P36">Fuel_Equations.VEERG_8_1_1_1__1_FuelCombustionTransport($L36,$G36,$J36)</f>
        <v>0</v>
      </c>
      <c r="Q36" s="188" cm="1">
        <f t="array" ref="Q36">Scope3_Equations.VEERG_15_11_1_1__2_UpstreamTransportFuelEmissions(L36,G36,K36)</f>
        <v>0</v>
      </c>
    </row>
    <row r="37" spans="1:17" ht="20.100000000000001" customHeight="1" x14ac:dyDescent="0.2">
      <c r="D37" s="189" t="str">
        <f>Table_FuelTypesPerUse[[#Headers],[Vessels]]</f>
        <v>Vessels</v>
      </c>
      <c r="E37" s="190" t="str">
        <f>'Constants - Fuel'!$E$10</f>
        <v>Gasoline</v>
      </c>
      <c r="F37" s="190" t="str">
        <f>'Constants - Fuel'!$I$131</f>
        <v>Petrol</v>
      </c>
      <c r="G37" s="197" cm="1">
        <f t="array" ref="G37">IFERROR(_xlfn.XLOOKUP(1, (Table_Fuel_EFs_Transport[Fuel combusted]=$E37)*(Table_Fuel_EFs_Transport[Transport type]=$D$37), Table_Fuel_EFs_Transport[Energy Content Factor (GJ per unit of fuel)]), 0)</f>
        <v>34.200000000000003</v>
      </c>
      <c r="H37" s="197" cm="1">
        <f t="array" ref="H37">IFERROR(_xlfn.XLOOKUP(1, (Table_Fuel_EFs_Transport[Fuel combusted]=$E37)*(Table_Fuel_EFs_Transport[Transport type]=$D$37), Table_Fuel_EFs_Transport[Scope 1 Emission Factor (kg CO2 - e / GJ) CO2]), 0)</f>
        <v>67.400000000000006</v>
      </c>
      <c r="I37" s="197" cm="1">
        <f t="array" ref="I37">IFERROR(_xlfn.XLOOKUP(1, (Table_Fuel_EFs_Transport[Fuel combusted]=$E37)*(Table_Fuel_EFs_Transport[Transport type]=$D$37), Table_Fuel_EFs_Transport[Scope 1 Emission Factor (kg CO2 - e / GJ) CH4]), 0)</f>
        <v>10.1</v>
      </c>
      <c r="J37" s="197" cm="1">
        <f t="array" ref="J37">IFERROR(_xlfn.XLOOKUP(1, (Table_Fuel_EFs_Transport[Fuel combusted]=$E37)*(Table_Fuel_EFs_Transport[Transport type]=$D$37), Table_Fuel_EFs_Transport[Scope 1 Emission Factor (kg CO2 - e / GJ) N2O]), 0)</f>
        <v>0.3</v>
      </c>
      <c r="K37" s="197" cm="1">
        <f t="array" ref="K37">IFERROR(_xlfn.XLOOKUP(1, (Table_Fuel_EFs_Transport[Fuel combusted]=$E37)*(Table_Fuel_EFs_Transport[Transport type]=$D$25), Table_Fuel_EFs_Transport[Scope 3 Emission Factor (kg CO2 - e / GJ)]), 0)</f>
        <v>17.2</v>
      </c>
      <c r="L37" s="194" cm="1">
        <f t="array" ref="L37">Fuel_InputFunctions.Fuel_TotalConsumption(Table_Input_Fuel[Amount consumed], Table_Input_Fuel[Fuel use (select)], D37, Table_Input_Fuel[Fuel type (select)],F37)</f>
        <v>0</v>
      </c>
      <c r="M37" s="198" t="str" cm="1">
        <f t="array" ref="M37">Common_InputFunctions.Utility_LookupValueInTable(F37,Table_FuelTypes_Units[Fuel type],Table_FuelTypes_Units[Unit])</f>
        <v>kL</v>
      </c>
      <c r="N37" s="195" cm="1">
        <f t="array" ref="N37">Fuel_Equations.VEERG_8_1_1_1__1_FuelCombustionTransport($L37,$G37,$H37)</f>
        <v>0</v>
      </c>
      <c r="O37" s="195" cm="1">
        <f t="array" ref="O37">Fuel_Equations.VEERG_8_1_1_1__1_FuelCombustionTransport($L37,$G37,$I37)</f>
        <v>0</v>
      </c>
      <c r="P37" s="195" cm="1">
        <f t="array" ref="P37">Fuel_Equations.VEERG_8_1_1_1__1_FuelCombustionTransport($L37,$G37,$J37)</f>
        <v>0</v>
      </c>
      <c r="Q37" s="195" cm="1">
        <f t="array" ref="Q37">Scope3_Equations.VEERG_15_11_1_1__2_UpstreamTransportFuelEmissions(L37,G37,K37)</f>
        <v>0</v>
      </c>
    </row>
    <row r="38" spans="1:17" ht="20.100000000000001" customHeight="1" x14ac:dyDescent="0.2">
      <c r="D38" s="186" t="str">
        <f>$D$37</f>
        <v>Vessels</v>
      </c>
      <c r="E38" s="184" t="str">
        <f>'Constants - Fuel'!$E$11</f>
        <v>Diesel oil</v>
      </c>
      <c r="F38" s="184"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02" cm="1">
        <f t="array" ref="L38">Fuel_InputFunctions.Fuel_TotalConsumption(Table_Input_Fuel[Amount consumed], Table_Input_Fuel[Fuel use (select)], D38, Table_Input_Fuel[Fuel type (select)],F38)</f>
        <v>0</v>
      </c>
      <c r="M38" s="102" t="str" cm="1">
        <f t="array" ref="M38">Common_InputFunctions.Utility_LookupValueInTable(F38,Table_FuelTypes_Units[Fuel type],Table_FuelTypes_Units[Unit])</f>
        <v>kL</v>
      </c>
      <c r="N38" s="185" cm="1">
        <f t="array" ref="N38">Fuel_Equations.VEERG_8_1_1_1__1_FuelCombustionTransport($L38,$G38,$H38)</f>
        <v>0</v>
      </c>
      <c r="O38" s="185" cm="1">
        <f t="array" ref="O38">Fuel_Equations.VEERG_8_1_1_1__1_FuelCombustionTransport($L38,$G38,$I38)</f>
        <v>0</v>
      </c>
      <c r="P38" s="185" cm="1">
        <f t="array" ref="P38">Fuel_Equations.VEERG_8_1_1_1__1_FuelCombustionTransport($L38,$G38,$J38)</f>
        <v>0</v>
      </c>
      <c r="Q38" s="185" cm="1">
        <f t="array" ref="Q38">Scope3_Equations.VEERG_15_11_1_1__2_UpstreamTransportFuelEmissions(L38,G38,K38)</f>
        <v>0</v>
      </c>
    </row>
    <row r="39" spans="1:17" ht="20.100000000000001" customHeight="1" x14ac:dyDescent="0.2">
      <c r="A39" s="82" t="s">
        <v>1</v>
      </c>
      <c r="D39" s="186" t="str">
        <f>$D$37</f>
        <v>Vessels</v>
      </c>
      <c r="E39" s="184" t="str">
        <f>'Constants - Fuel'!E33</f>
        <v>Fuel Oil</v>
      </c>
      <c r="F39" s="184"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02" cm="1">
        <f t="array" ref="L39">Fuel_InputFunctions.Fuel_TotalConsumption(Table_Input_Fuel[Amount consumed], Table_Input_Fuel[Fuel use (select)], D39, Table_Input_Fuel[Fuel type (select)],F39)</f>
        <v>10</v>
      </c>
      <c r="M39" s="102" t="str" cm="1">
        <f t="array" ref="M39">Common_InputFunctions.Utility_LookupValueInTable(F39,Table_FuelTypes_Units[Fuel type],Table_FuelTypes_Units[Unit])</f>
        <v>kL</v>
      </c>
      <c r="N39" s="185" cm="1">
        <f t="array" ref="N39">Fuel_Equations.VEERG_8_1_1_1__1_FuelCombustionTransport($L39,$G39,$H39)</f>
        <v>29.219199999999997</v>
      </c>
      <c r="O39" s="185" cm="1">
        <f t="array" ref="O39">Fuel_Equations.VEERG_8_1_1_1__1_FuelCombustionTransport($L39,$G39,$I39)</f>
        <v>7.9400000000000012E-2</v>
      </c>
      <c r="P39" s="185" cm="1">
        <f t="array" ref="P39">Fuel_Equations.VEERG_8_1_1_1__1_FuelCombustionTransport($L39,$G39,$J39)</f>
        <v>0.19850000000000001</v>
      </c>
      <c r="Q39" s="185" cm="1">
        <f t="array" ref="Q39">Scope3_Equations.VEERG_15_11_1_1__2_UpstreamTransportFuelEmissions(L39,G39,K39)</f>
        <v>7.1459999999999999</v>
      </c>
    </row>
    <row r="40" spans="1:17" ht="20.100000000000001" customHeight="1" x14ac:dyDescent="0.2">
      <c r="A40" s="5" t="str">
        <f>HYPERLINK("#'Constants - Ag Residue'!A1", "Constants - Ag residue")</f>
        <v>Constants - Ag residue</v>
      </c>
      <c r="H40" s="161"/>
      <c r="I40" s="161"/>
      <c r="J40" s="161"/>
      <c r="L40" s="161"/>
      <c r="M40" s="161"/>
      <c r="N40" s="161"/>
      <c r="O40" s="161"/>
      <c r="P40" s="161"/>
      <c r="Q40" s="161"/>
    </row>
    <row r="41" spans="1:17" ht="20.100000000000001" customHeight="1" x14ac:dyDescent="0.2">
      <c r="A41" s="5" t="str">
        <f>HYPERLINK("#'Constants - Electricity'!A1", "Constants - Electricity")</f>
        <v>Constants - Electricity</v>
      </c>
      <c r="H41" s="161"/>
      <c r="I41" s="161"/>
      <c r="J41" s="161"/>
      <c r="L41" s="161"/>
      <c r="M41" s="161"/>
      <c r="N41" s="161"/>
      <c r="O41" s="161"/>
      <c r="P41" s="161"/>
      <c r="Q41" s="161"/>
    </row>
    <row r="42" spans="1:17" ht="20.100000000000001" customHeight="1" x14ac:dyDescent="0.2">
      <c r="A42" s="5" t="str">
        <f>HYPERLINK("#'Constants - Fertiliser'!A1", "Constants - Fertiliser")</f>
        <v>Constants - Fertiliser</v>
      </c>
      <c r="D42" s="199" t="str">
        <f>"Total scope 1 - " &amp; D25</f>
        <v>Total scope 1 - Cars and light commercial vehicles</v>
      </c>
      <c r="E42" s="200"/>
      <c r="F42" s="201"/>
    </row>
    <row r="43" spans="1:17" ht="20.100000000000001" customHeight="1" x14ac:dyDescent="0.2">
      <c r="A43" s="5" t="str">
        <f>HYPERLINK("#'Constants - Fuel'!A1", "Constants - Fuel")</f>
        <v>Constants - Fuel</v>
      </c>
      <c r="D43" s="25" t="s">
        <v>616</v>
      </c>
      <c r="E43" s="202">
        <f>SUM(N25:N32)+N("Partial sum")</f>
        <v>26.981400000000001</v>
      </c>
      <c r="F43" s="16" t="str">
        <f>$E$12</f>
        <v>t CO2-e</v>
      </c>
    </row>
    <row r="44" spans="1:17" ht="20.100000000000001" customHeight="1" x14ac:dyDescent="0.2">
      <c r="A44" s="5" t="str">
        <f>HYPERLINK("#'Constants - Scope 3'!A1", "Constants - Scope 3")</f>
        <v>Constants - Scope 3</v>
      </c>
      <c r="D44" s="25" t="s">
        <v>617</v>
      </c>
      <c r="E44" s="202">
        <f>SUM(O25:O32)+N("Partial sum")</f>
        <v>3.8600000000000001E-3</v>
      </c>
      <c r="F44" s="16" t="str">
        <f t="shared" ref="F44:F46" si="1">$E$12</f>
        <v>t CO2-e</v>
      </c>
    </row>
    <row r="45" spans="1:17" ht="20.100000000000001" customHeight="1" x14ac:dyDescent="0.2">
      <c r="A45" s="5" t="str">
        <f>HYPERLINK("#'Constants - Solid Waste'!A1", "Constants - Solid Waste")</f>
        <v>Constants - Solid Waste</v>
      </c>
      <c r="D45" s="25" t="s">
        <v>618</v>
      </c>
      <c r="E45" s="202">
        <f>SUM(P25:P32)+N("Partial sum")</f>
        <v>0.193</v>
      </c>
      <c r="F45" s="16" t="str">
        <f t="shared" si="1"/>
        <v>t CO2-e</v>
      </c>
    </row>
    <row r="46" spans="1:17" ht="20.100000000000001" customHeight="1" x14ac:dyDescent="0.2">
      <c r="A46" s="5" t="str">
        <f>HYPERLINK("#'Constants - Common'!A1", "Constants - Common")</f>
        <v>Constants - Common</v>
      </c>
      <c r="D46" s="25" t="s">
        <v>259</v>
      </c>
      <c r="E46" s="202">
        <f>SUM(Q25:Q32)+N("Partial sum")</f>
        <v>6.6778000000000004</v>
      </c>
      <c r="F46" s="16" t="str">
        <f t="shared" si="1"/>
        <v>t CO2-e</v>
      </c>
    </row>
    <row r="47" spans="1:17" ht="20.100000000000001" customHeight="1" x14ac:dyDescent="0.2">
      <c r="A47" s="5" t="str">
        <f>HYPERLINK("#'Constants - Common Livestock'!A1", "Constants - Common Livestock")</f>
        <v>Constants - Common Livestock</v>
      </c>
      <c r="D47" s="161"/>
      <c r="E47" s="161"/>
      <c r="F47" s="161"/>
    </row>
    <row r="48" spans="1:17" ht="20.100000000000001" customHeight="1" x14ac:dyDescent="0.2">
      <c r="D48" s="199" t="str">
        <f>"Total scope 1 - " &amp; D33</f>
        <v>Total scope 1 - Off-road Agriculture and forestry equipment</v>
      </c>
      <c r="E48" s="203"/>
      <c r="F48" s="201"/>
      <c r="H48" s="161"/>
      <c r="I48" s="161"/>
      <c r="J48" s="161"/>
      <c r="L48" s="161"/>
      <c r="M48" s="161"/>
      <c r="N48" s="161"/>
      <c r="O48" s="161"/>
      <c r="P48" s="161"/>
      <c r="Q48" s="161"/>
    </row>
    <row r="49" spans="1:17" ht="20.100000000000001" customHeight="1" x14ac:dyDescent="0.2">
      <c r="D49" s="25" t="s">
        <v>616</v>
      </c>
      <c r="E49" s="202">
        <f>SUM(N33:N33)+N("Partial sum")</f>
        <v>26.981400000000001</v>
      </c>
      <c r="F49" s="16" t="str">
        <f t="shared" ref="F49:F52" si="2">$E$12</f>
        <v>t CO2-e</v>
      </c>
      <c r="H49" s="161"/>
      <c r="I49" s="161"/>
      <c r="J49" s="161"/>
      <c r="L49" s="161"/>
      <c r="M49" s="161"/>
      <c r="N49" s="161"/>
      <c r="O49" s="161"/>
      <c r="P49" s="161"/>
      <c r="Q49" s="161"/>
    </row>
    <row r="50" spans="1:17" ht="20.100000000000001" customHeight="1" x14ac:dyDescent="0.2">
      <c r="D50" s="25" t="s">
        <v>617</v>
      </c>
      <c r="E50" s="202">
        <f>SUM(O33:O33)+N("Partial sum")</f>
        <v>0.1158</v>
      </c>
      <c r="F50" s="16" t="str">
        <f t="shared" si="2"/>
        <v>t CO2-e</v>
      </c>
      <c r="H50" s="161"/>
      <c r="I50" s="161"/>
      <c r="J50" s="161"/>
      <c r="L50" s="161"/>
      <c r="M50" s="161"/>
      <c r="N50" s="161"/>
      <c r="O50" s="161"/>
      <c r="P50" s="161"/>
      <c r="Q50" s="161"/>
    </row>
    <row r="51" spans="1:17" ht="20.100000000000001" customHeight="1" x14ac:dyDescent="0.2">
      <c r="D51" s="25" t="s">
        <v>618</v>
      </c>
      <c r="E51" s="202">
        <f>SUM(P33:P33)+N("Partial sum")</f>
        <v>0.193</v>
      </c>
      <c r="F51" s="16" t="str">
        <f t="shared" si="2"/>
        <v>t CO2-e</v>
      </c>
      <c r="H51" s="161"/>
      <c r="I51" s="161"/>
      <c r="J51" s="161"/>
      <c r="L51" s="161"/>
      <c r="M51" s="161"/>
      <c r="N51" s="161"/>
      <c r="O51" s="161"/>
      <c r="P51" s="161"/>
      <c r="Q51" s="161"/>
    </row>
    <row r="52" spans="1:17" ht="20.100000000000001" customHeight="1" x14ac:dyDescent="0.2">
      <c r="D52" s="25" t="s">
        <v>259</v>
      </c>
      <c r="E52" s="202">
        <f>SUM(Q33)+N("Partial sum")</f>
        <v>6.6778000000000004</v>
      </c>
      <c r="F52" s="16" t="str">
        <f t="shared" si="2"/>
        <v>t CO2-e</v>
      </c>
      <c r="H52" s="161"/>
      <c r="I52" s="161"/>
      <c r="J52" s="161"/>
      <c r="L52" s="161"/>
      <c r="M52" s="161"/>
      <c r="N52" s="161"/>
      <c r="O52" s="161"/>
      <c r="P52" s="161"/>
      <c r="Q52" s="161"/>
    </row>
    <row r="53" spans="1:17" ht="20.100000000000001" customHeight="1" x14ac:dyDescent="0.2">
      <c r="D53" s="161"/>
      <c r="E53" s="204"/>
      <c r="F53" s="161"/>
      <c r="G53" s="161"/>
      <c r="H53" s="161"/>
      <c r="I53" s="161"/>
      <c r="J53" s="161"/>
      <c r="L53" s="161"/>
      <c r="M53" s="161"/>
      <c r="N53" s="161"/>
      <c r="O53" s="161"/>
      <c r="P53" s="161"/>
      <c r="Q53" s="161"/>
    </row>
    <row r="54" spans="1:17" ht="20.100000000000001" customHeight="1" x14ac:dyDescent="0.2">
      <c r="D54" s="199" t="str">
        <f>"Total scope 1 - " &amp; D34</f>
        <v>Total scope 1 - Aviation</v>
      </c>
      <c r="E54" s="203"/>
      <c r="F54" s="201"/>
      <c r="G54" s="161"/>
      <c r="H54" s="161"/>
      <c r="I54" s="161"/>
      <c r="J54" s="161"/>
      <c r="L54" s="161"/>
      <c r="M54" s="161"/>
      <c r="N54" s="161"/>
      <c r="O54" s="161"/>
      <c r="P54" s="161"/>
      <c r="Q54" s="161"/>
    </row>
    <row r="55" spans="1:17" ht="20.100000000000001" customHeight="1" x14ac:dyDescent="0.2">
      <c r="D55" s="25" t="s">
        <v>616</v>
      </c>
      <c r="E55" s="202">
        <f>SUM(N34:N36)+N("Partial sum")</f>
        <v>0</v>
      </c>
      <c r="F55" s="16" t="str">
        <f t="shared" ref="F55:F58" si="3">$E$12</f>
        <v>t CO2-e</v>
      </c>
      <c r="G55" s="161"/>
      <c r="H55" s="161"/>
      <c r="I55" s="161"/>
      <c r="J55" s="161"/>
      <c r="L55" s="161"/>
      <c r="M55" s="161"/>
      <c r="N55" s="161"/>
      <c r="O55" s="161"/>
      <c r="P55" s="161"/>
      <c r="Q55" s="161"/>
    </row>
    <row r="56" spans="1:17" ht="20.100000000000001" customHeight="1" x14ac:dyDescent="0.2">
      <c r="D56" s="25" t="s">
        <v>617</v>
      </c>
      <c r="E56" s="202">
        <f>SUM(O34:O36)+N("Partial sum")</f>
        <v>0</v>
      </c>
      <c r="F56" s="16" t="str">
        <f t="shared" si="3"/>
        <v>t CO2-e</v>
      </c>
      <c r="G56" s="161"/>
      <c r="H56" s="161"/>
      <c r="I56" s="161"/>
      <c r="J56" s="161"/>
      <c r="L56" s="161"/>
      <c r="M56" s="161"/>
      <c r="N56" s="161"/>
      <c r="O56" s="161"/>
      <c r="P56" s="161"/>
      <c r="Q56" s="161"/>
    </row>
    <row r="57" spans="1:17" ht="20.100000000000001" customHeight="1" x14ac:dyDescent="0.2">
      <c r="D57" s="25" t="s">
        <v>618</v>
      </c>
      <c r="E57" s="202">
        <f>SUM(P34:P36)+N("Partial sum")</f>
        <v>0</v>
      </c>
      <c r="F57" s="16" t="str">
        <f t="shared" si="3"/>
        <v>t CO2-e</v>
      </c>
      <c r="G57" s="161"/>
      <c r="H57" s="161"/>
      <c r="I57" s="161"/>
      <c r="J57" s="161"/>
      <c r="L57" s="161"/>
      <c r="M57" s="161"/>
      <c r="N57" s="161"/>
      <c r="O57" s="161"/>
      <c r="P57" s="161"/>
      <c r="Q57" s="161"/>
    </row>
    <row r="58" spans="1:17" ht="20.100000000000001" customHeight="1" x14ac:dyDescent="0.2">
      <c r="A58" s="81" t="str">
        <f>HYPERLINK("#A1", "▲ Back to top")</f>
        <v>▲ Back to top</v>
      </c>
      <c r="D58" s="25" t="s">
        <v>259</v>
      </c>
      <c r="E58" s="202">
        <f>SUM(Q34:Q36)+N("Partial sum")</f>
        <v>0</v>
      </c>
      <c r="F58" s="16" t="str">
        <f t="shared" si="3"/>
        <v>t CO2-e</v>
      </c>
      <c r="G58" s="161"/>
      <c r="H58" s="161"/>
      <c r="I58" s="161"/>
      <c r="J58" s="161"/>
      <c r="L58" s="161"/>
      <c r="M58" s="161"/>
      <c r="N58" s="161"/>
      <c r="O58" s="161"/>
      <c r="P58" s="161"/>
      <c r="Q58" s="161"/>
    </row>
    <row r="59" spans="1:17" ht="20.100000000000001" customHeight="1" x14ac:dyDescent="0.2">
      <c r="D59" s="161"/>
      <c r="E59" s="204"/>
      <c r="F59" s="161"/>
      <c r="G59" s="161"/>
      <c r="H59" s="161"/>
      <c r="I59" s="161"/>
      <c r="J59" s="161"/>
      <c r="L59" s="161"/>
      <c r="M59" s="161"/>
      <c r="N59" s="161"/>
      <c r="O59" s="161"/>
      <c r="P59" s="161"/>
      <c r="Q59" s="161"/>
    </row>
    <row r="60" spans="1:17" ht="20.100000000000001" customHeight="1" x14ac:dyDescent="0.2">
      <c r="D60" s="199" t="str">
        <f>"Total scope 1 - " &amp; D37</f>
        <v>Total scope 1 - Vessels</v>
      </c>
      <c r="E60" s="203"/>
      <c r="F60" s="201"/>
      <c r="G60" s="161"/>
      <c r="H60" s="161"/>
      <c r="I60" s="161"/>
      <c r="J60" s="161"/>
      <c r="L60" s="161"/>
      <c r="M60" s="161"/>
      <c r="N60" s="161"/>
      <c r="O60" s="161"/>
      <c r="P60" s="161"/>
      <c r="Q60" s="161"/>
    </row>
    <row r="61" spans="1:17" ht="20.100000000000001" customHeight="1" x14ac:dyDescent="0.2">
      <c r="D61" s="25" t="s">
        <v>616</v>
      </c>
      <c r="E61" s="202">
        <f>SUM(N37:N39)+N("Partial sum")</f>
        <v>29.219199999999997</v>
      </c>
      <c r="F61" s="16" t="str">
        <f t="shared" ref="F61:F64" si="4">$E$12</f>
        <v>t CO2-e</v>
      </c>
      <c r="G61" s="161"/>
      <c r="H61" s="161"/>
      <c r="I61" s="161"/>
      <c r="J61" s="161"/>
      <c r="L61" s="161"/>
      <c r="M61" s="161"/>
      <c r="N61" s="161"/>
      <c r="O61" s="161"/>
      <c r="P61" s="161"/>
      <c r="Q61" s="161"/>
    </row>
    <row r="62" spans="1:17" ht="20.100000000000001" customHeight="1" x14ac:dyDescent="0.2">
      <c r="D62" s="25" t="s">
        <v>617</v>
      </c>
      <c r="E62" s="202">
        <f>SUM(O37:O39)+N("Partial sum")</f>
        <v>7.9400000000000012E-2</v>
      </c>
      <c r="F62" s="16" t="str">
        <f t="shared" si="4"/>
        <v>t CO2-e</v>
      </c>
      <c r="G62" s="161"/>
      <c r="H62" s="161"/>
      <c r="I62" s="161"/>
      <c r="J62" s="161"/>
      <c r="L62" s="161"/>
      <c r="M62" s="161"/>
      <c r="N62" s="161"/>
      <c r="O62" s="161"/>
      <c r="P62" s="161"/>
      <c r="Q62" s="161"/>
    </row>
    <row r="63" spans="1:17" ht="20.100000000000001" customHeight="1" x14ac:dyDescent="0.2">
      <c r="D63" s="25" t="s">
        <v>618</v>
      </c>
      <c r="E63" s="202">
        <f>SUM(P37:P39)+N("Partial sum")</f>
        <v>0.19850000000000001</v>
      </c>
      <c r="F63" s="16" t="str">
        <f t="shared" si="4"/>
        <v>t CO2-e</v>
      </c>
      <c r="G63" s="161"/>
      <c r="H63" s="161"/>
      <c r="I63" s="161"/>
      <c r="J63" s="161"/>
      <c r="L63" s="161"/>
      <c r="M63" s="161"/>
      <c r="N63" s="161"/>
      <c r="O63" s="161"/>
      <c r="P63" s="161"/>
      <c r="Q63" s="161"/>
    </row>
    <row r="64" spans="1:17" ht="20.100000000000001" customHeight="1" x14ac:dyDescent="0.2">
      <c r="D64" s="25" t="s">
        <v>259</v>
      </c>
      <c r="E64" s="202">
        <f>SUM(Q37:Q39)+N("Partial sum")</f>
        <v>7.1459999999999999</v>
      </c>
      <c r="F64" s="16" t="str">
        <f t="shared" si="4"/>
        <v>t CO2-e</v>
      </c>
      <c r="G64" s="161"/>
      <c r="H64" s="161"/>
      <c r="I64" s="161"/>
      <c r="J64" s="161"/>
      <c r="L64" s="161"/>
      <c r="M64" s="161"/>
      <c r="N64" s="161"/>
      <c r="O64" s="161"/>
      <c r="P64" s="161"/>
      <c r="Q64" s="161"/>
    </row>
    <row r="65" spans="4:17" ht="20.100000000000001" customHeight="1" x14ac:dyDescent="0.2">
      <c r="G65" s="161"/>
      <c r="H65" s="161"/>
      <c r="I65" s="161"/>
      <c r="J65" s="161"/>
      <c r="L65" s="161"/>
      <c r="M65" s="161"/>
      <c r="N65" s="161"/>
      <c r="O65" s="161"/>
      <c r="P65" s="161"/>
      <c r="Q65" s="161"/>
    </row>
    <row r="66" spans="4:17" ht="20.100000000000001" customHeight="1" x14ac:dyDescent="0.2">
      <c r="D66" s="199" t="s">
        <v>619</v>
      </c>
      <c r="E66" s="205"/>
      <c r="F66" s="201"/>
      <c r="G66" s="161"/>
      <c r="H66" s="161"/>
      <c r="I66" s="161"/>
      <c r="J66" s="161"/>
      <c r="L66" s="161"/>
      <c r="M66" s="161"/>
      <c r="N66" s="161"/>
      <c r="O66" s="161"/>
      <c r="P66" s="161"/>
      <c r="Q66" s="161"/>
    </row>
    <row r="67" spans="4:17" ht="20.100000000000001" customHeight="1" x14ac:dyDescent="0.2">
      <c r="D67" s="25" t="s">
        <v>616</v>
      </c>
      <c r="E67" s="202">
        <f>E43+E49+E55+E61</f>
        <v>83.182000000000002</v>
      </c>
      <c r="F67" s="16" t="str">
        <f t="shared" ref="F67:F70" si="5">$E$12</f>
        <v>t CO2-e</v>
      </c>
      <c r="G67" s="161"/>
    </row>
    <row r="68" spans="4:17" ht="20.100000000000001" customHeight="1" x14ac:dyDescent="0.2">
      <c r="D68" s="25" t="s">
        <v>617</v>
      </c>
      <c r="E68" s="202">
        <f t="shared" ref="E68:E70" si="6">E44+E50+E56+E62</f>
        <v>0.19906000000000001</v>
      </c>
      <c r="F68" s="16" t="str">
        <f t="shared" si="5"/>
        <v>t CO2-e</v>
      </c>
      <c r="G68" s="161"/>
    </row>
    <row r="69" spans="4:17" ht="20.100000000000001" customHeight="1" x14ac:dyDescent="0.2">
      <c r="D69" s="25" t="s">
        <v>618</v>
      </c>
      <c r="E69" s="202">
        <f t="shared" si="6"/>
        <v>0.58450000000000002</v>
      </c>
      <c r="F69" s="16" t="str">
        <f t="shared" si="5"/>
        <v>t CO2-e</v>
      </c>
      <c r="G69" s="161"/>
    </row>
    <row r="70" spans="4:17" ht="20.100000000000001" customHeight="1" x14ac:dyDescent="0.2">
      <c r="D70" s="25" t="s">
        <v>259</v>
      </c>
      <c r="E70" s="202">
        <f t="shared" si="6"/>
        <v>20.5016</v>
      </c>
      <c r="F70" s="16" t="str">
        <f t="shared" si="5"/>
        <v>t CO2-e</v>
      </c>
      <c r="G70" s="161"/>
    </row>
    <row r="71" spans="4:17" ht="20.100000000000001" customHeight="1" x14ac:dyDescent="0.2">
      <c r="G71" s="161"/>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7D223EF5-0B93-4847-AF11-4018B857EC98}"/>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E23E8-58A9-4696-BAC5-ACB7730FEA0E}">
  <sheetPr>
    <tabColor rgb="FF008000"/>
  </sheetPr>
  <dimension ref="A1:R71"/>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620</v>
      </c>
    </row>
    <row r="2" spans="1:18" s="3" customFormat="1" ht="20.100000000000001" customHeight="1" x14ac:dyDescent="0.2">
      <c r="A2"/>
    </row>
    <row r="3" spans="1:18" ht="20.100000000000001" customHeight="1" x14ac:dyDescent="0.2">
      <c r="A3" s="5" t="str">
        <f>HYPERLINK("#'Home'!A1", "Home")</f>
        <v>Home</v>
      </c>
      <c r="C3" s="23"/>
      <c r="D3" s="23" t="s">
        <v>128</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EI")</f>
        <v>Results - Product EI</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61"/>
      <c r="P5" s="161"/>
      <c r="Q5" s="161"/>
      <c r="R5" s="161"/>
    </row>
    <row r="6" spans="1:18" ht="20.100000000000001" customHeight="1" x14ac:dyDescent="0.2">
      <c r="D6" s="17" t="str" cm="1">
        <f t="array" ref="D6">Fuel_Equations.VEERG_8_2_1_1__1_FuelCombustionStationary_Source()</f>
        <v>VEERG 2026: 8.2.1.1, Equation (1)</v>
      </c>
      <c r="K6" s="17" t="str" cm="1">
        <f t="array" ref="K6">Scope3_Equations.VEERG_15_11_1_1__3_UpstreamStationaryFuelEmissions_Source()</f>
        <v>VEERG 2026: 15.11.1.1, Equation (3)</v>
      </c>
      <c r="O6" s="161"/>
      <c r="P6" s="161"/>
      <c r="Q6" s="161"/>
      <c r="R6" s="161"/>
    </row>
    <row r="7" spans="1:18" ht="20.100000000000001" customHeight="1" x14ac:dyDescent="0.2">
      <c r="D7" s="140" t="s">
        <v>402</v>
      </c>
      <c r="E7" s="140" t="str" cm="1">
        <f t="array" aca="1" ref="E7" ca="1">Common_InputFunctions.Utility_DisplayFunctionName(N25)</f>
        <v>=Fuel_Equations.VEERG_8_2_1_1__1_FuelCombustionStationary</v>
      </c>
      <c r="K7" s="26" t="str" cm="1">
        <f t="array" ref="K7">Scope3_Equations.VEERG_15_11_1_1__3_UpstreamStationaryFuelEmissions_Variation()</f>
        <v>VARIATION ON SOURCE: Added 'state' and 'metro/non-metro' arguments as gaseous scope 3 EFs are state and metro/non-metro location-based.</v>
      </c>
      <c r="O7" s="161"/>
      <c r="P7" s="161"/>
      <c r="Q7" s="161"/>
      <c r="R7" s="161"/>
    </row>
    <row r="8" spans="1:18" ht="20.100000000000001" customHeight="1" x14ac:dyDescent="0.2">
      <c r="A8" s="7" t="s">
        <v>0</v>
      </c>
      <c r="K8" s="140" t="s">
        <v>402</v>
      </c>
      <c r="L8" s="140" t="str" cm="1">
        <f t="array" aca="1" ref="L8" ca="1">Common_InputFunctions.Utility_DisplayFunctionName(Q25)</f>
        <v>=Fuel_Equations.VEERG_8_2_1_1__1_FuelCombustionStationary</v>
      </c>
      <c r="O8" s="161"/>
      <c r="P8" s="161"/>
      <c r="Q8" s="161"/>
      <c r="R8" s="161"/>
    </row>
    <row r="9" spans="1:18" ht="20.100000000000001" customHeight="1" x14ac:dyDescent="0.2">
      <c r="A9" s="5" t="str">
        <f>HYPERLINK("#'Input - Enterprise'!A1", "Enterprise")</f>
        <v>Enterprise</v>
      </c>
      <c r="G9" s="17"/>
      <c r="O9" s="161"/>
      <c r="P9" s="161"/>
      <c r="Q9" s="161"/>
      <c r="R9" s="161"/>
    </row>
    <row r="10" spans="1:18" ht="20.100000000000001" customHeight="1" x14ac:dyDescent="0.2">
      <c r="A10" s="5" t="str">
        <f>HYPERLINK("#'Input - Site'!A1", "Site")</f>
        <v>Site</v>
      </c>
      <c r="O10" s="161"/>
      <c r="P10" s="161"/>
      <c r="Q10" s="161"/>
      <c r="R10" s="161"/>
    </row>
    <row r="11" spans="1:18" ht="20.100000000000001" customHeight="1" x14ac:dyDescent="0.2">
      <c r="A11" s="5" t="str">
        <f>HYPERLINK("#'Input - Crop'!A1", "Crop")</f>
        <v>Crop</v>
      </c>
      <c r="D11" s="77" t="s">
        <v>407</v>
      </c>
      <c r="E11" s="1" t="str" cm="1">
        <f t="array" ref="E11">Fuel_Equations.VEERG_8_2_1_1__1_FuelCombustionStationary_Variable()</f>
        <v>E_g</v>
      </c>
      <c r="K11" s="77" t="s">
        <v>407</v>
      </c>
      <c r="L11" s="1" t="str" cm="1">
        <f t="array" ref="L11">Scope3_Equations.VEERG_15_11_1_1__3_UpstreamStationaryFuelEmissions_Variable()</f>
        <v>E_WTTSCq</v>
      </c>
      <c r="O11" s="161"/>
      <c r="P11" s="161"/>
      <c r="Q11" s="161"/>
      <c r="R11" s="161"/>
    </row>
    <row r="12" spans="1:18" ht="20.100000000000001" customHeight="1" x14ac:dyDescent="0.2">
      <c r="A12" s="5" t="str">
        <f>HYPERLINK("#'Input - Fert Prod System'!A1", "Fert Prod System")</f>
        <v>Fert Prod System</v>
      </c>
      <c r="D12" s="77" t="s">
        <v>118</v>
      </c>
      <c r="E12" s="9" t="str" cm="1">
        <f t="array" ref="E12">Fuel_Equations.VEERG_8_2_1_1__1_FuelCombustionStationary_Unit()</f>
        <v>t CO2-e</v>
      </c>
      <c r="K12" s="77" t="s">
        <v>118</v>
      </c>
      <c r="L12" s="9" t="str" cm="1">
        <f t="array" ref="L12">Scope3_Equations.VEERG_15_11_1_1__3_UpstreamStationaryFuelEmissions_Unit()</f>
        <v>t CO2e</v>
      </c>
    </row>
    <row r="13" spans="1:18" ht="20.100000000000001" customHeight="1" x14ac:dyDescent="0.2">
      <c r="A13" s="5" t="str">
        <f>HYPERLINK("#'Input - Fertiliser'!A1", "Fertiliser")</f>
        <v>Fertiliser</v>
      </c>
    </row>
    <row r="14" spans="1:18" ht="20.100000000000001" customHeight="1" x14ac:dyDescent="0.2">
      <c r="A14" s="5" t="str">
        <f>HYPERLINK("#'Input - Fuel'!A1", "Fuel")</f>
        <v>Fuel</v>
      </c>
      <c r="D14" s="156" t="str" cm="1">
        <f t="array" ref="D14:E20">_xlfn.CHOOSECOLS(Fuel_Equations.VEERG_8_2_1_1__1_FuelCombustionStationary_Arguments(), 1,2)</f>
        <v>Q_SCq</v>
      </c>
      <c r="E14" s="153" t="str">
        <v>Amount of fuel type q used for stationary combustion operations</v>
      </c>
      <c r="F14" s="165"/>
      <c r="G14" s="156" t="str" cm="1">
        <f t="array" ref="G14:H20">_xlfn.CHOOSECOLS(Fuel_Equations.VEERG_8_2_1_1__1_FuelCombustionStationary_Arguments(), 3,4)</f>
        <v>Varies based on fuel type: kL, m3, GJ</v>
      </c>
      <c r="H14" s="147" t="str">
        <v>Input</v>
      </c>
      <c r="I14" s="149" t="str" cm="1">
        <f t="array" aca="1" ref="I14" ca="1">HYPERLINK(Common_InputFunctions.Utility_SourceHyperlink($D$22), $D$22)</f>
        <v>Table_E_g</v>
      </c>
      <c r="K14" s="156" t="str" cm="1">
        <f t="array" ref="K14:L18">_xlfn.CHOOSECOLS(Scope3_Equations.VEERG_15_11_1_1__3_UpstreamStationaryFuelEmissions_Arguments(),1,2)</f>
        <v>Q_SCq</v>
      </c>
      <c r="L14" s="156" t="str">
        <v>amount of fuel q used for stationary combustion operations</v>
      </c>
      <c r="M14" s="156"/>
      <c r="N14" s="156" t="str" cm="1">
        <f t="array" ref="N14:O18">_xlfn.CHOOSECOLS(Scope3_Equations.VEERG_15_11_1_1__3_UpstreamStationaryFuelEmissions_Arguments(),3,4)</f>
        <v>kL</v>
      </c>
      <c r="O14" s="147" t="str">
        <v>Input</v>
      </c>
      <c r="P14" s="149" t="str" cm="1">
        <f t="array" aca="1" ref="P14" ca="1">HYPERLINK(Common_InputFunctions.Utility_SourceHyperlink($D$22), $D$22)</f>
        <v>Table_E_g</v>
      </c>
      <c r="Q14" s="161"/>
    </row>
    <row r="15" spans="1:18" ht="20.100000000000001" customHeight="1" x14ac:dyDescent="0.2">
      <c r="A15" s="5" t="str">
        <f>HYPERLINK("#'Input - Electricity'!A1", "Electricity")</f>
        <v>Electricity</v>
      </c>
      <c r="D15" s="156" t="str">
        <v>EC_SCq</v>
      </c>
      <c r="E15" s="153" t="str">
        <v>Energy content factor for stationary combustion operations</v>
      </c>
      <c r="F15" s="165"/>
      <c r="G15" s="156" t="str">
        <v>GJ / unit of fuel</v>
      </c>
      <c r="H15" s="148" t="str">
        <v>Constant</v>
      </c>
      <c r="I15" s="149" t="str" cm="1">
        <f t="array" aca="1" ref="I15" ca="1">HYPERLINK(Common_InputFunctions.Utility_SourceHyperlink($D$22), $D$22)</f>
        <v>Table_E_g</v>
      </c>
      <c r="K15" s="156" t="str">
        <v>EC_SCq</v>
      </c>
      <c r="L15" s="156" t="str">
        <v>energy content factor for stationary combustion operations</v>
      </c>
      <c r="M15" s="156"/>
      <c r="N15" s="156" t="str">
        <v>GJ/kL</v>
      </c>
      <c r="O15" s="148" t="str">
        <v>Constant</v>
      </c>
      <c r="P15" s="149" t="str" cm="1">
        <f t="array" aca="1" ref="P15" ca="1">HYPERLINK(Common_InputFunctions.Utility_SourceHyperlink($D$22), $D$22)</f>
        <v>Table_E_g</v>
      </c>
      <c r="Q15" s="161"/>
    </row>
    <row r="16" spans="1:18" ht="20.100000000000001" customHeight="1" x14ac:dyDescent="0.2">
      <c r="A16" s="5" t="str">
        <f>HYPERLINK("#'Input - Common farm inputs'!A1", "Common farm inputs")</f>
        <v>Common farm inputs</v>
      </c>
      <c r="D16" s="156" t="str">
        <v>EF_SC1qg</v>
      </c>
      <c r="E16" s="153" t="str">
        <v>Scope 1 emission factor for stationary combustion for each greenhouse gas</v>
      </c>
      <c r="F16" s="165"/>
      <c r="G16" s="156" t="str">
        <v>kg CO2e / GJ</v>
      </c>
      <c r="H16" s="148" t="str">
        <v>Constant</v>
      </c>
      <c r="I16" s="149" t="str" cm="1">
        <f t="array" aca="1" ref="I16" ca="1">HYPERLINK(Common_InputFunctions.Utility_SourceHyperlink($D$22), $D$22)</f>
        <v>Table_E_g</v>
      </c>
      <c r="K16" s="156" t="str">
        <v>EF_SC3q</v>
      </c>
      <c r="L16" s="156" t="str">
        <v>scope 3 emission factor for stationary combustion operations</v>
      </c>
      <c r="M16" s="156"/>
      <c r="N16" s="156" t="str">
        <v>kg CO2e/GJ</v>
      </c>
      <c r="O16" s="148" t="str">
        <v>Constant</v>
      </c>
      <c r="P16" s="149" t="str" cm="1">
        <f t="array" aca="1" ref="P16" ca="1">HYPERLINK(Common_InputFunctions.Utility_SourceHyperlink($D$22), $D$22)</f>
        <v>Table_E_g</v>
      </c>
      <c r="Q16" s="161"/>
    </row>
    <row r="17" spans="1:17" ht="20.100000000000001" customHeight="1" x14ac:dyDescent="0.2">
      <c r="A17" s="5" t="str">
        <f>HYPERLINK("#'Input - Crop pasture farm input'!A1", "Crop pasture farm input")</f>
        <v>Crop pasture farm input</v>
      </c>
      <c r="D17" s="156" t="str">
        <v>q</v>
      </c>
      <c r="E17" s="153" t="str">
        <v>Fuel type</v>
      </c>
      <c r="F17" s="165"/>
      <c r="G17" s="156" t="str">
        <v/>
      </c>
      <c r="H17" s="148" t="str">
        <v>Constant</v>
      </c>
      <c r="I17" s="149"/>
      <c r="J17" s="161"/>
      <c r="K17" s="156" t="str">
        <v>i</v>
      </c>
      <c r="L17" s="153" t="str">
        <v>state</v>
      </c>
      <c r="M17" s="165"/>
      <c r="N17" s="156" t="str">
        <v/>
      </c>
      <c r="O17" s="147" t="str">
        <v>Input</v>
      </c>
      <c r="P17" s="156" t="str">
        <f>X_Cell_Site_State</f>
        <v>Western Australia</v>
      </c>
      <c r="Q17" s="161"/>
    </row>
    <row r="18" spans="1:17" ht="20.100000000000001" customHeight="1" x14ac:dyDescent="0.2">
      <c r="A18" s="5" t="str">
        <f>HYPERLINK("#'Input - Freight'!A1", "Freight")</f>
        <v>Freight</v>
      </c>
      <c r="D18" s="156" t="str">
        <v>SC</v>
      </c>
      <c r="E18" s="153" t="str">
        <v>Stationary combustion</v>
      </c>
      <c r="F18" s="165"/>
      <c r="G18" s="156" t="str">
        <v/>
      </c>
      <c r="H18" s="148" t="str">
        <v>Constant</v>
      </c>
      <c r="I18" s="149"/>
      <c r="J18" s="161"/>
      <c r="K18" s="156" t="str">
        <v>m</v>
      </c>
      <c r="L18" s="153" t="str">
        <v>metropolitan/non-metropolitan location</v>
      </c>
      <c r="M18" s="165"/>
      <c r="N18" s="156" t="str">
        <v/>
      </c>
      <c r="O18" s="147" t="str">
        <v>Input</v>
      </c>
      <c r="P18" s="156" t="str">
        <f>X_Cell_Fuel_IsMetroLocation</f>
        <v>Metro</v>
      </c>
      <c r="Q18" s="161"/>
    </row>
    <row r="19" spans="1:17" ht="20.100000000000001" customHeight="1" x14ac:dyDescent="0.2">
      <c r="A19" s="5" t="str">
        <f>HYPERLINK("#'Input - Solid waste'!A1", "Solid waste")</f>
        <v>Solid waste</v>
      </c>
      <c r="D19" s="156" t="str">
        <v>g</v>
      </c>
      <c r="E19" s="153" t="str">
        <v>Greenhouse gas</v>
      </c>
      <c r="F19" s="165"/>
      <c r="G19" s="156" t="str">
        <v/>
      </c>
      <c r="H19" s="148" t="str">
        <v>Constant</v>
      </c>
      <c r="I19" s="149"/>
      <c r="J19" s="161"/>
      <c r="L19" s="161"/>
      <c r="N19" s="161"/>
      <c r="O19" s="161"/>
      <c r="P19" s="161"/>
      <c r="Q19" s="161"/>
    </row>
    <row r="20" spans="1:17" ht="20.100000000000001" customHeight="1" x14ac:dyDescent="0.2">
      <c r="A20" s="5" t="str">
        <f>HYPERLINK("#'Input - Data quality'!A1", "Data quality")</f>
        <v>Data quality</v>
      </c>
      <c r="D20" s="156" t="str">
        <v>1</v>
      </c>
      <c r="E20" s="153" t="str">
        <v>Scope 1</v>
      </c>
      <c r="F20" s="165"/>
      <c r="G20" s="156" t="str">
        <v/>
      </c>
      <c r="H20" s="148" t="str">
        <v>Constant</v>
      </c>
      <c r="I20" s="149"/>
      <c r="J20" s="161"/>
      <c r="L20" s="161"/>
      <c r="N20" s="161"/>
      <c r="O20" s="161"/>
      <c r="P20" s="161"/>
      <c r="Q20" s="161"/>
    </row>
    <row r="21" spans="1:17" ht="20.100000000000001" customHeight="1" x14ac:dyDescent="0.2">
      <c r="O21" s="161"/>
      <c r="P21" s="161"/>
      <c r="Q21" s="161"/>
    </row>
    <row r="22" spans="1:17" ht="20.100000000000001" customHeight="1" x14ac:dyDescent="0.2">
      <c r="D22" s="141" t="s">
        <v>600</v>
      </c>
    </row>
    <row r="23" spans="1:17" ht="20.100000000000001" customHeight="1" x14ac:dyDescent="0.2">
      <c r="A23" s="6" t="s">
        <v>2</v>
      </c>
      <c r="D23" s="142" t="s">
        <v>621</v>
      </c>
    </row>
    <row r="24" spans="1:17" ht="20.100000000000001" customHeight="1" x14ac:dyDescent="0.2">
      <c r="A24" s="5" t="str">
        <f>HYPERLINK("#'5.1.1.1-2 Inorganic fert N2O'!A1", "5.1.1.1-2 Inorganic fert N2O")</f>
        <v>5.1.1.1-2 Inorganic fert N2O</v>
      </c>
      <c r="D24" s="144" t="s">
        <v>602</v>
      </c>
      <c r="E24" s="144" t="s">
        <v>603</v>
      </c>
      <c r="F24" s="144" t="s">
        <v>604</v>
      </c>
      <c r="G24" s="144" t="s">
        <v>622</v>
      </c>
      <c r="H24" s="144" t="s">
        <v>623</v>
      </c>
      <c r="I24" s="144" t="s">
        <v>624</v>
      </c>
      <c r="J24" s="144" t="s">
        <v>625</v>
      </c>
      <c r="K24" s="144" t="s">
        <v>626</v>
      </c>
      <c r="L24" s="80" t="s">
        <v>627</v>
      </c>
      <c r="M24" s="144" t="s">
        <v>611</v>
      </c>
      <c r="N24" s="144" t="s">
        <v>612</v>
      </c>
      <c r="O24" s="144" t="s">
        <v>613</v>
      </c>
      <c r="P24" s="144" t="s">
        <v>614</v>
      </c>
      <c r="Q24" s="144" t="s">
        <v>628</v>
      </c>
    </row>
    <row r="25" spans="1:17" ht="20.100000000000001" customHeight="1" x14ac:dyDescent="0.2">
      <c r="A25" s="5" t="str">
        <f>HYPERLINK("#'5.1.1.3-4 Inorganic fert CO2'!A1", "5.1.1.3-4 Inorganic fert CO2")</f>
        <v>5.1.1.3-4 Inorganic fert CO2</v>
      </c>
      <c r="D25" s="25" t="str">
        <f>Table_FuelTypesPerUse[[#Headers],[Generators]]</f>
        <v>Generators</v>
      </c>
      <c r="E25" s="184" t="str">
        <f>'Constants - Fuel'!$D$58</f>
        <v>Automotive gasoline / petrol (other than for use as fuel in an aircraft)</v>
      </c>
      <c r="F25" s="184"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02" cm="1">
        <f t="array" ref="L25">Fuel_InputFunctions.Fuel_TotalConsumption(Table_Input_Fuel[Amount consumed], Table_Input_Fuel[Fuel use (select)], D25, Table_Input_Fuel[Fuel type (select)],F25)</f>
        <v>0</v>
      </c>
      <c r="M25" s="102" t="str" cm="1">
        <f t="array" ref="M25">Common_InputFunctions.Utility_LookupValueInTable(F25,Table_FuelTypes_Units[Fuel type],Table_FuelTypes_Units[Unit])</f>
        <v>kL</v>
      </c>
      <c r="N25" s="206" cm="1">
        <f t="array" ref="N25">Fuel_Equations.VEERG_8_2_1_1__1_FuelCombustionStationary($L25,$G25,H25)</f>
        <v>0</v>
      </c>
      <c r="O25" s="206" cm="1">
        <f t="array" ref="O25">Fuel_Equations.VEERG_8_2_1_1__1_FuelCombustionStationary($L25,$G25,I25)</f>
        <v>0</v>
      </c>
      <c r="P25" s="206" cm="1">
        <f t="array" ref="P25">Fuel_Equations.VEERG_8_2_1_1__1_FuelCombustionStationary($L25,$G25,J25)</f>
        <v>0</v>
      </c>
      <c r="Q25" s="206" cm="1">
        <f t="array" ref="Q25">Fuel_Equations.VEERG_8_2_1_1__1_FuelCombustionStationary($L25,$G25,IF(ISNUMBER(K25), K25, 0))</f>
        <v>0</v>
      </c>
    </row>
    <row r="26" spans="1:17" ht="20.100000000000001" customHeight="1" x14ac:dyDescent="0.2">
      <c r="A26" s="5" t="str">
        <f>HYPERLINK("#'5.2.1.1-2 Organic Fert N2O'!A1", "5.2.1.1-2 Organic fert N2O")</f>
        <v>5.2.1.1-2 Organic fert N2O</v>
      </c>
      <c r="D26" s="186" t="str">
        <f t="shared" ref="D26:D31" si="0">$D$25</f>
        <v>Generators</v>
      </c>
      <c r="E26" s="184" t="str">
        <f>'Constants - Fuel'!$D$63</f>
        <v>Diesel oil</v>
      </c>
      <c r="F26" s="184"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02" cm="1">
        <f t="array" ref="L26">Fuel_InputFunctions.Fuel_TotalConsumption(Table_Input_Fuel[Amount consumed], Table_Input_Fuel[Fuel use (select)], D26, Table_Input_Fuel[Fuel type (select)],F26)</f>
        <v>0</v>
      </c>
      <c r="M26" s="102" t="str" cm="1">
        <f t="array" ref="M26">Common_InputFunctions.Utility_LookupValueInTable(F26,Table_FuelTypes_Units[Fuel type],Table_FuelTypes_Units[Unit])</f>
        <v>kL</v>
      </c>
      <c r="N26" s="206" cm="1">
        <f t="array" ref="N26">Fuel_Equations.VEERG_8_2_1_1__1_FuelCombustionStationary($L26,$G26,H26)</f>
        <v>0</v>
      </c>
      <c r="O26" s="206" cm="1">
        <f t="array" ref="O26">Fuel_Equations.VEERG_8_2_1_1__1_FuelCombustionStationary($L26,$G26,I26)</f>
        <v>0</v>
      </c>
      <c r="P26" s="206" cm="1">
        <f t="array" ref="P26">Fuel_Equations.VEERG_8_2_1_1__1_FuelCombustionStationary($L26,$G26,J26)</f>
        <v>0</v>
      </c>
      <c r="Q26" s="206" cm="1">
        <f t="array" ref="Q26">Fuel_Equations.VEERG_8_2_1_1__1_FuelCombustionStationary($L26,$G26,IF(ISNUMBER(K26), K26, 0))</f>
        <v>0</v>
      </c>
    </row>
    <row r="27" spans="1:17" ht="20.100000000000001" customHeight="1" x14ac:dyDescent="0.2">
      <c r="A27" s="5" t="str">
        <f>HYPERLINK("#'5.3.1.1-2 Lime CO2'!A1", "5.3.1.1-2 Lime CO2")</f>
        <v>5.3.1.1-2 Lime CO2</v>
      </c>
      <c r="D27" s="186" t="str">
        <f t="shared" si="0"/>
        <v>Generators</v>
      </c>
      <c r="E27" s="184" t="str">
        <f>'Constants - Fuel'!$D$67</f>
        <v>Liquefied petroleum gas (LPG)</v>
      </c>
      <c r="F27" s="184"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02" cm="1">
        <f t="array" ref="L27">Fuel_InputFunctions.Fuel_TotalConsumption(Table_Input_Fuel[Amount consumed], Table_Input_Fuel[Fuel use (select)], D27, Table_Input_Fuel[Fuel type (select)],F27)</f>
        <v>0</v>
      </c>
      <c r="M27" s="102" t="str" cm="1">
        <f t="array" ref="M27">Common_InputFunctions.Utility_LookupValueInTable(F27,Table_FuelTypes_Units[Fuel type],Table_FuelTypes_Units[Unit])</f>
        <v>kL</v>
      </c>
      <c r="N27" s="206" cm="1">
        <f t="array" ref="N27">Fuel_Equations.VEERG_8_2_1_1__1_FuelCombustionStationary($L27,$G27,H27)</f>
        <v>0</v>
      </c>
      <c r="O27" s="206" cm="1">
        <f t="array" ref="O27">Fuel_Equations.VEERG_8_2_1_1__1_FuelCombustionStationary($L27,$G27,I27)</f>
        <v>0</v>
      </c>
      <c r="P27" s="206" cm="1">
        <f t="array" ref="P27">Fuel_Equations.VEERG_8_2_1_1__1_FuelCombustionStationary($L27,$G27,J27)</f>
        <v>0</v>
      </c>
      <c r="Q27" s="206" cm="1">
        <f t="array" ref="Q27">Fuel_Equations.VEERG_8_2_1_1__1_FuelCombustionStationary($L27,$G27,IF(ISNUMBER(K27), K27, 0))</f>
        <v>0</v>
      </c>
    </row>
    <row r="28" spans="1:17" ht="20.100000000000001" customHeight="1" x14ac:dyDescent="0.2">
      <c r="A28" s="5" t="str">
        <f>HYPERLINK("#'5.4.1.1-4 Atmos deposition'!A1", "5.4.1.1-4 Atmos. deposition")</f>
        <v>5.4.1.1-4 Atmos. deposition</v>
      </c>
      <c r="D28" s="186" t="str">
        <f t="shared" si="0"/>
        <v>Generators</v>
      </c>
      <c r="E28" s="184" t="str">
        <f>'Constants - Fuel'!$D$73</f>
        <v>Biodiesel</v>
      </c>
      <c r="F28" s="184"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02" cm="1">
        <f t="array" ref="L28">Fuel_InputFunctions.Fuel_TotalConsumption(Table_Input_Fuel[Amount consumed], Table_Input_Fuel[Fuel use (select)], D28, Table_Input_Fuel[Fuel type (select)],F28)</f>
        <v>0</v>
      </c>
      <c r="M28" s="102" t="str" cm="1">
        <f t="array" ref="M28">Common_InputFunctions.Utility_LookupValueInTable(F28,Table_FuelTypes_Units[Fuel type],Table_FuelTypes_Units[Unit])</f>
        <v>kL</v>
      </c>
      <c r="N28" s="206" cm="1">
        <f t="array" ref="N28">Fuel_Equations.VEERG_8_2_1_1__1_FuelCombustionStationary($L28,$G28,H28)</f>
        <v>0</v>
      </c>
      <c r="O28" s="206" cm="1">
        <f t="array" ref="O28">Fuel_Equations.VEERG_8_2_1_1__1_FuelCombustionStationary($L28,$G28,I28)</f>
        <v>0</v>
      </c>
      <c r="P28" s="206" cm="1">
        <f t="array" ref="P28">Fuel_Equations.VEERG_8_2_1_1__1_FuelCombustionStationary($L28,$G28,J28)</f>
        <v>0</v>
      </c>
      <c r="Q28" s="206" cm="1">
        <f t="array" ref="Q28">Fuel_Equations.VEERG_8_2_1_1__1_FuelCombustionStationary($L28,$G28,IF(ISNUMBER(K28), K28, 0))</f>
        <v>0</v>
      </c>
    </row>
    <row r="29" spans="1:17" ht="20.100000000000001" customHeight="1" x14ac:dyDescent="0.2">
      <c r="A29" s="5" t="str">
        <f>HYPERLINK("#'5.5.1.1-2 Leaching and runoff'!A1", "5.5.1.1-2 Leaching &amp; runoff")</f>
        <v>5.5.1.1-2 Leaching &amp; runoff</v>
      </c>
      <c r="D29" s="186" t="str">
        <f t="shared" si="0"/>
        <v>Generators</v>
      </c>
      <c r="E29" s="184" t="str">
        <f>'Constants - Fuel'!$D$74</f>
        <v>Ethanol for use as a fuel in an internal combustion engine</v>
      </c>
      <c r="F29" s="184"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02" cm="1">
        <f t="array" ref="L29">Fuel_InputFunctions.Fuel_TotalConsumption(Table_Input_Fuel[Amount consumed], Table_Input_Fuel[Fuel use (select)], D29, Table_Input_Fuel[Fuel type (select)],F29)</f>
        <v>0</v>
      </c>
      <c r="M29" s="102" t="str" cm="1">
        <f t="array" ref="M29">Common_InputFunctions.Utility_LookupValueInTable(F29,Table_FuelTypes_Units[Fuel type],Table_FuelTypes_Units[Unit])</f>
        <v>kL</v>
      </c>
      <c r="N29" s="206" cm="1">
        <f t="array" ref="N29">Fuel_Equations.VEERG_8_2_1_1__1_FuelCombustionStationary($L29,$G29,H29)</f>
        <v>0</v>
      </c>
      <c r="O29" s="206" cm="1">
        <f t="array" ref="O29">Fuel_Equations.VEERG_8_2_1_1__1_FuelCombustionStationary($L29,$G29,I29)</f>
        <v>0</v>
      </c>
      <c r="P29" s="206" cm="1">
        <f t="array" ref="P29">Fuel_Equations.VEERG_8_2_1_1__1_FuelCombustionStationary($L29,$G29,J29)</f>
        <v>0</v>
      </c>
      <c r="Q29" s="206" cm="1">
        <f t="array" ref="Q29">Fuel_Equations.VEERG_8_2_1_1__1_FuelCombustionStationary($L29,$G29,IF(ISNUMBER(K29), K29, 0))</f>
        <v>0</v>
      </c>
    </row>
    <row r="30" spans="1:17" ht="20.100000000000001" customHeight="1" x14ac:dyDescent="0.2">
      <c r="A30" s="5" t="str">
        <f>HYPERLINK("#'6.1.1.1-2 Crop residue N2O'!A1", "6.1.1.1-2 Crop residue N2O")</f>
        <v>6.1.1.1-2 Crop residue N2O</v>
      </c>
      <c r="D30" s="186" t="str">
        <f t="shared" si="0"/>
        <v>Generators</v>
      </c>
      <c r="E30" s="184" t="str">
        <f>'Constants - Fuel'!$D$75</f>
        <v>Biofuels other than those mentioned in the items above and below</v>
      </c>
      <c r="F30" s="184"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02" cm="1">
        <f t="array" ref="L30">Fuel_InputFunctions.Fuel_TotalConsumption(Table_Input_Fuel[Amount consumed], Table_Input_Fuel[Fuel use (select)], D30, Table_Input_Fuel[Fuel type (select)],F30)</f>
        <v>0</v>
      </c>
      <c r="M30" s="102" t="str" cm="1">
        <f t="array" ref="M30">Common_InputFunctions.Utility_LookupValueInTable(F30,Table_FuelTypes_Units[Fuel type],Table_FuelTypes_Units[Unit])</f>
        <v>kL</v>
      </c>
      <c r="N30" s="206" cm="1">
        <f t="array" ref="N30">Fuel_Equations.VEERG_8_2_1_1__1_FuelCombustionStationary($L30,$G30,H30)</f>
        <v>0</v>
      </c>
      <c r="O30" s="206" cm="1">
        <f t="array" ref="O30">Fuel_Equations.VEERG_8_2_1_1__1_FuelCombustionStationary($L30,$G30,I30)</f>
        <v>0</v>
      </c>
      <c r="P30" s="206" cm="1">
        <f t="array" ref="P30">Fuel_Equations.VEERG_8_2_1_1__1_FuelCombustionStationary($L30,$G30,J30)</f>
        <v>0</v>
      </c>
      <c r="Q30" s="206" cm="1">
        <f t="array" ref="Q30">Fuel_Equations.VEERG_8_2_1_1__1_FuelCombustionStationary($L30,$G30,IF(ISNUMBER(K30), K30, 0))</f>
        <v>0</v>
      </c>
    </row>
    <row r="31" spans="1:17" ht="20.100000000000001" customHeight="1" x14ac:dyDescent="0.2">
      <c r="A31" s="5" t="str">
        <f>HYPERLINK("#'6.3.1.1-2 Leach runoff crop'!A1", "6.3.1.1-2 Leach &amp; runoff (crop)")</f>
        <v>6.3.1.1-2 Leach &amp; runoff (crop)</v>
      </c>
      <c r="D31" s="186" t="str">
        <f t="shared" si="0"/>
        <v>Generators</v>
      </c>
      <c r="E31" s="184" t="str">
        <f>'Constants - Fuel'!$D$77</f>
        <v>Renewable diesel</v>
      </c>
      <c r="F31" s="184" t="str">
        <f>'Constants - Fuel'!D137</f>
        <v>Renewable diesel</v>
      </c>
      <c r="G31" s="182">
        <f>IFERROR(_xlfn.XLOOKUP($E31, Table_Fuel_EFs_StationaryLiquid[Fuel combusted], Table_Fuel_EFs_StationaryLiquid[Energy Content Factor (GJ per unit of fuel)]),0)</f>
        <v>38.6</v>
      </c>
      <c r="H31" s="182">
        <f>IFERROR(_xlfn.XLOOKUP($E31, Table_Fuel_EFs_StationaryLiquid[Fuel combusted], Table_Fuel_EFs_StationaryLiquid[Scope 1 Emission Factor (kg CO2 - e / GJ) CO2]),0)</f>
        <v>0</v>
      </c>
      <c r="I31" s="182">
        <f>IFERROR(_xlfn.XLOOKUP($E31, Table_Fuel_EFs_StationaryLiquid[Fuel combusted], Table_Fuel_EFs_StationaryLiquid[Scope 1 Emission Factor (kg CO2 - e / GJ) CH4]),0)</f>
        <v>0.1</v>
      </c>
      <c r="J31" s="182">
        <f>IFERROR(_xlfn.XLOOKUP($E31, Table_Fuel_EFs_StationaryLiquid[Fuel combusted], Table_Fuel_EFs_StationaryLiquid[Scope 1 Emission Factor (kg CO2 - e / GJ) N2O]),0)</f>
        <v>0.2</v>
      </c>
      <c r="K31" s="182"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7" cm="1">
        <f t="array" ref="N31">Fuel_Equations.VEERG_8_2_1_1__1_FuelCombustionStationary($L31,$G31,H31)</f>
        <v>0</v>
      </c>
      <c r="O31" s="207" cm="1">
        <f t="array" ref="O31">Fuel_Equations.VEERG_8_2_1_1__1_FuelCombustionStationary($L31,$G31,I31)</f>
        <v>0</v>
      </c>
      <c r="P31" s="207" cm="1">
        <f t="array" ref="P31">Fuel_Equations.VEERG_8_2_1_1__1_FuelCombustionStationary($L31,$G31,J31)</f>
        <v>0</v>
      </c>
      <c r="Q31" s="207" cm="1">
        <f t="array" ref="Q31">Fuel_Equations.VEERG_8_2_1_1__1_FuelCombustionStationary($L31,$G31,IF(ISNUMBER(K31), K31, 0))</f>
        <v>0</v>
      </c>
    </row>
    <row r="32" spans="1:17" ht="20.100000000000001" customHeight="1" x14ac:dyDescent="0.2">
      <c r="A32" s="5" t="str">
        <f>HYPERLINK("#'8.1.1.1-2 Transport fuel'!A1", "8.1.1.1-2 Transport fuel")</f>
        <v>8.1.1.1-2 Transport fuel</v>
      </c>
      <c r="D32" s="189" t="str">
        <f>Table_FuelTypesPerUse[[#Headers],[Power standalone machinery or heating]]</f>
        <v>Power standalone machinery or heating</v>
      </c>
      <c r="E32" s="190" t="str">
        <f>'Constants - Fuel'!$D$58</f>
        <v>Automotive gasoline / petrol (other than for use as fuel in an aircraft)</v>
      </c>
      <c r="F32" s="190" t="str">
        <f>'Constants - Fuel'!E131</f>
        <v>Petrol</v>
      </c>
      <c r="G32" s="197">
        <f>IFERROR(_xlfn.XLOOKUP($E32, Table_Fuel_EFs_StationaryLiquid[Fuel combusted], Table_Fuel_EFs_StationaryLiquid[Energy Content Factor (GJ per unit of fuel)]),0)</f>
        <v>34.200000000000003</v>
      </c>
      <c r="H32" s="197">
        <f>IFERROR(_xlfn.XLOOKUP($E32, Table_Fuel_EFs_StationaryLiquid[Fuel combusted], Table_Fuel_EFs_StationaryLiquid[Scope 1 Emission Factor (kg CO2 - e / GJ) CO2]),0)</f>
        <v>67.400000000000006</v>
      </c>
      <c r="I32" s="197">
        <f>IFERROR(_xlfn.XLOOKUP($E32, Table_Fuel_EFs_StationaryLiquid[Fuel combusted], Table_Fuel_EFs_StationaryLiquid[Scope 1 Emission Factor (kg CO2 - e / GJ) CH4]),0)</f>
        <v>0.2</v>
      </c>
      <c r="J32" s="197">
        <f>IFERROR(_xlfn.XLOOKUP($E32, Table_Fuel_EFs_StationaryLiquid[Fuel combusted], Table_Fuel_EFs_StationaryLiquid[Scope 1 Emission Factor (kg CO2 - e / GJ) N2O]),0)</f>
        <v>0.2</v>
      </c>
      <c r="K32" s="197">
        <f>IFERROR(_xlfn.XLOOKUP($E32, Table_Fuel_EFs_StationaryLiquid[Fuel combusted], Table_Fuel_EFs_StationaryLiquid[Scope 3 Emission Factor (kg CO2 - e / GJ)]),0)</f>
        <v>17.2</v>
      </c>
      <c r="L32" s="193" cm="1">
        <f t="array" ref="L32">Fuel_InputFunctions.Fuel_TotalConsumption(Table_Input_Fuel[Amount consumed], Table_Input_Fuel[Fuel use (select)], D32, Table_Input_Fuel[Fuel type (select)],F32)</f>
        <v>10</v>
      </c>
      <c r="M32" s="194" t="str" cm="1">
        <f t="array" ref="M32">Common_InputFunctions.Utility_LookupValueInTable(F32,Table_FuelTypes_Units[Fuel type],Table_FuelTypes_Units[Unit])</f>
        <v>kL</v>
      </c>
      <c r="N32" s="208" cm="1">
        <f t="array" ref="N32">Fuel_Equations.VEERG_8_2_1_1__1_FuelCombustionStationary($L32,$G32,H32)</f>
        <v>23.050800000000002</v>
      </c>
      <c r="O32" s="208" cm="1">
        <f t="array" ref="O32">Fuel_Equations.VEERG_8_2_1_1__1_FuelCombustionStationary($L32,$G32,I32)</f>
        <v>6.8400000000000002E-2</v>
      </c>
      <c r="P32" s="208" cm="1">
        <f t="array" ref="P32">Fuel_Equations.VEERG_8_2_1_1__1_FuelCombustionStationary($L32,$G32,J32)</f>
        <v>6.8400000000000002E-2</v>
      </c>
      <c r="Q32" s="208" cm="1">
        <f t="array" ref="Q32">Fuel_Equations.VEERG_8_2_1_1__1_FuelCombustionStationary($L32,$G32,IF(ISNUMBER(K32), K32, 0))</f>
        <v>5.8823999999999996</v>
      </c>
    </row>
    <row r="33" spans="1:17" ht="20.100000000000001" customHeight="1" x14ac:dyDescent="0.2">
      <c r="A33" s="150" t="str">
        <f>HYPERLINK("#'8.2.1.1-2 Stationary fuel'!A1", "8.2.1.1-2 Stationary fuel")</f>
        <v>8.2.1.1-2 Stationary fuel</v>
      </c>
      <c r="D33" s="186" t="str">
        <f t="shared" ref="D33:D40" si="1">$D$32</f>
        <v>Power standalone machinery or heating</v>
      </c>
      <c r="E33" s="184" t="str">
        <f>'Constants - Fuel'!$D$63</f>
        <v>Diesel oil</v>
      </c>
      <c r="F33" s="184"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06" cm="1">
        <f t="array" ref="N33">Fuel_Equations.VEERG_8_2_1_1__1_FuelCombustionStationary($L33,$G33,H33)</f>
        <v>0</v>
      </c>
      <c r="O33" s="206" cm="1">
        <f t="array" ref="O33">Fuel_Equations.VEERG_8_2_1_1__1_FuelCombustionStationary($L33,$G33,I33)</f>
        <v>0</v>
      </c>
      <c r="P33" s="206" cm="1">
        <f t="array" ref="P33">Fuel_Equations.VEERG_8_2_1_1__1_FuelCombustionStationary($L33,$G33,J33)</f>
        <v>0</v>
      </c>
      <c r="Q33" s="206" cm="1">
        <f t="array" ref="Q33">Fuel_Equations.VEERG_8_2_1_1__1_FuelCombustionStationary($L33,$G33,IF(ISNUMBER(K33), K33, 0))</f>
        <v>0</v>
      </c>
    </row>
    <row r="34" spans="1:17" ht="20.100000000000001" customHeight="1" x14ac:dyDescent="0.2">
      <c r="A34" s="5" t="str">
        <f>HYPERLINK("#'10.1.1-2 Solid waste treatment'!A1", "10.1.1.1-2 Solid waste")</f>
        <v>10.1.1.1-2 Solid waste</v>
      </c>
      <c r="D34" s="186" t="str">
        <f t="shared" si="1"/>
        <v>Power standalone machinery or heating</v>
      </c>
      <c r="E34" s="184" t="str">
        <f>'Constants - Fuel'!$D$67</f>
        <v>Liquefied petroleum gas (LPG)</v>
      </c>
      <c r="F34" s="184"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06" cm="1">
        <f t="array" ref="N34">Fuel_Equations.VEERG_8_2_1_1__1_FuelCombustionStationary($L34,$G34,H34)</f>
        <v>0</v>
      </c>
      <c r="O34" s="206" cm="1">
        <f t="array" ref="O34">Fuel_Equations.VEERG_8_2_1_1__1_FuelCombustionStationary($L34,$G34,I34)</f>
        <v>0</v>
      </c>
      <c r="P34" s="206" cm="1">
        <f t="array" ref="P34">Fuel_Equations.VEERG_8_2_1_1__1_FuelCombustionStationary($L34,$G34,J34)</f>
        <v>0</v>
      </c>
      <c r="Q34" s="206" cm="1">
        <f t="array" ref="Q34">Fuel_Equations.VEERG_8_2_1_1__1_FuelCombustionStationary($L34,$G34,IF(ISNUMBER(K34), K34, 0))</f>
        <v>0</v>
      </c>
    </row>
    <row r="35" spans="1:17" ht="20.100000000000001" customHeight="1" x14ac:dyDescent="0.2">
      <c r="A35" s="5" t="str">
        <f>HYPERLINK("#'14.1.1-2 Purchased electricity'!A1", "14.1.1-2 Purchased electricity")</f>
        <v>14.1.1-2 Purchased electricity</v>
      </c>
      <c r="D35" s="186" t="str">
        <f t="shared" si="1"/>
        <v>Power standalone machinery or heating</v>
      </c>
      <c r="E35" s="184" t="str">
        <f>'Constants - Fuel'!$D$73</f>
        <v>Biodiesel</v>
      </c>
      <c r="F35" s="184"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06" cm="1">
        <f t="array" ref="N35">Fuel_Equations.VEERG_8_2_1_1__1_FuelCombustionStationary($L35,$G35,H35)</f>
        <v>0</v>
      </c>
      <c r="O35" s="206" cm="1">
        <f t="array" ref="O35">Fuel_Equations.VEERG_8_2_1_1__1_FuelCombustionStationary($L35,$G35,I35)</f>
        <v>0</v>
      </c>
      <c r="P35" s="206" cm="1">
        <f t="array" ref="P35">Fuel_Equations.VEERG_8_2_1_1__1_FuelCombustionStationary($L35,$G35,J35)</f>
        <v>0</v>
      </c>
      <c r="Q35" s="206" cm="1">
        <f t="array" ref="Q35">Fuel_Equations.VEERG_8_2_1_1__1_FuelCombustionStationary($L35,$G35,IF(ISNUMBER(K35), K35, 0))</f>
        <v>0</v>
      </c>
    </row>
    <row r="36" spans="1:17" ht="20.100000000000001" customHeight="1" x14ac:dyDescent="0.2">
      <c r="A36" s="5" t="str">
        <f>HYPERLINK("#'15 Scope 3'!A1", "15 Scope 3")</f>
        <v>15 Scope 3</v>
      </c>
      <c r="D36" s="186" t="str">
        <f t="shared" si="1"/>
        <v>Power standalone machinery or heating</v>
      </c>
      <c r="E36" s="184" t="str">
        <f>'Constants - Fuel'!$D$74</f>
        <v>Ethanol for use as a fuel in an internal combustion engine</v>
      </c>
      <c r="F36" s="184"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06" cm="1">
        <f t="array" ref="N36">Fuel_Equations.VEERG_8_2_1_1__1_FuelCombustionStationary($L36,$G36,H36)</f>
        <v>0</v>
      </c>
      <c r="O36" s="206" cm="1">
        <f t="array" ref="O36">Fuel_Equations.VEERG_8_2_1_1__1_FuelCombustionStationary($L36,$G36,I36)</f>
        <v>0</v>
      </c>
      <c r="P36" s="206" cm="1">
        <f t="array" ref="P36">Fuel_Equations.VEERG_8_2_1_1__1_FuelCombustionStationary($L36,$G36,J36)</f>
        <v>0</v>
      </c>
      <c r="Q36" s="206" cm="1">
        <f t="array" ref="Q36">Fuel_Equations.VEERG_8_2_1_1__1_FuelCombustionStationary($L36,$G36,IF(ISNUMBER(K36), K36, 0))</f>
        <v>0</v>
      </c>
    </row>
    <row r="37" spans="1:17" ht="20.100000000000001" customHeight="1" x14ac:dyDescent="0.2">
      <c r="D37" s="186" t="str">
        <f t="shared" si="1"/>
        <v>Power standalone machinery or heating</v>
      </c>
      <c r="E37" s="184" t="str">
        <f>'Constants - Fuel'!$D$75</f>
        <v>Biofuels other than those mentioned in the items above and below</v>
      </c>
      <c r="F37" s="184"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06" cm="1">
        <f t="array" ref="N37">Fuel_Equations.VEERG_8_2_1_1__1_FuelCombustionStationary($L37,$G37,H37)</f>
        <v>0</v>
      </c>
      <c r="O37" s="206" cm="1">
        <f t="array" ref="O37">Fuel_Equations.VEERG_8_2_1_1__1_FuelCombustionStationary($L37,$G37,I37)</f>
        <v>0</v>
      </c>
      <c r="P37" s="206" cm="1">
        <f t="array" ref="P37">Fuel_Equations.VEERG_8_2_1_1__1_FuelCombustionStationary($L37,$G37,J37)</f>
        <v>0</v>
      </c>
      <c r="Q37" s="206" cm="1">
        <f t="array" ref="Q37">Fuel_Equations.VEERG_8_2_1_1__1_FuelCombustionStationary($L37,$G37,IF(ISNUMBER(K37), K37, 0))</f>
        <v>0</v>
      </c>
    </row>
    <row r="38" spans="1:17" ht="20.100000000000001" customHeight="1" x14ac:dyDescent="0.2">
      <c r="D38" s="186" t="str">
        <f t="shared" si="1"/>
        <v>Power standalone machinery or heating</v>
      </c>
      <c r="E38" s="184" t="str">
        <f>'Constants - Fuel'!$D$77</f>
        <v>Renewable diesel</v>
      </c>
      <c r="F38" s="184"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06" cm="1">
        <f t="array" ref="N38">Fuel_Equations.VEERG_8_2_1_1__1_FuelCombustionStationary($L38,$G38,H38)</f>
        <v>0</v>
      </c>
      <c r="O38" s="206" cm="1">
        <f t="array" ref="O38">Fuel_Equations.VEERG_8_2_1_1__1_FuelCombustionStationary($L38,$G38,I38)</f>
        <v>0</v>
      </c>
      <c r="P38" s="206" cm="1">
        <f t="array" ref="P38">Fuel_Equations.VEERG_8_2_1_1__1_FuelCombustionStationary($L38,$G38,J38)</f>
        <v>0</v>
      </c>
      <c r="Q38" s="206" cm="1">
        <f t="array" ref="Q38">Fuel_Equations.VEERG_8_2_1_1__1_FuelCombustionStationary($L38,$G38,IF(ISNUMBER(K38), K38, 0))</f>
        <v>0</v>
      </c>
    </row>
    <row r="39" spans="1:17" ht="20.100000000000001" customHeight="1" x14ac:dyDescent="0.2">
      <c r="A39" s="82" t="s">
        <v>1</v>
      </c>
      <c r="D39" s="186" t="str">
        <f t="shared" si="1"/>
        <v>Power standalone machinery or heating</v>
      </c>
      <c r="E39" s="184" t="str">
        <f>'Constants - Fuel'!$D$103</f>
        <v>Natural gas distributed in a pipeline - Gigajoules</v>
      </c>
      <c r="F39" s="184"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02" cm="1">
        <f t="array" ref="L39">Fuel_InputFunctions.Fuel_TotalConsumption(Table_Input_Fuel[Amount consumed], Table_Input_Fuel[Fuel use (select)], D39, Table_Input_Fuel[Fuel type (select)],F39)</f>
        <v>0</v>
      </c>
      <c r="M39" s="102" t="str" cm="1">
        <f t="array" ref="M39">Common_InputFunctions.Utility_LookupValueInTable(F39,Table_FuelTypes_Units[Fuel type],Table_FuelTypes_Units[Unit])</f>
        <v>GJ</v>
      </c>
      <c r="N39" s="206" cm="1">
        <f t="array" ref="N39">Fuel_Equations.VEERG_8_2_1_1__1_FuelCombustionStationary($L39,$G39,H39)</f>
        <v>0</v>
      </c>
      <c r="O39" s="206" cm="1">
        <f t="array" ref="O39">Fuel_Equations.VEERG_8_2_1_1__1_FuelCombustionStationary($L39,$G39,I39)</f>
        <v>0</v>
      </c>
      <c r="P39" s="206" cm="1">
        <f t="array" ref="P39">Fuel_Equations.VEERG_8_2_1_1__1_FuelCombustionStationary($L39,$G39,J39)</f>
        <v>0</v>
      </c>
      <c r="Q39" s="206" cm="1">
        <f t="array" ref="Q39">Fuel_Equations.VEERG_8_2_1_1__1_FuelCombustionStationary($L39,$G39,IF(ISNUMBER(K39), K39, 0))</f>
        <v>0</v>
      </c>
    </row>
    <row r="40" spans="1:17" ht="20.100000000000001" customHeight="1" x14ac:dyDescent="0.2">
      <c r="A40" s="5" t="str">
        <f>HYPERLINK("#'Constants - Ag Residue'!A1", "Constants - Ag residue")</f>
        <v>Constants - Ag residue</v>
      </c>
      <c r="D40" s="186" t="str">
        <f t="shared" si="1"/>
        <v>Power standalone machinery or heating</v>
      </c>
      <c r="E40" s="184" t="str">
        <f>'Constants - Fuel'!$D$104</f>
        <v>Town gas - Gigajoules</v>
      </c>
      <c r="F40" s="184"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02" cm="1">
        <f t="array" ref="L40">Fuel_InputFunctions.Fuel_TotalConsumption(Table_Input_Fuel[Amount consumed], Table_Input_Fuel[Fuel use (select)], D40, Table_Input_Fuel[Fuel type (select)],F40)</f>
        <v>100</v>
      </c>
      <c r="M40" s="102" t="str" cm="1">
        <f t="array" ref="M40">Common_InputFunctions.Utility_LookupValueInTable(F40,Table_FuelTypes_Units[Fuel type],Table_FuelTypes_Units[Unit])</f>
        <v>GJ</v>
      </c>
      <c r="N40" s="206" cm="1">
        <f t="array" ref="N40">Fuel_Equations.VEERG_8_2_1_1__1_FuelCombustionStationary($L40,$G40,H40)</f>
        <v>6.0200000000000005</v>
      </c>
      <c r="O40" s="206" cm="1">
        <f t="array" ref="O40">Fuel_Equations.VEERG_8_2_1_1__1_FuelCombustionStationary($L40,$G40,I40)</f>
        <v>4.0000000000000001E-3</v>
      </c>
      <c r="P40" s="206" cm="1">
        <f t="array" ref="P40">Fuel_Equations.VEERG_8_2_1_1__1_FuelCombustionStationary($L40,$G40,J40)</f>
        <v>3.0000000000000001E-3</v>
      </c>
      <c r="Q40" s="206" cm="1">
        <f t="array" ref="Q40">Fuel_Equations.VEERG_8_2_1_1__1_FuelCombustionStationary($L40,$G40,IF(ISNUMBER(K40), K40, 0))</f>
        <v>0.41</v>
      </c>
    </row>
    <row r="41" spans="1:17" ht="20.100000000000001" customHeight="1" x14ac:dyDescent="0.2">
      <c r="A41" s="5" t="str">
        <f>HYPERLINK("#'Constants - Electricity'!A1", "Constants - Electricity")</f>
        <v>Constants - Electricity</v>
      </c>
    </row>
    <row r="42" spans="1:17" ht="20.100000000000001" customHeight="1" x14ac:dyDescent="0.2">
      <c r="A42" s="5" t="str">
        <f>HYPERLINK("#'Constants - Fertiliser'!A1", "Constants - Fertiliser")</f>
        <v>Constants - Fertiliser</v>
      </c>
      <c r="D42" s="199" t="str">
        <f>"Total scope 1 - " &amp; D25</f>
        <v>Total scope 1 - Generators</v>
      </c>
      <c r="E42" s="200"/>
      <c r="F42" s="201"/>
    </row>
    <row r="43" spans="1:17" ht="20.100000000000001" customHeight="1" x14ac:dyDescent="0.2">
      <c r="A43" s="5" t="str">
        <f>HYPERLINK("#'Constants - Fuel'!A1", "Constants - Fuel")</f>
        <v>Constants - Fuel</v>
      </c>
      <c r="D43" s="25" t="s">
        <v>616</v>
      </c>
      <c r="E43" s="202">
        <f>SUM(N25:N31)+N("Partial sum")</f>
        <v>0</v>
      </c>
      <c r="F43" s="16" t="str">
        <f>$E$12</f>
        <v>t CO2-e</v>
      </c>
    </row>
    <row r="44" spans="1:17" ht="20.100000000000001" customHeight="1" x14ac:dyDescent="0.2">
      <c r="A44" s="5" t="str">
        <f>HYPERLINK("#'Constants - Scope 3'!A1", "Constants - Scope 3")</f>
        <v>Constants - Scope 3</v>
      </c>
      <c r="D44" s="25" t="s">
        <v>617</v>
      </c>
      <c r="E44" s="202">
        <f>SUM(O25:O31)+N("Partial sum")</f>
        <v>0</v>
      </c>
      <c r="F44" s="16" t="str">
        <f t="shared" ref="F44:F46" si="2">$E$12</f>
        <v>t CO2-e</v>
      </c>
    </row>
    <row r="45" spans="1:17" ht="20.100000000000001" customHeight="1" x14ac:dyDescent="0.2">
      <c r="A45" s="5" t="str">
        <f>HYPERLINK("#'Constants - Solid Waste'!A1", "Constants - Solid Waste")</f>
        <v>Constants - Solid Waste</v>
      </c>
      <c r="D45" s="25" t="s">
        <v>618</v>
      </c>
      <c r="E45" s="202">
        <f>SUM(P25:P31)+N("Partial sum")</f>
        <v>0</v>
      </c>
      <c r="F45" s="16" t="str">
        <f t="shared" si="2"/>
        <v>t CO2-e</v>
      </c>
    </row>
    <row r="46" spans="1:17" ht="20.100000000000001" customHeight="1" x14ac:dyDescent="0.2">
      <c r="A46" s="5" t="str">
        <f>HYPERLINK("#'Constants - Common'!A1", "Constants - Common")</f>
        <v>Constants - Common</v>
      </c>
      <c r="D46" s="25" t="s">
        <v>259</v>
      </c>
      <c r="E46" s="202">
        <f>SUM(Q25:Q31)+N("Partial sum")</f>
        <v>0</v>
      </c>
      <c r="F46" s="16" t="str">
        <f t="shared" si="2"/>
        <v>t CO2-e</v>
      </c>
    </row>
    <row r="47" spans="1:17" ht="20.100000000000001" customHeight="1" x14ac:dyDescent="0.2">
      <c r="A47" s="5" t="str">
        <f>HYPERLINK("#'Constants - Common Livestock'!A1", "Constants - Common Livestock")</f>
        <v>Constants - Common Livestock</v>
      </c>
      <c r="H47" s="161"/>
      <c r="I47" s="161"/>
      <c r="J47" s="161"/>
      <c r="L47" s="161"/>
      <c r="N47" s="161"/>
      <c r="O47" s="161"/>
      <c r="P47" s="161"/>
      <c r="Q47" s="161"/>
    </row>
    <row r="48" spans="1:17" ht="20.100000000000001" customHeight="1" x14ac:dyDescent="0.2">
      <c r="D48" s="199" t="str">
        <f>"Total scope 1 - " &amp; D32</f>
        <v>Total scope 1 - Power standalone machinery or heating</v>
      </c>
      <c r="E48" s="203"/>
      <c r="F48" s="201"/>
      <c r="H48" s="161"/>
      <c r="I48" s="161"/>
      <c r="J48" s="161"/>
      <c r="L48" s="161"/>
      <c r="N48" s="161"/>
      <c r="O48" s="161"/>
      <c r="P48" s="161"/>
      <c r="Q48" s="161"/>
    </row>
    <row r="49" spans="1:17" ht="20.100000000000001" customHeight="1" x14ac:dyDescent="0.2">
      <c r="D49" s="25" t="s">
        <v>616</v>
      </c>
      <c r="E49" s="202">
        <f>SUM(N32:N40)+N("Partial sum")</f>
        <v>29.070800000000002</v>
      </c>
      <c r="F49" s="16" t="str">
        <f t="shared" ref="F49:F52" si="3">$E$12</f>
        <v>t CO2-e</v>
      </c>
      <c r="H49" s="161"/>
      <c r="I49" s="161"/>
      <c r="J49" s="161"/>
      <c r="L49" s="161"/>
      <c r="N49" s="161"/>
      <c r="O49" s="161"/>
      <c r="P49" s="161"/>
      <c r="Q49" s="161"/>
    </row>
    <row r="50" spans="1:17" ht="20.100000000000001" customHeight="1" x14ac:dyDescent="0.2">
      <c r="D50" s="25" t="s">
        <v>617</v>
      </c>
      <c r="E50" s="202">
        <f>SUM(O32:O40)+N("Partial sum")</f>
        <v>7.2400000000000006E-2</v>
      </c>
      <c r="F50" s="16" t="str">
        <f t="shared" si="3"/>
        <v>t CO2-e</v>
      </c>
      <c r="H50" s="161"/>
      <c r="I50" s="161"/>
      <c r="J50" s="161"/>
      <c r="L50" s="161"/>
      <c r="N50" s="161"/>
      <c r="O50" s="161"/>
      <c r="P50" s="161"/>
      <c r="Q50" s="161"/>
    </row>
    <row r="51" spans="1:17" ht="20.100000000000001" customHeight="1" x14ac:dyDescent="0.2">
      <c r="D51" s="25" t="s">
        <v>618</v>
      </c>
      <c r="E51" s="202">
        <f>SUM(P32:P40)+N("Partial sum")</f>
        <v>7.1400000000000005E-2</v>
      </c>
      <c r="F51" s="16" t="str">
        <f t="shared" si="3"/>
        <v>t CO2-e</v>
      </c>
      <c r="H51" s="161"/>
      <c r="I51" s="161"/>
      <c r="J51" s="161"/>
      <c r="L51" s="161"/>
      <c r="N51" s="161"/>
      <c r="O51" s="161"/>
      <c r="P51" s="161"/>
      <c r="Q51" s="161"/>
    </row>
    <row r="52" spans="1:17" ht="20.100000000000001" customHeight="1" x14ac:dyDescent="0.2">
      <c r="D52" s="25" t="s">
        <v>259</v>
      </c>
      <c r="E52" s="202">
        <f>SUM(Q32:Q40)+N("Partial sum")</f>
        <v>6.2923999999999998</v>
      </c>
      <c r="F52" s="16" t="str">
        <f t="shared" si="3"/>
        <v>t CO2-e</v>
      </c>
      <c r="G52" s="161"/>
      <c r="H52" s="161"/>
      <c r="I52" s="161"/>
      <c r="J52" s="161"/>
      <c r="L52" s="161"/>
      <c r="N52" s="161"/>
      <c r="O52" s="161"/>
      <c r="P52" s="161"/>
      <c r="Q52" s="161"/>
    </row>
    <row r="53" spans="1:17" ht="20.100000000000001" customHeight="1" x14ac:dyDescent="0.2">
      <c r="G53" s="161"/>
      <c r="H53" s="161"/>
      <c r="I53" s="161"/>
      <c r="J53" s="161"/>
      <c r="L53" s="161"/>
      <c r="N53" s="161"/>
      <c r="O53" s="161"/>
      <c r="P53" s="161"/>
      <c r="Q53" s="161"/>
    </row>
    <row r="54" spans="1:17" ht="20.100000000000001" customHeight="1" x14ac:dyDescent="0.2">
      <c r="D54" s="199" t="s">
        <v>629</v>
      </c>
      <c r="E54" s="203"/>
      <c r="F54" s="201"/>
      <c r="G54" s="161"/>
      <c r="H54" s="161"/>
      <c r="I54" s="161"/>
      <c r="J54" s="161"/>
      <c r="L54" s="161"/>
      <c r="N54" s="161"/>
      <c r="O54" s="161"/>
      <c r="P54" s="161"/>
      <c r="Q54" s="161"/>
    </row>
    <row r="55" spans="1:17" ht="20.100000000000001" customHeight="1" x14ac:dyDescent="0.2">
      <c r="D55" s="25" t="s">
        <v>616</v>
      </c>
      <c r="E55" s="202">
        <f>E43+E49</f>
        <v>29.070800000000002</v>
      </c>
      <c r="F55" s="16" t="str">
        <f t="shared" ref="F55:F58" si="4">$E$12</f>
        <v>t CO2-e</v>
      </c>
      <c r="G55" s="161"/>
      <c r="H55" s="161"/>
      <c r="I55" s="161"/>
      <c r="J55" s="161"/>
      <c r="L55" s="161"/>
      <c r="N55" s="161"/>
      <c r="O55" s="161"/>
      <c r="P55" s="161"/>
      <c r="Q55" s="161"/>
    </row>
    <row r="56" spans="1:17" ht="20.100000000000001" customHeight="1" x14ac:dyDescent="0.2">
      <c r="D56" s="25" t="s">
        <v>617</v>
      </c>
      <c r="E56" s="202">
        <f>E44+E50</f>
        <v>7.2400000000000006E-2</v>
      </c>
      <c r="F56" s="16" t="str">
        <f t="shared" si="4"/>
        <v>t CO2-e</v>
      </c>
      <c r="H56" s="161"/>
    </row>
    <row r="57" spans="1:17" ht="20.100000000000001" customHeight="1" x14ac:dyDescent="0.2">
      <c r="D57" s="25" t="s">
        <v>618</v>
      </c>
      <c r="E57" s="202">
        <f>E45+E51</f>
        <v>7.1400000000000005E-2</v>
      </c>
      <c r="F57" s="16" t="str">
        <f t="shared" si="4"/>
        <v>t CO2-e</v>
      </c>
      <c r="G57" s="161"/>
      <c r="H57" s="161"/>
      <c r="I57" s="161"/>
      <c r="J57" s="161"/>
      <c r="L57" s="161"/>
      <c r="N57" s="161"/>
      <c r="O57" s="161"/>
      <c r="P57" s="161"/>
      <c r="Q57" s="161"/>
    </row>
    <row r="58" spans="1:17" ht="20.100000000000001" customHeight="1" x14ac:dyDescent="0.2">
      <c r="A58" s="81" t="str">
        <f>HYPERLINK("#A1", "▲ Back to top")</f>
        <v>▲ Back to top</v>
      </c>
      <c r="D58" s="25" t="s">
        <v>259</v>
      </c>
      <c r="E58" s="202">
        <f>E46+E52</f>
        <v>6.2923999999999998</v>
      </c>
      <c r="F58" s="16" t="str">
        <f t="shared" si="4"/>
        <v>t CO2-e</v>
      </c>
      <c r="G58" s="161"/>
      <c r="H58" s="161"/>
      <c r="I58" s="161"/>
      <c r="J58" s="161"/>
      <c r="L58" s="161"/>
      <c r="N58" s="161"/>
      <c r="O58" s="161"/>
      <c r="P58" s="161"/>
      <c r="Q58" s="161"/>
    </row>
    <row r="59" spans="1:17" ht="20.100000000000001" customHeight="1" x14ac:dyDescent="0.2">
      <c r="G59" s="161"/>
      <c r="H59" s="161"/>
      <c r="I59" s="161"/>
      <c r="J59" s="161"/>
      <c r="L59" s="161"/>
      <c r="N59" s="161"/>
      <c r="O59" s="161"/>
      <c r="P59" s="161"/>
      <c r="Q59" s="161"/>
    </row>
    <row r="60" spans="1:17" ht="20.100000000000001" customHeight="1" x14ac:dyDescent="0.2">
      <c r="G60" s="161"/>
      <c r="H60" s="161"/>
      <c r="I60" s="161"/>
      <c r="J60" s="161"/>
      <c r="L60" s="161"/>
      <c r="N60" s="161"/>
      <c r="O60" s="161"/>
      <c r="P60" s="161"/>
      <c r="Q60" s="161"/>
    </row>
    <row r="61" spans="1:17" ht="20.100000000000001" customHeight="1" x14ac:dyDescent="0.2">
      <c r="G61" s="161"/>
      <c r="H61" s="161"/>
      <c r="I61" s="161"/>
      <c r="J61" s="161"/>
      <c r="L61" s="161"/>
      <c r="N61" s="161"/>
      <c r="O61" s="161"/>
      <c r="P61" s="161"/>
      <c r="Q61" s="161"/>
    </row>
    <row r="62" spans="1:17" ht="20.100000000000001" customHeight="1" x14ac:dyDescent="0.2">
      <c r="G62" s="161"/>
      <c r="H62" s="161"/>
      <c r="I62" s="161"/>
      <c r="J62" s="161"/>
      <c r="L62" s="161"/>
      <c r="N62" s="161"/>
      <c r="O62" s="161"/>
      <c r="P62" s="161"/>
      <c r="Q62" s="161"/>
    </row>
    <row r="63" spans="1:17" ht="20.100000000000001" customHeight="1" x14ac:dyDescent="0.2">
      <c r="G63" s="161"/>
      <c r="H63" s="161"/>
      <c r="I63" s="161"/>
      <c r="J63" s="161"/>
      <c r="L63" s="161"/>
      <c r="N63" s="161"/>
      <c r="O63" s="161"/>
      <c r="P63" s="161"/>
      <c r="Q63" s="161"/>
    </row>
    <row r="64" spans="1:17" ht="20.100000000000001" customHeight="1" x14ac:dyDescent="0.2">
      <c r="G64" s="161"/>
      <c r="H64" s="161"/>
      <c r="I64" s="161"/>
      <c r="J64" s="161"/>
      <c r="L64" s="161"/>
      <c r="N64" s="161"/>
      <c r="O64" s="161"/>
      <c r="P64" s="161"/>
      <c r="Q64" s="161"/>
    </row>
    <row r="65" spans="7:17" ht="20.100000000000001" customHeight="1" x14ac:dyDescent="0.2">
      <c r="G65" s="161"/>
      <c r="H65" s="161"/>
      <c r="I65" s="161"/>
      <c r="J65" s="161"/>
      <c r="L65" s="161"/>
      <c r="N65" s="161"/>
      <c r="O65" s="161"/>
      <c r="P65" s="161"/>
      <c r="Q65" s="161"/>
    </row>
    <row r="66" spans="7:17" ht="20.100000000000001" customHeight="1" x14ac:dyDescent="0.2">
      <c r="G66" s="161"/>
      <c r="H66" s="161"/>
      <c r="I66" s="161"/>
      <c r="J66" s="161"/>
      <c r="L66" s="161"/>
      <c r="N66" s="161"/>
      <c r="O66" s="161"/>
      <c r="P66" s="161"/>
      <c r="Q66" s="161"/>
    </row>
    <row r="67" spans="7:17" ht="20.100000000000001" customHeight="1" x14ac:dyDescent="0.2">
      <c r="G67" s="161"/>
    </row>
    <row r="68" spans="7:17" ht="20.100000000000001" customHeight="1" x14ac:dyDescent="0.2">
      <c r="G68" s="161"/>
    </row>
    <row r="69" spans="7:17" ht="20.100000000000001" customHeight="1" x14ac:dyDescent="0.2">
      <c r="G69" s="161"/>
    </row>
    <row r="70" spans="7:17" ht="20.100000000000001" customHeight="1" x14ac:dyDescent="0.2">
      <c r="G70" s="161"/>
    </row>
    <row r="71" spans="7:17" ht="20.100000000000001" customHeight="1" x14ac:dyDescent="0.2">
      <c r="G71" s="161"/>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693E-D2C1-4DC9-9798-DF7D9C32CDA2}">
  <sheetPr>
    <tabColor rgb="FF008000"/>
  </sheetPr>
  <dimension ref="A1:L34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711</v>
      </c>
    </row>
    <row r="2" spans="1:12" s="3" customFormat="1" ht="20.100000000000001" customHeight="1" x14ac:dyDescent="0.2">
      <c r="A2"/>
    </row>
    <row r="3" spans="1:12" ht="20.100000000000001" customHeight="1" x14ac:dyDescent="0.2">
      <c r="A3" s="5" t="str">
        <f>HYPERLINK("#'Home'!A1", "Home")</f>
        <v>Home</v>
      </c>
      <c r="C3" s="23"/>
      <c r="D3" s="23" t="s">
        <v>128</v>
      </c>
      <c r="E3" s="23"/>
      <c r="F3" s="23"/>
      <c r="G3" s="23"/>
      <c r="H3" s="23"/>
      <c r="I3" s="23"/>
      <c r="J3" s="23"/>
      <c r="K3" s="23"/>
      <c r="L3" s="23"/>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EI")</f>
        <v>Results - Product EI</v>
      </c>
      <c r="D5" s="2" t="str" cm="1">
        <f t="array" ref="D5">WasteSolid_Equations.VEERG_10_1_1_1__2_MassOfWasteFromVolume_Title()</f>
        <v>Mass of waste from waste volume</v>
      </c>
    </row>
    <row r="6" spans="1:12" ht="20.100000000000001" customHeight="1" x14ac:dyDescent="0.2">
      <c r="D6" s="17" t="str" cm="1">
        <f t="array" ref="D6">WasteSolid_Equations.VEERG_10_1_1_1__2_MassOfWasteFromVolume_Source()</f>
        <v>VEERG 2026: 10.1.1.1, Equation (2)</v>
      </c>
    </row>
    <row r="7" spans="1:12" ht="20.100000000000001" customHeight="1" x14ac:dyDescent="0.2">
      <c r="D7" s="140" t="s">
        <v>402</v>
      </c>
      <c r="E7" s="140" t="str" cm="1">
        <f t="array" aca="1" ref="E7" ca="1">Common_InputFunctions.Utility_DisplayFunctionName(I21)</f>
        <v>=WasteSolid_Equations.VEERG_10_1_1_1__2_MassOfWasteFromVolume</v>
      </c>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7" t="s">
        <v>407</v>
      </c>
      <c r="E10" s="1" t="str" cm="1">
        <f t="array" ref="E10">WasteSolid_Equations.VEERG_10_1_1_1__2_MassOfWasteFromVolume_Variable()</f>
        <v>Q_wt</v>
      </c>
    </row>
    <row r="11" spans="1:12" ht="20.100000000000001" customHeight="1" x14ac:dyDescent="0.2">
      <c r="A11" s="5" t="str">
        <f>HYPERLINK("#'Input - Crop'!A1", "Crop")</f>
        <v>Crop</v>
      </c>
      <c r="D11" s="77" t="s">
        <v>118</v>
      </c>
      <c r="E11" s="9" t="str" cm="1">
        <f t="array" ref="E11">WasteSolid_Equations.VEERG_10_1_1_1__2_MassOfWasteFromVolume_Unit()</f>
        <v>t</v>
      </c>
    </row>
    <row r="12" spans="1:12" ht="20.100000000000001" customHeight="1" x14ac:dyDescent="0.2">
      <c r="A12" s="5" t="str">
        <f>HYPERLINK("#'Input - Fert Prod System'!A1", "Fert Prod System")</f>
        <v>Fert Prod System</v>
      </c>
    </row>
    <row r="13" spans="1:12" ht="20.100000000000001" customHeight="1" x14ac:dyDescent="0.2">
      <c r="A13" s="5" t="str">
        <f>HYPERLINK("#'Input - Fertiliser'!A1", "Fertiliser")</f>
        <v>Fertiliser</v>
      </c>
      <c r="D13" s="156" t="str" cm="1">
        <f t="array" ref="D13:E16">_xlfn.CHOOSECOLS(WasteSolid_Equations.VEERG_10_1_1_1__2_MassOfWasteFromVolume_Arguments(),1,2)</f>
        <v>V_wt</v>
      </c>
      <c r="E13" s="153" t="str">
        <v>volume of solid waste type w being sent to treatment facility t</v>
      </c>
      <c r="F13" s="165"/>
      <c r="G13" s="156" t="str" cm="1">
        <f t="array" ref="G13:H16">_xlfn.CHOOSECOLS(WasteSolid_Equations.VEERG_10_1_1_1__2_MassOfWasteFromVolume_Arguments(),3,4)</f>
        <v>m3</v>
      </c>
      <c r="H13" s="147" t="str">
        <v>Input</v>
      </c>
      <c r="I13" s="149" t="str" cm="1">
        <f t="array" aca="1" ref="I13" ca="1">HYPERLINK(Common_InputFunctions.Utility_SourceHyperlink($D$18),$D$18)</f>
        <v>Table_V_w_t_onsite</v>
      </c>
      <c r="J13" s="149" t="str" cm="1">
        <f t="array" aca="1" ref="J13" ca="1">HYPERLINK(Common_InputFunctions.Utility_SourceHyperlink($D$56),$D$56)</f>
        <v>Table_V_w_t_offsite</v>
      </c>
    </row>
    <row r="14" spans="1:12" ht="20.100000000000001" customHeight="1" x14ac:dyDescent="0.2">
      <c r="A14" s="5" t="str">
        <f>HYPERLINK("#'Input - Fuel'!A1", "Fuel")</f>
        <v>Fuel</v>
      </c>
      <c r="D14" s="156" t="str">
        <v>VTM_w</v>
      </c>
      <c r="E14" s="153" t="str">
        <v>conversion factor of volume to mass for waste type w</v>
      </c>
      <c r="F14" s="165"/>
      <c r="G14" s="156" t="str">
        <v>t/m3</v>
      </c>
      <c r="H14" s="148" t="str">
        <v>Constant</v>
      </c>
      <c r="I14" s="149" t="str" cm="1">
        <f t="array" aca="1" ref="I14" ca="1">HYPERLINK(Common_InputFunctions.Utility_SourceHyperlink($D$18),$D$18)</f>
        <v>Table_V_w_t_onsite</v>
      </c>
      <c r="J14" s="149" t="str" cm="1">
        <f t="array" aca="1" ref="J14" ca="1">HYPERLINK(Common_InputFunctions.Utility_SourceHyperlink($D$56),$D$56)</f>
        <v>Table_V_w_t_offsite</v>
      </c>
    </row>
    <row r="15" spans="1:12" ht="20.100000000000001" customHeight="1" x14ac:dyDescent="0.2">
      <c r="A15" s="5" t="str">
        <f>HYPERLINK("#'Input - Electricity'!A1", "Electricity")</f>
        <v>Electricity</v>
      </c>
      <c r="D15" s="156" t="str">
        <v>w</v>
      </c>
      <c r="E15" s="153" t="str">
        <v>waste type</v>
      </c>
      <c r="F15" s="165"/>
      <c r="G15" s="156" t="str">
        <v/>
      </c>
      <c r="H15" s="147" t="str">
        <v>Input</v>
      </c>
      <c r="I15" s="149" t="str" cm="1">
        <f t="array" aca="1" ref="I15" ca="1">HYPERLINK(Common_InputFunctions.Utility_SourceHyperlink($D$18),$D$18)</f>
        <v>Table_V_w_t_onsite</v>
      </c>
      <c r="J15" s="149" t="str" cm="1">
        <f t="array" aca="1" ref="J15" ca="1">HYPERLINK(Common_InputFunctions.Utility_SourceHyperlink($D$56),$D$56)</f>
        <v>Table_V_w_t_offsite</v>
      </c>
    </row>
    <row r="16" spans="1:12" ht="20.100000000000001" customHeight="1" x14ac:dyDescent="0.2">
      <c r="A16" s="5" t="str">
        <f>HYPERLINK("#'Input - Common farm inputs'!A1", "Common farm inputs")</f>
        <v>Common farm inputs</v>
      </c>
      <c r="D16" s="156" t="str">
        <v>t</v>
      </c>
      <c r="E16" s="153" t="str">
        <v>treatment facility</v>
      </c>
      <c r="F16" s="165"/>
      <c r="G16" s="156" t="str">
        <v/>
      </c>
      <c r="H16" s="147" t="str">
        <v>Input</v>
      </c>
      <c r="I16" s="149" t="str" cm="1">
        <f t="array" aca="1" ref="I16" ca="1">HYPERLINK(Common_InputFunctions.Utility_SourceHyperlink($D$18),$D$18)</f>
        <v>Table_V_w_t_onsite</v>
      </c>
      <c r="J16" s="149" t="str" cm="1">
        <f t="array" aca="1" ref="J16" ca="1">HYPERLINK(Common_InputFunctions.Utility_SourceHyperlink($D$56),$D$56)</f>
        <v>Table_V_w_t_offsite</v>
      </c>
    </row>
    <row r="17" spans="1:9" ht="20.100000000000001" customHeight="1" x14ac:dyDescent="0.2">
      <c r="A17" s="5" t="str">
        <f>HYPERLINK("#'Input - Crop pasture farm input'!A1", "Crop pasture farm input")</f>
        <v>Crop pasture farm input</v>
      </c>
    </row>
    <row r="18" spans="1:9" ht="20.100000000000001" customHeight="1" x14ac:dyDescent="0.2">
      <c r="A18" s="5" t="str">
        <f>HYPERLINK("#'Input - Freight'!A1", "Freight")</f>
        <v>Freight</v>
      </c>
      <c r="D18" s="141" t="s">
        <v>712</v>
      </c>
    </row>
    <row r="19" spans="1:9" ht="20.100000000000001" customHeight="1" x14ac:dyDescent="0.2">
      <c r="A19" s="5" t="str">
        <f>HYPERLINK("#'Input - Solid waste'!A1", "Solid waste")</f>
        <v>Solid waste</v>
      </c>
      <c r="D19" s="142" t="s">
        <v>713</v>
      </c>
    </row>
    <row r="20" spans="1:9" ht="20.100000000000001" customHeight="1" x14ac:dyDescent="0.2">
      <c r="A20" s="5" t="str">
        <f>HYPERLINK("#'Input - Data quality'!A1", "Data quality")</f>
        <v>Data quality</v>
      </c>
      <c r="D20" s="80" t="s">
        <v>714</v>
      </c>
      <c r="E20" s="80" t="s">
        <v>715</v>
      </c>
      <c r="F20" s="80"/>
      <c r="G20" s="80" t="s">
        <v>716</v>
      </c>
      <c r="H20" s="144" t="s">
        <v>717</v>
      </c>
      <c r="I20" s="144" t="s">
        <v>718</v>
      </c>
    </row>
    <row r="21" spans="1:9" ht="20.100000000000001" customHeight="1" x14ac:dyDescent="0.2">
      <c r="D21" s="156" t="str" cm="1">
        <f t="array" ref="D21:D54">Table_SourceData_WasteSolid_WasteTreatmentEFs[Treatment type t]</f>
        <v>Landfill</v>
      </c>
      <c r="E21" s="153" t="str" cm="1">
        <f t="array" ref="E21:E54">Table_SourceData_WasteSolid_WasteTreatmentEFs[Waste type w]</f>
        <v>Food waste (including animal carcasses, spoiled animal feed or crop)</v>
      </c>
      <c r="F21" s="15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
      <c r="D22" s="156" t="str">
        <v>Landfill</v>
      </c>
      <c r="E22" s="153" t="str">
        <v>Paper and cardboard</v>
      </c>
      <c r="F22" s="15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
      <c r="A23" s="6" t="s">
        <v>2</v>
      </c>
      <c r="D23" s="156" t="str">
        <v>Landfill</v>
      </c>
      <c r="E23" s="153" t="str">
        <v>Green waste (including crop residues or prunings)</v>
      </c>
      <c r="F23" s="15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
      <c r="A24" s="5" t="str">
        <f>HYPERLINK("#'5.1.1.1-2 Inorganic fert N2O'!A1", "5.1.1.1-2 Inorganic fert N2O")</f>
        <v>5.1.1.1-2 Inorganic fert N2O</v>
      </c>
      <c r="D24" s="156" t="str">
        <v>Landfill</v>
      </c>
      <c r="E24" s="153" t="str">
        <v>Wood</v>
      </c>
      <c r="F24" s="15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
      <c r="A25" s="5" t="str">
        <f>HYPERLINK("#'5.1.1.3-4 Inorganic fert CO2'!A1", "5.1.1.3-4 Inorganic fert CO2")</f>
        <v>5.1.1.3-4 Inorganic fert CO2</v>
      </c>
      <c r="D25" s="156" t="str">
        <v>Landfill</v>
      </c>
      <c r="E25" s="153" t="str">
        <v>Textiles</v>
      </c>
      <c r="F25" s="15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
      <c r="A26" s="5" t="str">
        <f>HYPERLINK("#'5.2.1.1-2 Organic Fert N2O'!A1", "5.2.1.1-2 Organic fert N2O")</f>
        <v>5.2.1.1-2 Organic fert N2O</v>
      </c>
      <c r="D26" s="156" t="str">
        <v>Landfill</v>
      </c>
      <c r="E26" s="153" t="str">
        <v>Sludge</v>
      </c>
      <c r="F26" s="15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
      <c r="A27" s="5" t="str">
        <f>HYPERLINK("#'5.3.1.1-2 Lime CO2'!A1", "5.3.1.1-2 Lime CO2")</f>
        <v>5.3.1.1-2 Lime CO2</v>
      </c>
      <c r="D27" s="156" t="str">
        <v>Landfill</v>
      </c>
      <c r="E27" s="153" t="str">
        <v>Rubber and leather</v>
      </c>
      <c r="F27" s="15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
      <c r="A28" s="5" t="str">
        <f>HYPERLINK("#'5.4.1.1-4 Atmos deposition'!A1", "5.4.1.1-4 Atmos. deposition")</f>
        <v>5.4.1.1-4 Atmos. deposition</v>
      </c>
      <c r="D28" s="156" t="str">
        <v>Landfill</v>
      </c>
      <c r="E28" s="153" t="str">
        <v>Inert waste (including concrete, metal, plastic or glass)</v>
      </c>
      <c r="F28" s="15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
      <c r="A29" s="5" t="str">
        <f>HYPERLINK("#'5.5.1.1-2 Leaching and runoff'!A1", "5.5.1.1-2 Leaching &amp; runoff")</f>
        <v>5.5.1.1-2 Leaching &amp; runoff</v>
      </c>
      <c r="D29" s="156" t="str">
        <v>Landfill</v>
      </c>
      <c r="E29" s="153" t="str">
        <v>Municipal solid waste</v>
      </c>
      <c r="F29" s="15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
      <c r="A30" s="5" t="str">
        <f>HYPERLINK("#'6.1.1.1-2 Crop residue N2O'!A1", "6.1.1.1-2 Crop residue N2O")</f>
        <v>6.1.1.1-2 Crop residue N2O</v>
      </c>
      <c r="D30" s="156" t="str">
        <v>Landfill</v>
      </c>
      <c r="E30" s="153" t="str">
        <v>Commercial and industrial waste</v>
      </c>
      <c r="F30" s="15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
      <c r="A31" s="5" t="str">
        <f>HYPERLINK("#'6.3.1.1-2 Leach runoff crop'!A1", "6.3.1.1-2 Leach &amp; runoff (crop)")</f>
        <v>6.3.1.1-2 Leach &amp; runoff (crop)</v>
      </c>
      <c r="D31" s="156" t="str">
        <v>Landfill</v>
      </c>
      <c r="E31" s="153" t="str">
        <v>Construction and demolition waste</v>
      </c>
      <c r="F31" s="15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
      <c r="A32" s="5" t="str">
        <f>HYPERLINK("#'8.1.1.1-2 Transport fuel'!A1", "8.1.1.1-2 Transport fuel")</f>
        <v>8.1.1.1-2 Transport fuel</v>
      </c>
      <c r="D32" s="156" t="str">
        <v>Incineration</v>
      </c>
      <c r="E32" s="153" t="str">
        <v>Food waste, green waste, wood, sludge</v>
      </c>
      <c r="F32" s="154"/>
      <c r="G32" s="15" t="s">
        <v>432</v>
      </c>
      <c r="H32" s="15" t="s">
        <v>432</v>
      </c>
      <c r="I32" s="15" t="s">
        <v>432</v>
      </c>
    </row>
    <row r="33" spans="1:9" ht="20.100000000000001" customHeight="1" x14ac:dyDescent="0.2">
      <c r="A33" s="5" t="str">
        <f>HYPERLINK("#'8.2.1.1-2 Stationary fuel'!A1", "8.2.1.1-2 Stationary fuel")</f>
        <v>8.2.1.1-2 Stationary fuel</v>
      </c>
      <c r="D33" s="156" t="str">
        <v>Incineration</v>
      </c>
      <c r="E33" s="153" t="str">
        <v>Food waste (including animal carcasses, spoiled animal feed or crop)</v>
      </c>
      <c r="F33" s="15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
      <c r="A34" s="150" t="str">
        <f>HYPERLINK("#'10.1.1-2 Solid waste treatment'!A1", "10.1.1.1-2 Solid waste")</f>
        <v>10.1.1.1-2 Solid waste</v>
      </c>
      <c r="D34" s="156" t="str">
        <v>Incineration</v>
      </c>
      <c r="E34" s="153" t="str">
        <v>Green waste (including crop residues or prunings)</v>
      </c>
      <c r="F34" s="15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
      <c r="A35" s="5" t="str">
        <f>HYPERLINK("#'14.1.1-2 Purchased electricity'!A1", "14.1.1-2 Purchased electricity")</f>
        <v>14.1.1-2 Purchased electricity</v>
      </c>
      <c r="D35" s="156" t="str">
        <v>Incineration</v>
      </c>
      <c r="E35" s="153" t="str">
        <v>Wood</v>
      </c>
      <c r="F35" s="15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
      <c r="A36" s="5" t="str">
        <f>HYPERLINK("#'15 Scope 3'!A1", "15 Scope 3")</f>
        <v>15 Scope 3</v>
      </c>
      <c r="D36" s="156" t="str">
        <v>Incineration</v>
      </c>
      <c r="E36" s="153" t="str">
        <v>Sludge</v>
      </c>
      <c r="F36" s="15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
      <c r="D37" s="156" t="str">
        <v>Incineration</v>
      </c>
      <c r="E37" s="153" t="str">
        <v>Paper and cardboard</v>
      </c>
      <c r="F37" s="15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
      <c r="D38" s="156" t="str">
        <v>Incineration</v>
      </c>
      <c r="E38" s="153" t="str">
        <v>Textiles</v>
      </c>
      <c r="F38" s="15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
      <c r="A39" s="82" t="s">
        <v>1</v>
      </c>
      <c r="D39" s="156" t="str">
        <v>Incineration</v>
      </c>
      <c r="E39" s="153" t="str">
        <v>Rubber and leather</v>
      </c>
      <c r="F39" s="15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
      <c r="A40" s="5" t="str">
        <f>HYPERLINK("#'Constants - Ag Residue'!A1", "Constants - Ag residue")</f>
        <v>Constants - Ag residue</v>
      </c>
      <c r="D40" s="156" t="str">
        <v>Incineration</v>
      </c>
      <c r="E40" s="156" t="str">
        <v>Inert waste (including concrete, metal, plastic or glass)</v>
      </c>
      <c r="F40" s="156"/>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
      <c r="A41" s="5" t="str">
        <f>HYPERLINK("#'Constants - Electricity'!A1", "Constants - Electricity")</f>
        <v>Constants - Electricity</v>
      </c>
      <c r="D41" s="156" t="str">
        <v>Incineration</v>
      </c>
      <c r="E41" s="153" t="str">
        <v>Municipal solid waste</v>
      </c>
      <c r="F41" s="165"/>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
      <c r="A42" s="5" t="str">
        <f>HYPERLINK("#'Constants - Fertiliser'!A1", "Constants - Fertiliser")</f>
        <v>Constants - Fertiliser</v>
      </c>
      <c r="D42" s="156" t="str">
        <v>Incineration</v>
      </c>
      <c r="E42" s="153" t="str">
        <v>Commercial and industrial waste</v>
      </c>
      <c r="F42" s="165"/>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
      <c r="A43" s="5" t="str">
        <f>HYPERLINK("#'Constants - Fuel'!A1", "Constants - Fuel")</f>
        <v>Constants - Fuel</v>
      </c>
      <c r="D43" s="156" t="str">
        <v>Composting</v>
      </c>
      <c r="E43" s="153" t="str">
        <v>All organic waste</v>
      </c>
      <c r="F43" s="165"/>
      <c r="G43" s="15" t="s">
        <v>432</v>
      </c>
      <c r="H43" s="15" t="s">
        <v>432</v>
      </c>
      <c r="I43" s="15" t="s">
        <v>432</v>
      </c>
    </row>
    <row r="44" spans="1:9" ht="20.100000000000001" customHeight="1" x14ac:dyDescent="0.2">
      <c r="A44" s="5" t="str">
        <f>HYPERLINK("#'Constants - Scope 3'!A1", "Constants - Scope 3")</f>
        <v>Constants - Scope 3</v>
      </c>
      <c r="D44" s="156" t="str">
        <v>Composting</v>
      </c>
      <c r="E44" s="153" t="str">
        <v>Food waste (including animal carcasses, spoiled animal feed or crop)</v>
      </c>
      <c r="F44" s="165"/>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
      <c r="A45" s="5" t="str">
        <f>HYPERLINK("#'Constants - Solid Waste'!A1", "Constants - Solid Waste")</f>
        <v>Constants - Solid Waste</v>
      </c>
      <c r="D45" s="156" t="str">
        <v>Composting</v>
      </c>
      <c r="E45" s="153" t="str">
        <v>Green waste (including crop residues or prunings)</v>
      </c>
      <c r="F45" s="165"/>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
      <c r="A46" s="5" t="str">
        <f>HYPERLINK("#'Constants - Common'!A1", "Constants - Common")</f>
        <v>Constants - Common</v>
      </c>
      <c r="D46" s="156" t="str">
        <v>Composting</v>
      </c>
      <c r="E46" s="153" t="str">
        <v>Wood</v>
      </c>
      <c r="F46" s="165"/>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
      <c r="A47" s="5" t="str">
        <f>HYPERLINK("#'Constants - Common Livestock'!A1", "Constants - Common Livestock")</f>
        <v>Constants - Common Livestock</v>
      </c>
      <c r="D47" s="156" t="str">
        <v>Composting</v>
      </c>
      <c r="E47" s="153" t="str">
        <v>Sludge</v>
      </c>
      <c r="F47" s="165"/>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
      <c r="D48" s="156" t="str">
        <v>Composting</v>
      </c>
      <c r="E48" s="153" t="str">
        <v>Paper and cardboard</v>
      </c>
      <c r="F48" s="165"/>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1:9" ht="20.100000000000001" customHeight="1" x14ac:dyDescent="0.2">
      <c r="D49" s="156" t="str">
        <v>Anaerobic digestion</v>
      </c>
      <c r="E49" s="153" t="str">
        <v>All organic waste</v>
      </c>
      <c r="F49" s="165"/>
      <c r="G49" s="15" t="s">
        <v>432</v>
      </c>
      <c r="H49" s="15" t="s">
        <v>432</v>
      </c>
      <c r="I49" s="15" t="s">
        <v>432</v>
      </c>
    </row>
    <row r="50" spans="1:9" ht="20.100000000000001" customHeight="1" x14ac:dyDescent="0.2">
      <c r="D50" s="156" t="str">
        <v>Anaerobic digestion</v>
      </c>
      <c r="E50" s="153" t="str">
        <v>Food waste (including animal carcasses, spoiled animal feed or crop)</v>
      </c>
      <c r="F50" s="165"/>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
      <c r="D51" s="156" t="str">
        <v>Anaerobic digestion</v>
      </c>
      <c r="E51" s="153" t="str">
        <v>Green waste (including crop residues or prunings)</v>
      </c>
      <c r="F51" s="165"/>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
      <c r="D52" s="156" t="str">
        <v>Anaerobic digestion</v>
      </c>
      <c r="E52" s="153" t="str">
        <v>Wood</v>
      </c>
      <c r="F52" s="165"/>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
      <c r="D53" s="156" t="str">
        <v>Anaerobic digestion</v>
      </c>
      <c r="E53" s="153" t="str">
        <v>Sludge</v>
      </c>
      <c r="F53" s="165"/>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
      <c r="D54" s="156" t="str">
        <v>Anaerobic digestion</v>
      </c>
      <c r="E54" s="153" t="str">
        <v>Paper and cardboard</v>
      </c>
      <c r="F54" s="165"/>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6" spans="1:9" ht="20.100000000000001" customHeight="1" x14ac:dyDescent="0.2">
      <c r="D56" s="141" t="s">
        <v>719</v>
      </c>
    </row>
    <row r="57" spans="1:9" ht="20.100000000000001" customHeight="1" x14ac:dyDescent="0.2">
      <c r="D57" s="142" t="s">
        <v>720</v>
      </c>
    </row>
    <row r="58" spans="1:9" ht="20.100000000000001" customHeight="1" x14ac:dyDescent="0.2">
      <c r="A58" s="81" t="str">
        <f>HYPERLINK("#A1", "▲ Back to top")</f>
        <v>▲ Back to top</v>
      </c>
      <c r="D58" s="80" t="s">
        <v>714</v>
      </c>
      <c r="E58" s="80" t="s">
        <v>715</v>
      </c>
      <c r="F58" s="80"/>
      <c r="G58" s="80" t="s">
        <v>716</v>
      </c>
      <c r="H58" s="144" t="s">
        <v>717</v>
      </c>
      <c r="I58" s="144" t="s">
        <v>718</v>
      </c>
    </row>
    <row r="59" spans="1:9" ht="20.100000000000001" customHeight="1" x14ac:dyDescent="0.2">
      <c r="D59" s="156" t="str" cm="1">
        <f t="array" ref="D59:D92">Table_SourceData_WasteSolid_WasteTreatmentEFs[Treatment type t]</f>
        <v>Landfill</v>
      </c>
      <c r="E59" s="153" t="str" cm="1">
        <f t="array" ref="E59:E92">Table_SourceData_WasteSolid_WasteTreatmentEFs[Waste type w]</f>
        <v>Food waste (including animal carcasses, spoiled animal feed or crop)</v>
      </c>
      <c r="F59" s="15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1:9" ht="20.100000000000001" customHeight="1" x14ac:dyDescent="0.2">
      <c r="D60" s="156" t="str">
        <v>Landfill</v>
      </c>
      <c r="E60" s="153" t="str">
        <v>Paper and cardboard</v>
      </c>
      <c r="F60" s="15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1:9" ht="20.100000000000001" customHeight="1" x14ac:dyDescent="0.2">
      <c r="D61" s="156" t="str">
        <v>Landfill</v>
      </c>
      <c r="E61" s="153" t="str">
        <v>Green waste (including crop residues or prunings)</v>
      </c>
      <c r="F61" s="15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1:9" ht="20.100000000000001" customHeight="1" x14ac:dyDescent="0.2">
      <c r="D62" s="156" t="str">
        <v>Landfill</v>
      </c>
      <c r="E62" s="153" t="str">
        <v>Wood</v>
      </c>
      <c r="F62" s="15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
      <c r="D63" s="156" t="str">
        <v>Landfill</v>
      </c>
      <c r="E63" s="153" t="str">
        <v>Textiles</v>
      </c>
      <c r="F63" s="15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
      <c r="D64" s="156" t="str">
        <v>Landfill</v>
      </c>
      <c r="E64" s="153" t="str">
        <v>Sludge</v>
      </c>
      <c r="F64" s="15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4:9" ht="20.100000000000001" customHeight="1" x14ac:dyDescent="0.2">
      <c r="D65" s="156" t="str">
        <v>Landfill</v>
      </c>
      <c r="E65" s="153" t="str">
        <v>Rubber and leather</v>
      </c>
      <c r="F65" s="15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4:9" ht="20.100000000000001" customHeight="1" x14ac:dyDescent="0.2">
      <c r="D66" s="156" t="str">
        <v>Landfill</v>
      </c>
      <c r="E66" s="153" t="str">
        <v>Inert waste (including concrete, metal, plastic or glass)</v>
      </c>
      <c r="F66" s="15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4:9" ht="20.100000000000001" customHeight="1" x14ac:dyDescent="0.2">
      <c r="D67" s="156" t="str">
        <v>Landfill</v>
      </c>
      <c r="E67" s="153" t="str">
        <v>Municipal solid waste</v>
      </c>
      <c r="F67" s="15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4:9" ht="20.100000000000001" customHeight="1" x14ac:dyDescent="0.2">
      <c r="D68" s="156" t="str">
        <v>Landfill</v>
      </c>
      <c r="E68" s="153" t="str">
        <v>Commercial and industrial waste</v>
      </c>
      <c r="F68" s="15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4:9" ht="20.100000000000001" customHeight="1" x14ac:dyDescent="0.2">
      <c r="D69" s="156" t="str">
        <v>Landfill</v>
      </c>
      <c r="E69" s="153" t="str">
        <v>Construction and demolition waste</v>
      </c>
      <c r="F69" s="15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4:9" ht="20.100000000000001" customHeight="1" x14ac:dyDescent="0.2">
      <c r="D70" s="156" t="str">
        <v>Incineration</v>
      </c>
      <c r="E70" s="153" t="str">
        <v>Food waste, green waste, wood, sludge</v>
      </c>
      <c r="F70" s="154"/>
      <c r="G70" s="15" t="s">
        <v>432</v>
      </c>
      <c r="H70" s="15" t="s">
        <v>432</v>
      </c>
      <c r="I70" s="15" t="s">
        <v>432</v>
      </c>
    </row>
    <row r="71" spans="4:9" ht="20.100000000000001" customHeight="1" x14ac:dyDescent="0.2">
      <c r="D71" s="156" t="str">
        <v>Incineration</v>
      </c>
      <c r="E71" s="153" t="str">
        <v>Food waste (including animal carcasses, spoiled animal feed or crop)</v>
      </c>
      <c r="F71" s="15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4:9" ht="20.100000000000001" customHeight="1" x14ac:dyDescent="0.2">
      <c r="D72" s="156" t="str">
        <v>Incineration</v>
      </c>
      <c r="E72" s="153" t="str">
        <v>Green waste (including crop residues or prunings)</v>
      </c>
      <c r="F72" s="15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4:9" ht="20.100000000000001" customHeight="1" x14ac:dyDescent="0.2">
      <c r="D73" s="156" t="str">
        <v>Incineration</v>
      </c>
      <c r="E73" s="153" t="str">
        <v>Wood</v>
      </c>
      <c r="F73" s="15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4:9" ht="20.100000000000001" customHeight="1" x14ac:dyDescent="0.2">
      <c r="D74" s="156" t="str">
        <v>Incineration</v>
      </c>
      <c r="E74" s="153" t="str">
        <v>Sludge</v>
      </c>
      <c r="F74" s="15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4:9" ht="20.100000000000001" customHeight="1" x14ac:dyDescent="0.2">
      <c r="D75" s="156" t="str">
        <v>Incineration</v>
      </c>
      <c r="E75" s="153" t="str">
        <v>Paper and cardboard</v>
      </c>
      <c r="F75" s="15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4:9" ht="20.100000000000001" customHeight="1" x14ac:dyDescent="0.2">
      <c r="D76" s="156" t="str">
        <v>Incineration</v>
      </c>
      <c r="E76" s="153" t="str">
        <v>Textiles</v>
      </c>
      <c r="F76" s="15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4:9" ht="20.100000000000001" customHeight="1" x14ac:dyDescent="0.2">
      <c r="D77" s="156" t="str">
        <v>Incineration</v>
      </c>
      <c r="E77" s="153" t="str">
        <v>Rubber and leather</v>
      </c>
      <c r="F77" s="15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4:9" ht="20.100000000000001" customHeight="1" x14ac:dyDescent="0.2">
      <c r="D78" s="156" t="str">
        <v>Incineration</v>
      </c>
      <c r="E78" s="153" t="str">
        <v>Inert waste (including concrete, metal, plastic or glass)</v>
      </c>
      <c r="F78" s="15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4:9" ht="20.100000000000001" customHeight="1" x14ac:dyDescent="0.2">
      <c r="D79" s="156" t="str">
        <v>Incineration</v>
      </c>
      <c r="E79" s="153" t="str">
        <v>Municipal solid waste</v>
      </c>
      <c r="F79" s="165"/>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4:9" ht="20.100000000000001" customHeight="1" x14ac:dyDescent="0.2">
      <c r="D80" s="156" t="str">
        <v>Incineration</v>
      </c>
      <c r="E80" s="153" t="str">
        <v>Commercial and industrial waste</v>
      </c>
      <c r="F80" s="165"/>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1:12" ht="20.100000000000001" customHeight="1" x14ac:dyDescent="0.2">
      <c r="D81" s="156" t="str">
        <v>Composting</v>
      </c>
      <c r="E81" s="153" t="str">
        <v>All organic waste</v>
      </c>
      <c r="F81" s="165"/>
      <c r="G81" s="15" t="s">
        <v>432</v>
      </c>
      <c r="H81" s="15" t="s">
        <v>432</v>
      </c>
      <c r="I81" s="15" t="s">
        <v>432</v>
      </c>
    </row>
    <row r="82" spans="1:12" ht="20.100000000000001" customHeight="1" x14ac:dyDescent="0.2">
      <c r="D82" s="156" t="str">
        <v>Composting</v>
      </c>
      <c r="E82" s="153" t="str">
        <v>Food waste (including animal carcasses, spoiled animal feed or crop)</v>
      </c>
      <c r="F82" s="165"/>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1:12" ht="20.100000000000001" customHeight="1" x14ac:dyDescent="0.2">
      <c r="D83" s="156" t="str">
        <v>Composting</v>
      </c>
      <c r="E83" s="153" t="str">
        <v>Green waste (including crop residues or prunings)</v>
      </c>
      <c r="F83" s="165"/>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1:12" ht="20.100000000000001" customHeight="1" x14ac:dyDescent="0.2">
      <c r="D84" s="156" t="str">
        <v>Composting</v>
      </c>
      <c r="E84" s="153" t="str">
        <v>Wood</v>
      </c>
      <c r="F84" s="165"/>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1:12" ht="20.100000000000001" customHeight="1" x14ac:dyDescent="0.2">
      <c r="D85" s="156" t="str">
        <v>Composting</v>
      </c>
      <c r="E85" s="153" t="str">
        <v>Sludge</v>
      </c>
      <c r="F85" s="165"/>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1:12" ht="20.100000000000001" customHeight="1" x14ac:dyDescent="0.2">
      <c r="D86" s="156" t="str">
        <v>Composting</v>
      </c>
      <c r="E86" s="153" t="str">
        <v>Paper and cardboard</v>
      </c>
      <c r="F86" s="165"/>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1:12" ht="20.100000000000001" customHeight="1" x14ac:dyDescent="0.2">
      <c r="D87" s="156" t="str">
        <v>Anaerobic digestion</v>
      </c>
      <c r="E87" s="153" t="str">
        <v>All organic waste</v>
      </c>
      <c r="F87" s="165"/>
      <c r="G87" s="15" t="s">
        <v>432</v>
      </c>
      <c r="H87" s="15" t="s">
        <v>432</v>
      </c>
      <c r="I87" s="15" t="s">
        <v>432</v>
      </c>
    </row>
    <row r="88" spans="1:12" ht="20.100000000000001" customHeight="1" x14ac:dyDescent="0.2">
      <c r="A88" s="81" t="str">
        <f>HYPERLINK("#A1", "▲ Back to top")</f>
        <v>▲ Back to top</v>
      </c>
      <c r="D88" s="156" t="str">
        <v>Anaerobic digestion</v>
      </c>
      <c r="E88" s="153" t="str">
        <v>Food waste (including animal carcasses, spoiled animal feed or crop)</v>
      </c>
      <c r="F88" s="165"/>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1:12" ht="20.100000000000001" customHeight="1" x14ac:dyDescent="0.2">
      <c r="D89" s="156" t="str">
        <v>Anaerobic digestion</v>
      </c>
      <c r="E89" s="153" t="str">
        <v>Green waste (including crop residues or prunings)</v>
      </c>
      <c r="F89" s="165"/>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1:12" ht="20.100000000000001" customHeight="1" x14ac:dyDescent="0.2">
      <c r="D90" s="156" t="str">
        <v>Anaerobic digestion</v>
      </c>
      <c r="E90" s="153" t="str">
        <v>Wood</v>
      </c>
      <c r="F90" s="165"/>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1:12" ht="20.100000000000001" customHeight="1" x14ac:dyDescent="0.2">
      <c r="D91" s="156" t="str">
        <v>Anaerobic digestion</v>
      </c>
      <c r="E91" s="153" t="str">
        <v>Sludge</v>
      </c>
      <c r="F91" s="165"/>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1:12" ht="20.100000000000001" customHeight="1" x14ac:dyDescent="0.2">
      <c r="D92" s="156" t="str">
        <v>Anaerobic digestion</v>
      </c>
      <c r="E92" s="153" t="str">
        <v>Paper and cardboard</v>
      </c>
      <c r="F92" s="165"/>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5" spans="1:12" ht="20.100000000000001" customHeight="1" x14ac:dyDescent="0.2">
      <c r="C95" s="85"/>
      <c r="D95" s="85"/>
      <c r="E95" s="85"/>
      <c r="F95" s="85"/>
      <c r="G95" s="85"/>
      <c r="H95" s="85"/>
      <c r="I95" s="85"/>
      <c r="J95" s="85"/>
      <c r="K95" s="85"/>
      <c r="L95" s="85"/>
    </row>
    <row r="96" spans="1:12" ht="20.100000000000001" customHeight="1" x14ac:dyDescent="0.2">
      <c r="D96" s="2" t="str" cm="1">
        <f t="array" ref="D96">WasteSolid_Equations.VEERG_10_1_1_1__1_EmissionsFromWasteManagement_Title()</f>
        <v>Emissions from waste management by greenhouse gas</v>
      </c>
    </row>
    <row r="97" spans="4:9" ht="20.100000000000001" customHeight="1" x14ac:dyDescent="0.2">
      <c r="D97" s="17" t="str" cm="1">
        <f t="array" ref="D97">WasteSolid_Equations.VEERG_10_1_1_1__1_EmissionsFromWasteManagement_Source()</f>
        <v>VEERG 2026: 10.1.1.1, Equation (1)</v>
      </c>
    </row>
    <row r="98" spans="4:9" ht="20.100000000000001" customHeight="1" x14ac:dyDescent="0.2">
      <c r="D98" s="26"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
      <c r="D99" s="140" t="s">
        <v>402</v>
      </c>
      <c r="E99" s="140" t="str" cm="1">
        <f t="array" aca="1" ref="E99" ca="1">Common_InputFunctions.Utility_DisplayFunctionName(K116)</f>
        <v>=WasteSolid_Equations.VEERG_10_1_1_1__1_EmissionsFromWasteManagement</v>
      </c>
    </row>
    <row r="102" spans="4:9" ht="20.100000000000001" customHeight="1" x14ac:dyDescent="0.2">
      <c r="D102" s="77" t="s">
        <v>407</v>
      </c>
      <c r="E102" s="1" t="str" cm="1">
        <f t="array" ref="E102">WasteSolid_Equations.VEERG_10_1_1_1__1_EmissionsFromWasteManagement_Variable()</f>
        <v>E_g</v>
      </c>
    </row>
    <row r="103" spans="4:9" ht="20.100000000000001" customHeight="1" x14ac:dyDescent="0.2">
      <c r="D103" s="77" t="s">
        <v>118</v>
      </c>
      <c r="E103" s="9" t="str" cm="1">
        <f t="array" ref="E103">WasteSolid_Equations.VEERG_10_1_1_1__1_EmissionsFromWasteManagement_Unit()</f>
        <v>t CO2e</v>
      </c>
    </row>
    <row r="105" spans="4:9" ht="20.100000000000001" customHeight="1" x14ac:dyDescent="0.2">
      <c r="D105" s="156" t="str" cm="1">
        <f t="array" ref="D105:E111">_xlfn.CHOOSECOLS(WasteSolid_Equations.VEERG_10_1_1_1__1_EmissionsFromWasteManagement_Arguments(),1,2)</f>
        <v>Q_wt</v>
      </c>
      <c r="E105" s="153" t="str">
        <v>quantity of solid waste of type w being sent to treatment facility t, on a wet weight basis</v>
      </c>
      <c r="F105" s="164"/>
      <c r="G105" s="165"/>
      <c r="H105" s="156" t="str" cm="1">
        <f t="array" ref="H105:I111">_xlfn.CHOOSECOLS(WasteSolid_Equations.VEERG_10_1_1_1__1_EmissionsFromWasteManagement_Arguments(),3,4)</f>
        <v>t</v>
      </c>
      <c r="I105" s="148" t="str">
        <v>Sum of Q_volwt and Q_masswt</v>
      </c>
    </row>
    <row r="106" spans="4:9" ht="20.100000000000001" customHeight="1" x14ac:dyDescent="0.2">
      <c r="D106" s="156" t="str">
        <v>EF_wtg</v>
      </c>
      <c r="E106" s="153" t="str">
        <v>emission factor for greenhouse gas g for the management of waste at treatment facility t</v>
      </c>
      <c r="F106" s="164"/>
      <c r="G106" s="165"/>
      <c r="H106" s="156" t="str">
        <v>t CO2e/t</v>
      </c>
      <c r="I106" s="148" t="str">
        <v>Constant</v>
      </c>
    </row>
    <row r="107" spans="4:9" ht="20.100000000000001" customHeight="1" x14ac:dyDescent="0.2">
      <c r="D107" s="156" t="str">
        <v>w</v>
      </c>
      <c r="E107" s="153" t="str">
        <v>waste type</v>
      </c>
      <c r="F107" s="164"/>
      <c r="G107" s="165"/>
      <c r="H107" s="156" t="str">
        <v/>
      </c>
      <c r="I107" s="147" t="str">
        <v>Input</v>
      </c>
    </row>
    <row r="108" spans="4:9" ht="20.100000000000001" customHeight="1" x14ac:dyDescent="0.2">
      <c r="D108" s="156" t="str">
        <v>t</v>
      </c>
      <c r="E108" s="153" t="str">
        <v>treatment facility</v>
      </c>
      <c r="F108" s="164"/>
      <c r="G108" s="165"/>
      <c r="H108" s="156" t="str">
        <v/>
      </c>
      <c r="I108" s="147" t="str">
        <v>Input</v>
      </c>
    </row>
    <row r="109" spans="4:9" ht="20.100000000000001" customHeight="1" x14ac:dyDescent="0.2">
      <c r="D109" s="156" t="str">
        <v>g</v>
      </c>
      <c r="E109" s="153" t="str">
        <v>greenhouse gas</v>
      </c>
      <c r="F109" s="164"/>
      <c r="G109" s="165"/>
      <c r="H109" s="156" t="str">
        <v/>
      </c>
      <c r="I109" s="147" t="str">
        <v>Input</v>
      </c>
    </row>
    <row r="110" spans="4:9" ht="20.100000000000001" customHeight="1" x14ac:dyDescent="0.2">
      <c r="D110" s="156" t="str">
        <v>Q_volwt</v>
      </c>
      <c r="E110" s="153" t="str">
        <v>quantity of sold waste input as volume and converted to tonnes</v>
      </c>
      <c r="F110" s="164"/>
      <c r="G110" s="165"/>
      <c r="H110" s="156" t="str">
        <v>tonnes</v>
      </c>
      <c r="I110" s="148" t="str">
        <v>Calculated from 10.1.1.1 (2)</v>
      </c>
    </row>
    <row r="111" spans="4:9" ht="20.100000000000001" customHeight="1" x14ac:dyDescent="0.2">
      <c r="D111" s="156" t="str">
        <v>Q_masswt</v>
      </c>
      <c r="E111" s="153" t="str">
        <v>quantity of solid waste input as mass</v>
      </c>
      <c r="F111" s="164"/>
      <c r="G111" s="165"/>
      <c r="H111" s="156" t="str">
        <v>tonnes</v>
      </c>
      <c r="I111" s="147" t="str">
        <v>Input</v>
      </c>
    </row>
    <row r="113" spans="1:11" ht="20.100000000000001" customHeight="1" x14ac:dyDescent="0.2">
      <c r="D113" s="141" t="s">
        <v>721</v>
      </c>
    </row>
    <row r="114" spans="1:11" ht="20.100000000000001" customHeight="1" x14ac:dyDescent="0.2">
      <c r="D114" s="142" t="s">
        <v>722</v>
      </c>
    </row>
    <row r="115" spans="1:11" ht="20.100000000000001" customHeight="1" x14ac:dyDescent="0.2">
      <c r="D115" s="80" t="s">
        <v>714</v>
      </c>
      <c r="E115" s="80" t="s">
        <v>715</v>
      </c>
      <c r="F115" s="80"/>
      <c r="G115" s="80" t="s">
        <v>723</v>
      </c>
      <c r="H115" s="144" t="s">
        <v>724</v>
      </c>
      <c r="I115" s="144" t="s">
        <v>718</v>
      </c>
      <c r="J115" s="144" t="s">
        <v>725</v>
      </c>
      <c r="K115" s="144" t="s">
        <v>726</v>
      </c>
    </row>
    <row r="116" spans="1:11" ht="20.100000000000001" customHeight="1" x14ac:dyDescent="0.2">
      <c r="D116" s="156" t="str" cm="1">
        <f t="array" ref="D116:D149">Table_SourceData_WasteSolid_WasteTreatmentEFs[Treatment type t]</f>
        <v>Landfill</v>
      </c>
      <c r="E116" s="153" t="str" cm="1">
        <f t="array" ref="E116:E149">Table_SourceData_WasteSolid_WasteTreatmentEFs[Waste type w]</f>
        <v>Food waste (including animal carcasses, spoiled animal feed or crop)</v>
      </c>
      <c r="F116" s="15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1:11" ht="20.100000000000001" customHeight="1" x14ac:dyDescent="0.2">
      <c r="D117" s="156" t="str">
        <v>Landfill</v>
      </c>
      <c r="E117" s="153" t="str">
        <v>Paper and cardboard</v>
      </c>
      <c r="F117" s="15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1:11" ht="20.100000000000001" customHeight="1" x14ac:dyDescent="0.2">
      <c r="A118" s="81" t="str">
        <f>HYPERLINK("#A1", "▲ Back to top")</f>
        <v>▲ Back to top</v>
      </c>
      <c r="D118" s="156" t="str">
        <v>Landfill</v>
      </c>
      <c r="E118" s="153" t="str">
        <v>Green waste (including crop residues or prunings)</v>
      </c>
      <c r="F118" s="15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1:11" ht="20.100000000000001" customHeight="1" x14ac:dyDescent="0.2">
      <c r="D119" s="156" t="str">
        <v>Landfill</v>
      </c>
      <c r="E119" s="153" t="str">
        <v>Wood</v>
      </c>
      <c r="F119" s="15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1:11" ht="20.100000000000001" customHeight="1" x14ac:dyDescent="0.2">
      <c r="D120" s="156" t="str">
        <v>Landfill</v>
      </c>
      <c r="E120" s="153" t="str">
        <v>Textiles</v>
      </c>
      <c r="F120" s="15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1:11" ht="20.100000000000001" customHeight="1" x14ac:dyDescent="0.2">
      <c r="D121" s="156" t="str">
        <v>Landfill</v>
      </c>
      <c r="E121" s="153" t="str">
        <v>Sludge</v>
      </c>
      <c r="F121" s="15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1:11" ht="20.100000000000001" customHeight="1" x14ac:dyDescent="0.2">
      <c r="D122" s="156" t="str">
        <v>Landfill</v>
      </c>
      <c r="E122" s="153" t="str">
        <v>Rubber and leather</v>
      </c>
      <c r="F122" s="15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1:11" ht="20.100000000000001" customHeight="1" x14ac:dyDescent="0.2">
      <c r="D123" s="156" t="str">
        <v>Landfill</v>
      </c>
      <c r="E123" s="153" t="str">
        <v>Inert waste (including concrete, metal, plastic or glass)</v>
      </c>
      <c r="F123" s="15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1:11" ht="20.100000000000001" customHeight="1" x14ac:dyDescent="0.2">
      <c r="D124" s="156" t="str">
        <v>Landfill</v>
      </c>
      <c r="E124" s="153" t="str">
        <v>Municipal solid waste</v>
      </c>
      <c r="F124" s="15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1:11" ht="20.100000000000001" customHeight="1" x14ac:dyDescent="0.2">
      <c r="D125" s="156" t="str">
        <v>Landfill</v>
      </c>
      <c r="E125" s="153" t="str">
        <v>Commercial and industrial waste</v>
      </c>
      <c r="F125" s="15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1:11" ht="20.100000000000001" customHeight="1" x14ac:dyDescent="0.2">
      <c r="D126" s="156" t="str">
        <v>Landfill</v>
      </c>
      <c r="E126" s="153" t="str">
        <v>Construction and demolition waste</v>
      </c>
      <c r="F126" s="15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1:11" ht="20.100000000000001" customHeight="1" x14ac:dyDescent="0.2">
      <c r="D127" s="156" t="str">
        <v>Incineration</v>
      </c>
      <c r="E127" s="153" t="str">
        <v>Food waste, green waste, wood, sludge</v>
      </c>
      <c r="F127" s="154"/>
      <c r="G127" s="15" t="s">
        <v>432</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1:11" ht="20.100000000000001" customHeight="1" x14ac:dyDescent="0.2">
      <c r="D128" s="156" t="str">
        <v>Incineration</v>
      </c>
      <c r="E128" s="153" t="str">
        <v>Food waste (including animal carcasses, spoiled animal feed or crop)</v>
      </c>
      <c r="F128" s="15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727</v>
      </c>
      <c r="J128" s="15" t="s">
        <v>432</v>
      </c>
      <c r="K128" s="15" t="s">
        <v>432</v>
      </c>
    </row>
    <row r="129" spans="4:11" ht="20.100000000000001" customHeight="1" x14ac:dyDescent="0.2">
      <c r="D129" s="156" t="str">
        <v>Incineration</v>
      </c>
      <c r="E129" s="153" t="str">
        <v>Green waste (including crop residues or prunings)</v>
      </c>
      <c r="F129" s="15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727</v>
      </c>
      <c r="J129" s="15" t="s">
        <v>432</v>
      </c>
      <c r="K129" s="15" t="s">
        <v>432</v>
      </c>
    </row>
    <row r="130" spans="4:11" ht="20.100000000000001" customHeight="1" x14ac:dyDescent="0.2">
      <c r="D130" s="156" t="str">
        <v>Incineration</v>
      </c>
      <c r="E130" s="153" t="str">
        <v>Wood</v>
      </c>
      <c r="F130" s="15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727</v>
      </c>
      <c r="J130" s="15" t="s">
        <v>432</v>
      </c>
      <c r="K130" s="15" t="s">
        <v>432</v>
      </c>
    </row>
    <row r="131" spans="4:11" ht="20.100000000000001" customHeight="1" x14ac:dyDescent="0.2">
      <c r="D131" s="156" t="str">
        <v>Incineration</v>
      </c>
      <c r="E131" s="153" t="str">
        <v>Sludge</v>
      </c>
      <c r="F131" s="15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727</v>
      </c>
      <c r="J131" s="15" t="s">
        <v>432</v>
      </c>
      <c r="K131" s="15" t="s">
        <v>432</v>
      </c>
    </row>
    <row r="132" spans="4:11" ht="20.100000000000001" customHeight="1" x14ac:dyDescent="0.2">
      <c r="D132" s="156" t="str">
        <v>Incineration</v>
      </c>
      <c r="E132" s="153" t="str">
        <v>Paper and cardboard</v>
      </c>
      <c r="F132" s="15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4:11" ht="20.100000000000001" customHeight="1" x14ac:dyDescent="0.2">
      <c r="D133" s="156" t="str">
        <v>Incineration</v>
      </c>
      <c r="E133" s="153" t="str">
        <v>Textiles</v>
      </c>
      <c r="F133" s="15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
      <c r="D134" s="156" t="str">
        <v>Incineration</v>
      </c>
      <c r="E134" s="153" t="str">
        <v>Rubber and leather</v>
      </c>
      <c r="F134" s="15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
      <c r="D135" s="156" t="str">
        <v>Incineration</v>
      </c>
      <c r="E135" s="153" t="str">
        <v>Inert waste (including concrete, metal, plastic or glass)</v>
      </c>
      <c r="F135" s="15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
      <c r="D136" s="156" t="str">
        <v>Incineration</v>
      </c>
      <c r="E136" s="153" t="str">
        <v>Municipal solid waste</v>
      </c>
      <c r="F136" s="165"/>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
      <c r="D137" s="156" t="str">
        <v>Incineration</v>
      </c>
      <c r="E137" s="153" t="str">
        <v>Commercial and industrial waste</v>
      </c>
      <c r="F137" s="165"/>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
      <c r="D138" s="156" t="str">
        <v>Composting</v>
      </c>
      <c r="E138" s="153" t="str">
        <v>All organic waste</v>
      </c>
      <c r="F138" s="165"/>
      <c r="G138" s="15" t="s">
        <v>432</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4:11" ht="20.100000000000001" customHeight="1" x14ac:dyDescent="0.2">
      <c r="D139" s="156" t="str">
        <v>Composting</v>
      </c>
      <c r="E139" s="153" t="str">
        <v>Food waste (including animal carcasses, spoiled animal feed or crop)</v>
      </c>
      <c r="F139" s="165"/>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727</v>
      </c>
      <c r="J139" s="15" t="s">
        <v>432</v>
      </c>
      <c r="K139" s="15" t="s">
        <v>432</v>
      </c>
    </row>
    <row r="140" spans="4:11" ht="20.100000000000001" customHeight="1" x14ac:dyDescent="0.2">
      <c r="D140" s="156" t="str">
        <v>Composting</v>
      </c>
      <c r="E140" s="153" t="str">
        <v>Green waste (including crop residues or prunings)</v>
      </c>
      <c r="F140" s="165"/>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727</v>
      </c>
      <c r="J140" s="15" t="s">
        <v>432</v>
      </c>
      <c r="K140" s="15" t="s">
        <v>432</v>
      </c>
    </row>
    <row r="141" spans="4:11" ht="20.100000000000001" customHeight="1" x14ac:dyDescent="0.2">
      <c r="D141" s="156" t="str">
        <v>Composting</v>
      </c>
      <c r="E141" s="153" t="str">
        <v>Wood</v>
      </c>
      <c r="F141" s="165"/>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727</v>
      </c>
      <c r="J141" s="15" t="s">
        <v>432</v>
      </c>
      <c r="K141" s="15" t="s">
        <v>432</v>
      </c>
    </row>
    <row r="142" spans="4:11" ht="20.100000000000001" customHeight="1" x14ac:dyDescent="0.2">
      <c r="D142" s="156" t="str">
        <v>Composting</v>
      </c>
      <c r="E142" s="153" t="str">
        <v>Sludge</v>
      </c>
      <c r="F142" s="165"/>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727</v>
      </c>
      <c r="J142" s="15" t="s">
        <v>432</v>
      </c>
      <c r="K142" s="15" t="s">
        <v>432</v>
      </c>
    </row>
    <row r="143" spans="4:11" ht="20.100000000000001" customHeight="1" x14ac:dyDescent="0.2">
      <c r="D143" s="156" t="str">
        <v>Composting</v>
      </c>
      <c r="E143" s="153" t="str">
        <v>Paper and cardboard</v>
      </c>
      <c r="F143" s="165"/>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727</v>
      </c>
      <c r="J143" s="15" t="s">
        <v>432</v>
      </c>
      <c r="K143" s="15" t="s">
        <v>432</v>
      </c>
    </row>
    <row r="144" spans="4:11" ht="20.100000000000001" customHeight="1" x14ac:dyDescent="0.2">
      <c r="D144" s="156" t="str">
        <v>Anaerobic digestion</v>
      </c>
      <c r="E144" s="153" t="str">
        <v>All organic waste</v>
      </c>
      <c r="F144" s="165"/>
      <c r="G144" s="15" t="s">
        <v>432</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1:11" ht="20.100000000000001" customHeight="1" x14ac:dyDescent="0.2">
      <c r="D145" s="156" t="str">
        <v>Anaerobic digestion</v>
      </c>
      <c r="E145" s="153" t="str">
        <v>Food waste (including animal carcasses, spoiled animal feed or crop)</v>
      </c>
      <c r="F145" s="165"/>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727</v>
      </c>
      <c r="J145" s="15" t="s">
        <v>432</v>
      </c>
      <c r="K145" s="15" t="s">
        <v>432</v>
      </c>
    </row>
    <row r="146" spans="1:11" ht="20.100000000000001" customHeight="1" x14ac:dyDescent="0.2">
      <c r="D146" s="156" t="str">
        <v>Anaerobic digestion</v>
      </c>
      <c r="E146" s="153" t="str">
        <v>Green waste (including crop residues or prunings)</v>
      </c>
      <c r="F146" s="165"/>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727</v>
      </c>
      <c r="J146" s="15" t="s">
        <v>432</v>
      </c>
      <c r="K146" s="15" t="s">
        <v>432</v>
      </c>
    </row>
    <row r="147" spans="1:11" ht="20.100000000000001" customHeight="1" x14ac:dyDescent="0.2">
      <c r="D147" s="156" t="str">
        <v>Anaerobic digestion</v>
      </c>
      <c r="E147" s="153" t="str">
        <v>Wood</v>
      </c>
      <c r="F147" s="165"/>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727</v>
      </c>
      <c r="J147" s="15" t="s">
        <v>432</v>
      </c>
      <c r="K147" s="15" t="s">
        <v>432</v>
      </c>
    </row>
    <row r="148" spans="1:11" ht="20.100000000000001" customHeight="1" x14ac:dyDescent="0.2">
      <c r="A148" s="81" t="str">
        <f>HYPERLINK("#A1", "▲ Back to top")</f>
        <v>▲ Back to top</v>
      </c>
      <c r="D148" s="156" t="str">
        <v>Anaerobic digestion</v>
      </c>
      <c r="E148" s="153" t="str">
        <v>Sludge</v>
      </c>
      <c r="F148" s="165"/>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727</v>
      </c>
      <c r="J148" s="15" t="s">
        <v>432</v>
      </c>
      <c r="K148" s="15" t="s">
        <v>432</v>
      </c>
    </row>
    <row r="149" spans="1:11" ht="20.100000000000001" customHeight="1" x14ac:dyDescent="0.2">
      <c r="D149" s="156" t="str">
        <v>Anaerobic digestion</v>
      </c>
      <c r="E149" s="153" t="str">
        <v>Paper and cardboard</v>
      </c>
      <c r="F149" s="165"/>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727</v>
      </c>
      <c r="J149" s="15" t="s">
        <v>432</v>
      </c>
      <c r="K149" s="15" t="s">
        <v>432</v>
      </c>
    </row>
    <row r="151" spans="1:11" ht="20.100000000000001" customHeight="1" x14ac:dyDescent="0.2">
      <c r="D151" s="87" t="s">
        <v>728</v>
      </c>
      <c r="E151" s="88">
        <f>SUM(K116:K149)</f>
        <v>438.82805000000002</v>
      </c>
      <c r="F151" s="97" t="str">
        <f>$E$103</f>
        <v>t CO2e</v>
      </c>
    </row>
    <row r="154" spans="1:11" ht="20.100000000000001" customHeight="1" x14ac:dyDescent="0.2">
      <c r="D154" s="141" t="s">
        <v>729</v>
      </c>
    </row>
    <row r="155" spans="1:11" ht="20.100000000000001" customHeight="1" x14ac:dyDescent="0.2">
      <c r="D155" s="142" t="s">
        <v>730</v>
      </c>
    </row>
    <row r="156" spans="1:11" ht="20.100000000000001" customHeight="1" x14ac:dyDescent="0.2">
      <c r="D156" s="80" t="s">
        <v>714</v>
      </c>
      <c r="E156" s="80" t="s">
        <v>715</v>
      </c>
      <c r="F156" s="80"/>
      <c r="G156" s="80" t="s">
        <v>723</v>
      </c>
      <c r="H156" s="144" t="s">
        <v>724</v>
      </c>
      <c r="I156" s="144" t="s">
        <v>718</v>
      </c>
      <c r="J156" s="144" t="s">
        <v>725</v>
      </c>
      <c r="K156" s="144" t="s">
        <v>726</v>
      </c>
    </row>
    <row r="157" spans="1:11" ht="20.100000000000001" customHeight="1" x14ac:dyDescent="0.2">
      <c r="D157" s="156" t="str" cm="1">
        <f t="array" ref="D157:D190">Table_SourceData_WasteSolid_WasteTreatmentEFs[Treatment type t]</f>
        <v>Landfill</v>
      </c>
      <c r="E157" s="153" t="str" cm="1">
        <f t="array" ref="E157:E190">Table_SourceData_WasteSolid_WasteTreatmentEFs[Waste type w]</f>
        <v>Food waste (including animal carcasses, spoiled animal feed or crop)</v>
      </c>
      <c r="F157" s="15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1:11" ht="20.100000000000001" customHeight="1" x14ac:dyDescent="0.2">
      <c r="D158" s="156" t="str">
        <v>Landfill</v>
      </c>
      <c r="E158" s="153" t="str">
        <v>Paper and cardboard</v>
      </c>
      <c r="F158" s="15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1:11" ht="20.100000000000001" customHeight="1" x14ac:dyDescent="0.2">
      <c r="D159" s="156" t="str">
        <v>Landfill</v>
      </c>
      <c r="E159" s="153" t="str">
        <v>Green waste (including crop residues or prunings)</v>
      </c>
      <c r="F159" s="15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1:11" ht="20.100000000000001" customHeight="1" x14ac:dyDescent="0.2">
      <c r="D160" s="156" t="str">
        <v>Landfill</v>
      </c>
      <c r="E160" s="153" t="str">
        <v>Wood</v>
      </c>
      <c r="F160" s="15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
      <c r="D161" s="156" t="str">
        <v>Landfill</v>
      </c>
      <c r="E161" s="153" t="str">
        <v>Textiles</v>
      </c>
      <c r="F161" s="15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
      <c r="D162" s="156" t="str">
        <v>Landfill</v>
      </c>
      <c r="E162" s="153" t="str">
        <v>Sludge</v>
      </c>
      <c r="F162" s="15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
      <c r="D163" s="156" t="str">
        <v>Landfill</v>
      </c>
      <c r="E163" s="153" t="str">
        <v>Rubber and leather</v>
      </c>
      <c r="F163" s="15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
      <c r="D164" s="156" t="str">
        <v>Landfill</v>
      </c>
      <c r="E164" s="153" t="str">
        <v>Inert waste (including concrete, metal, plastic or glass)</v>
      </c>
      <c r="F164" s="15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
      <c r="D165" s="156" t="str">
        <v>Landfill</v>
      </c>
      <c r="E165" s="153" t="str">
        <v>Municipal solid waste</v>
      </c>
      <c r="F165" s="15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
      <c r="D166" s="156" t="str">
        <v>Landfill</v>
      </c>
      <c r="E166" s="153" t="str">
        <v>Commercial and industrial waste</v>
      </c>
      <c r="F166" s="15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
      <c r="D167" s="156" t="str">
        <v>Landfill</v>
      </c>
      <c r="E167" s="153" t="str">
        <v>Construction and demolition waste</v>
      </c>
      <c r="F167" s="15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
      <c r="D168" s="156" t="str">
        <v>Incineration</v>
      </c>
      <c r="E168" s="153" t="str">
        <v>Food waste, green waste, wood, sludge</v>
      </c>
      <c r="F168" s="154"/>
      <c r="G168" s="15" t="s">
        <v>432</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
      <c r="D169" s="156" t="str">
        <v>Incineration</v>
      </c>
      <c r="E169" s="153" t="str">
        <v>Food waste (including animal carcasses, spoiled animal feed or crop)</v>
      </c>
      <c r="F169" s="15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727</v>
      </c>
      <c r="J169" s="15" t="s">
        <v>432</v>
      </c>
      <c r="K169" s="15" t="s">
        <v>432</v>
      </c>
    </row>
    <row r="170" spans="4:11" ht="20.100000000000001" customHeight="1" x14ac:dyDescent="0.2">
      <c r="D170" s="156" t="str">
        <v>Incineration</v>
      </c>
      <c r="E170" s="153" t="str">
        <v>Green waste (including crop residues or prunings)</v>
      </c>
      <c r="F170" s="15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727</v>
      </c>
      <c r="J170" s="15" t="s">
        <v>432</v>
      </c>
      <c r="K170" s="15" t="s">
        <v>432</v>
      </c>
    </row>
    <row r="171" spans="4:11" ht="20.100000000000001" customHeight="1" x14ac:dyDescent="0.2">
      <c r="D171" s="156" t="str">
        <v>Incineration</v>
      </c>
      <c r="E171" s="153" t="str">
        <v>Wood</v>
      </c>
      <c r="F171" s="15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727</v>
      </c>
      <c r="J171" s="15" t="s">
        <v>432</v>
      </c>
      <c r="K171" s="15" t="s">
        <v>432</v>
      </c>
    </row>
    <row r="172" spans="4:11" ht="20.100000000000001" customHeight="1" x14ac:dyDescent="0.2">
      <c r="D172" s="156" t="str">
        <v>Incineration</v>
      </c>
      <c r="E172" s="153" t="str">
        <v>Sludge</v>
      </c>
      <c r="F172" s="15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727</v>
      </c>
      <c r="J172" s="15" t="s">
        <v>432</v>
      </c>
      <c r="K172" s="15" t="s">
        <v>432</v>
      </c>
    </row>
    <row r="173" spans="4:11" ht="20.100000000000001" customHeight="1" x14ac:dyDescent="0.2">
      <c r="D173" s="156" t="str">
        <v>Incineration</v>
      </c>
      <c r="E173" s="153" t="str">
        <v>Paper and cardboard</v>
      </c>
      <c r="F173" s="15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
      <c r="D174" s="156" t="str">
        <v>Incineration</v>
      </c>
      <c r="E174" s="153" t="str">
        <v>Textiles</v>
      </c>
      <c r="F174" s="15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
      <c r="D175" s="156" t="str">
        <v>Incineration</v>
      </c>
      <c r="E175" s="153" t="str">
        <v>Rubber and leather</v>
      </c>
      <c r="F175" s="15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
      <c r="D176" s="156" t="str">
        <v>Incineration</v>
      </c>
      <c r="E176" s="153" t="str">
        <v>Inert waste (including concrete, metal, plastic or glass)</v>
      </c>
      <c r="F176" s="15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1:11" ht="20.100000000000001" customHeight="1" x14ac:dyDescent="0.2">
      <c r="D177" s="156" t="str">
        <v>Incineration</v>
      </c>
      <c r="E177" s="153" t="str">
        <v>Municipal solid waste</v>
      </c>
      <c r="F177" s="165"/>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1:11" ht="20.100000000000001" customHeight="1" x14ac:dyDescent="0.2">
      <c r="A178" s="81" t="str">
        <f>HYPERLINK("#A1", "▲ Back to top")</f>
        <v>▲ Back to top</v>
      </c>
      <c r="D178" s="156" t="str">
        <v>Incineration</v>
      </c>
      <c r="E178" s="153" t="str">
        <v>Commercial and industrial waste</v>
      </c>
      <c r="F178" s="165"/>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1:11" ht="20.100000000000001" customHeight="1" x14ac:dyDescent="0.2">
      <c r="D179" s="156" t="str">
        <v>Composting</v>
      </c>
      <c r="E179" s="153" t="str">
        <v>All organic waste</v>
      </c>
      <c r="F179" s="165"/>
      <c r="G179" s="15" t="s">
        <v>432</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1:11" ht="20.100000000000001" customHeight="1" x14ac:dyDescent="0.2">
      <c r="D180" s="156" t="str">
        <v>Composting</v>
      </c>
      <c r="E180" s="153" t="str">
        <v>Food waste (including animal carcasses, spoiled animal feed or crop)</v>
      </c>
      <c r="F180" s="165"/>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727</v>
      </c>
      <c r="J180" s="15" t="s">
        <v>432</v>
      </c>
      <c r="K180" s="15" t="s">
        <v>432</v>
      </c>
    </row>
    <row r="181" spans="1:11" ht="20.100000000000001" customHeight="1" x14ac:dyDescent="0.2">
      <c r="D181" s="156" t="str">
        <v>Composting</v>
      </c>
      <c r="E181" s="153" t="str">
        <v>Green waste (including crop residues or prunings)</v>
      </c>
      <c r="F181" s="165"/>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727</v>
      </c>
      <c r="J181" s="15" t="s">
        <v>432</v>
      </c>
      <c r="K181" s="15" t="s">
        <v>432</v>
      </c>
    </row>
    <row r="182" spans="1:11" ht="20.100000000000001" customHeight="1" x14ac:dyDescent="0.2">
      <c r="D182" s="156" t="str">
        <v>Composting</v>
      </c>
      <c r="E182" s="153" t="str">
        <v>Wood</v>
      </c>
      <c r="F182" s="165"/>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727</v>
      </c>
      <c r="J182" s="15" t="s">
        <v>432</v>
      </c>
      <c r="K182" s="15" t="s">
        <v>432</v>
      </c>
    </row>
    <row r="183" spans="1:11" ht="20.100000000000001" customHeight="1" x14ac:dyDescent="0.2">
      <c r="D183" s="156" t="str">
        <v>Composting</v>
      </c>
      <c r="E183" s="153" t="str">
        <v>Sludge</v>
      </c>
      <c r="F183" s="165"/>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727</v>
      </c>
      <c r="J183" s="15" t="s">
        <v>432</v>
      </c>
      <c r="K183" s="15" t="s">
        <v>432</v>
      </c>
    </row>
    <row r="184" spans="1:11" ht="20.100000000000001" customHeight="1" x14ac:dyDescent="0.2">
      <c r="D184" s="156" t="str">
        <v>Composting</v>
      </c>
      <c r="E184" s="153" t="str">
        <v>Paper and cardboard</v>
      </c>
      <c r="F184" s="165"/>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727</v>
      </c>
      <c r="J184" s="15" t="s">
        <v>432</v>
      </c>
      <c r="K184" s="15" t="s">
        <v>432</v>
      </c>
    </row>
    <row r="185" spans="1:11" ht="20.100000000000001" customHeight="1" x14ac:dyDescent="0.2">
      <c r="D185" s="156" t="str">
        <v>Anaerobic digestion</v>
      </c>
      <c r="E185" s="153" t="str">
        <v>All organic waste</v>
      </c>
      <c r="F185" s="165"/>
      <c r="G185" s="15" t="s">
        <v>432</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1:11" ht="20.100000000000001" customHeight="1" x14ac:dyDescent="0.2">
      <c r="D186" s="156" t="str">
        <v>Anaerobic digestion</v>
      </c>
      <c r="E186" s="153" t="str">
        <v>Food waste (including animal carcasses, spoiled animal feed or crop)</v>
      </c>
      <c r="F186" s="165"/>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727</v>
      </c>
      <c r="J186" s="15" t="s">
        <v>432</v>
      </c>
      <c r="K186" s="15" t="s">
        <v>432</v>
      </c>
    </row>
    <row r="187" spans="1:11" ht="20.100000000000001" customHeight="1" x14ac:dyDescent="0.2">
      <c r="D187" s="156" t="str">
        <v>Anaerobic digestion</v>
      </c>
      <c r="E187" s="153" t="str">
        <v>Green waste (including crop residues or prunings)</v>
      </c>
      <c r="F187" s="165"/>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727</v>
      </c>
      <c r="J187" s="15" t="s">
        <v>432</v>
      </c>
      <c r="K187" s="15" t="s">
        <v>432</v>
      </c>
    </row>
    <row r="188" spans="1:11" ht="20.100000000000001" customHeight="1" x14ac:dyDescent="0.2">
      <c r="D188" s="156" t="str">
        <v>Anaerobic digestion</v>
      </c>
      <c r="E188" s="153" t="str">
        <v>Wood</v>
      </c>
      <c r="F188" s="165"/>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727</v>
      </c>
      <c r="J188" s="15" t="s">
        <v>432</v>
      </c>
      <c r="K188" s="15" t="s">
        <v>432</v>
      </c>
    </row>
    <row r="189" spans="1:11" ht="20.100000000000001" customHeight="1" x14ac:dyDescent="0.2">
      <c r="D189" s="156" t="str">
        <v>Anaerobic digestion</v>
      </c>
      <c r="E189" s="153" t="str">
        <v>Sludge</v>
      </c>
      <c r="F189" s="165"/>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727</v>
      </c>
      <c r="J189" s="15" t="s">
        <v>432</v>
      </c>
      <c r="K189" s="15" t="s">
        <v>432</v>
      </c>
    </row>
    <row r="190" spans="1:11" ht="20.100000000000001" customHeight="1" x14ac:dyDescent="0.2">
      <c r="D190" s="156" t="str">
        <v>Anaerobic digestion</v>
      </c>
      <c r="E190" s="153" t="str">
        <v>Paper and cardboard</v>
      </c>
      <c r="F190" s="165"/>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727</v>
      </c>
      <c r="J190" s="15" t="s">
        <v>432</v>
      </c>
      <c r="K190" s="15" t="s">
        <v>432</v>
      </c>
    </row>
    <row r="192" spans="1:11" ht="20.100000000000001" customHeight="1" x14ac:dyDescent="0.2">
      <c r="D192" s="87" t="s">
        <v>728</v>
      </c>
      <c r="E192" s="88">
        <f>SUM(K157:K190)</f>
        <v>441.15000000000003</v>
      </c>
      <c r="F192" s="97"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A60AF17C-A311-4FC0-B622-A242A323B94B}"/>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B5DD-2316-4EA3-AF84-FAB52852B6C3}">
  <sheetPr>
    <tabColor rgb="FF008000"/>
  </sheetPr>
  <dimension ref="A1:K34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566</v>
      </c>
    </row>
    <row r="2" spans="1:11" s="3" customFormat="1" ht="20.100000000000001" customHeight="1" x14ac:dyDescent="0.2">
      <c r="A2"/>
    </row>
    <row r="3" spans="1:11" ht="20.100000000000001" customHeight="1" x14ac:dyDescent="0.2">
      <c r="A3" s="5" t="str">
        <f>HYPERLINK("#'Home'!A1", "Home")</f>
        <v>Home</v>
      </c>
      <c r="C3" s="23"/>
      <c r="D3" s="23" t="s">
        <v>128</v>
      </c>
      <c r="E3" s="23"/>
      <c r="F3" s="23"/>
      <c r="G3" s="23"/>
      <c r="H3" s="23"/>
      <c r="I3" s="23"/>
      <c r="J3" s="23"/>
      <c r="K3" s="23"/>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2" t="str" cm="1">
        <f t="array" ref="D5">Electricity_Equations.VEERG_14_1_1__1_LocationBasedScopeElectricityEmissions_Title()</f>
        <v>Location-based Scope 2 emissions from purchased electricity</v>
      </c>
    </row>
    <row r="6" spans="1:11" ht="20.100000000000001" customHeight="1" x14ac:dyDescent="0.2">
      <c r="D6" s="17" t="str" cm="1">
        <f t="array" ref="D6">Electricity_Equations.VEERG_14_1_1__1_LocationBasedScopeElectricityEmissions_Source()</f>
        <v>VEERG 2026: 14.1.1, Equation (1)</v>
      </c>
    </row>
    <row r="7" spans="1:11" ht="20.100000000000001" customHeight="1" x14ac:dyDescent="0.2">
      <c r="D7" s="26" t="str" cm="1">
        <f t="array" ref="D7">Electricity_Equations.VEERG_14_1_1__1_LocationBasedScopeElectricityEmissions_Variation()</f>
        <v>Added g variable to capture which grid electricity was purchased from</v>
      </c>
    </row>
    <row r="8" spans="1:11" ht="20.100000000000001" customHeight="1" x14ac:dyDescent="0.2">
      <c r="A8" s="7" t="s">
        <v>0</v>
      </c>
      <c r="D8" s="140" t="s">
        <v>402</v>
      </c>
      <c r="E8" s="140"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Crop'!A1", "Crop")</f>
        <v>Crop</v>
      </c>
      <c r="D11" s="77" t="s">
        <v>407</v>
      </c>
      <c r="E11" s="1" t="str" cm="1">
        <f t="array" ref="E11">Electricity_Equations.VEERG_14_1_1__1_LocationBasedScopeElectricityEmissions_Variable()</f>
        <v>E_2elec</v>
      </c>
    </row>
    <row r="12" spans="1:11" ht="20.100000000000001" customHeight="1" x14ac:dyDescent="0.2">
      <c r="A12" s="5" t="str">
        <f>HYPERLINK("#'Input - Fert Prod System'!A1", "Fert Prod System")</f>
        <v>Fert Prod System</v>
      </c>
      <c r="D12" s="77" t="s">
        <v>118</v>
      </c>
      <c r="E12" s="9" t="str" cm="1">
        <f t="array" ref="E12">Electricity_Equations.VEERG_14_1_1__1_LocationBasedScopeElectricityEmissions_Unit()</f>
        <v>t CO2e</v>
      </c>
    </row>
    <row r="13" spans="1:11" ht="20.100000000000001" customHeight="1" x14ac:dyDescent="0.2">
      <c r="A13" s="5" t="str">
        <f>HYPERLINK("#'Input - Fertiliser'!A1", "Fertiliser")</f>
        <v>Fertiliser</v>
      </c>
    </row>
    <row r="14" spans="1:11" ht="20.100000000000001" customHeight="1" x14ac:dyDescent="0.2">
      <c r="A14" s="5" t="str">
        <f>HYPERLINK("#'Input - Fuel'!A1", "Fuel")</f>
        <v>Fuel</v>
      </c>
      <c r="D14" s="156" t="str" cm="1">
        <f t="array" ref="D14:E16">_xlfn.CHOOSECOLS(Electricity_Equations.VEERG_14_1_1__1_LocationBasedScopeElectricityEmissions_Arguments(),1,2)</f>
        <v>Q_elec</v>
      </c>
      <c r="E14" s="153" t="str">
        <v>amount of electricity purchased from the grid</v>
      </c>
      <c r="F14" s="165"/>
      <c r="G14" s="156" t="str" cm="1">
        <f t="array" ref="G14:H16">_xlfn.CHOOSECOLS(Electricity_Equations.VEERG_14_1_1__1_LocationBasedScopeElectricityEmissions_Arguments(),3,4)</f>
        <v>kWh</v>
      </c>
      <c r="H14" s="147" t="str">
        <v>Input</v>
      </c>
      <c r="I14" s="153">
        <f>X_Cell_Electricity_Location_AmountPurchasedInkWh</f>
        <v>30000</v>
      </c>
      <c r="J14" s="165"/>
    </row>
    <row r="15" spans="1:11" ht="20.100000000000001" customHeight="1" x14ac:dyDescent="0.2">
      <c r="A15" s="5" t="str">
        <f>HYPERLINK("#'Input - Electricity'!A1", "Electricity")</f>
        <v>Electricity</v>
      </c>
      <c r="D15" s="156" t="str">
        <v>EF_2elec</v>
      </c>
      <c r="E15" s="153" t="str">
        <v>location-based Scope 2 emission factor for electricity</v>
      </c>
      <c r="F15" s="165"/>
      <c r="G15" s="156" t="str">
        <v>kg CO2e/kWh</v>
      </c>
      <c r="H15" s="148" t="str">
        <v>Constant</v>
      </c>
      <c r="I15" s="153" cm="1">
        <f t="array" ref="I15">Common_InputFunctions.Utility_LookupValueInTableNumber(I16,Table_SourceData_ElectricityEFs[State, Territory or grid description],Table_SourceData_ElectricityEFs[Scope 2 Emission Factors (kg CO2-e/kWh)])</f>
        <v>0.56000000000000005</v>
      </c>
      <c r="J15" s="165"/>
    </row>
    <row r="16" spans="1:11" ht="20.100000000000001" customHeight="1" x14ac:dyDescent="0.2">
      <c r="A16" s="5" t="str">
        <f>HYPERLINK("#'Input - Common farm inputs'!A1", "Common farm inputs")</f>
        <v>Common farm inputs</v>
      </c>
      <c r="D16" s="156" t="str">
        <v>g</v>
      </c>
      <c r="E16" s="153" t="str">
        <v>Grid electricity was purchased from</v>
      </c>
      <c r="F16" s="165"/>
      <c r="G16" s="156" t="str">
        <v/>
      </c>
      <c r="H16" s="147" t="str">
        <v>Input</v>
      </c>
      <c r="I16" s="153" t="str">
        <f>X_Cell_Electricity_Location_GridElectricityPurchasedFrom</f>
        <v>Western Australia - North Western Interconnected System (NWIS)</v>
      </c>
      <c r="J16" s="165"/>
    </row>
    <row r="17" spans="1:11" ht="20.100000000000001" customHeight="1" x14ac:dyDescent="0.2">
      <c r="A17" s="5" t="str">
        <f>HYPERLINK("#'Input - Crop pasture farm input'!A1", "Crop pasture farm input")</f>
        <v>Crop pasture farm input</v>
      </c>
    </row>
    <row r="18" spans="1:11" ht="20.100000000000001" customHeight="1" x14ac:dyDescent="0.2">
      <c r="A18" s="5" t="str">
        <f>HYPERLINK("#'Input - Freight'!A1", "Freight")</f>
        <v>Freight</v>
      </c>
      <c r="D18" s="87" t="s">
        <v>567</v>
      </c>
      <c r="E18" s="88" cm="1">
        <f t="array" ref="E18">Electricity_Equations.VEERG_14_1_1__1_LocationBasedScopeElectricityEmissions(I14,I15)</f>
        <v>16.8</v>
      </c>
      <c r="F18" s="97" t="str">
        <f>$E$12</f>
        <v>t CO2e</v>
      </c>
    </row>
    <row r="19" spans="1:11" ht="20.100000000000001" customHeight="1" x14ac:dyDescent="0.2">
      <c r="A19" s="5" t="str">
        <f>HYPERLINK("#'Input - Solid waste'!A1", "Solid waste")</f>
        <v>Solid waste</v>
      </c>
    </row>
    <row r="20" spans="1:11" ht="20.100000000000001" customHeight="1" x14ac:dyDescent="0.2">
      <c r="A20" s="5" t="str">
        <f>HYPERLINK("#'Input - Data quality'!A1", "Data quality")</f>
        <v>Data quality</v>
      </c>
    </row>
    <row r="21" spans="1:11" ht="20.100000000000001" customHeight="1" x14ac:dyDescent="0.2">
      <c r="C21" s="85"/>
      <c r="D21" s="85"/>
      <c r="E21" s="85"/>
      <c r="F21" s="85"/>
      <c r="G21" s="85"/>
      <c r="H21" s="85"/>
      <c r="I21" s="85"/>
      <c r="J21" s="85"/>
      <c r="K21" s="85"/>
    </row>
    <row r="22" spans="1:11" ht="20.100000000000001" customHeight="1" x14ac:dyDescent="0.2">
      <c r="D22" s="2" t="str" cm="1">
        <f t="array" ref="D22">Electricity_Equations.VEERG_14_1_2__1_MarketBasedScopeElectricityEmissions_Title()</f>
        <v>Market-based Scope 2 emissions from purchased electricity</v>
      </c>
    </row>
    <row r="23" spans="1:11" ht="20.100000000000001" customHeight="1" x14ac:dyDescent="0.2">
      <c r="A23" s="6" t="s">
        <v>2</v>
      </c>
      <c r="D23" s="17" t="str" cm="1">
        <f t="array" ref="D23">Electricity_Equations.VEERG_14_1_2__1_MarketBasedScopeElectricityEmissions_Source()</f>
        <v>VEERG 2026: 14.1.2, Equation (1)</v>
      </c>
    </row>
    <row r="24" spans="1:11" ht="20.100000000000001" customHeight="1" x14ac:dyDescent="0.2">
      <c r="A24" s="5" t="str">
        <f>HYPERLINK("#'5.1.1.1-2 Inorganic fert N2O'!A1", "5.1.1.1-2 Inorganic fert N2O")</f>
        <v>5.1.1.1-2 Inorganic fert N2O</v>
      </c>
      <c r="D24" s="2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
      <c r="A25" s="5" t="str">
        <f>HYPERLINK("#'5.1.1.3-4 Inorganic fert CO2'!A1", "5.1.1.3-4 Inorganic fert CO2")</f>
        <v>5.1.1.3-4 Inorganic fert CO2</v>
      </c>
      <c r="D25" s="140" t="s">
        <v>402</v>
      </c>
      <c r="E25" s="140"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
      <c r="A26" s="5" t="str">
        <f>HYPERLINK("#'5.2.1.1-2 Organic Fert N2O'!A1", "5.2.1.1-2 Organic fert N2O")</f>
        <v>5.2.1.1-2 Organic fert N2O</v>
      </c>
    </row>
    <row r="27" spans="1:11" ht="20.100000000000001" customHeight="1" x14ac:dyDescent="0.2">
      <c r="A27" s="5" t="str">
        <f>HYPERLINK("#'5.3.1.1-2 Lime CO2'!A1", "5.3.1.1-2 Lime CO2")</f>
        <v>5.3.1.1-2 Lime CO2</v>
      </c>
    </row>
    <row r="28" spans="1:11" ht="20.100000000000001" customHeight="1" x14ac:dyDescent="0.2">
      <c r="A28" s="5" t="str">
        <f>HYPERLINK("#'5.4.1.1-4 Atmos deposition'!A1", "5.4.1.1-4 Atmos. deposition")</f>
        <v>5.4.1.1-4 Atmos. deposition</v>
      </c>
      <c r="D28" s="77" t="s">
        <v>407</v>
      </c>
      <c r="E28" s="1" t="str" cm="1">
        <f t="array" ref="E28">Electricity_Equations.VEERG_14_1_2__1_MarketBasedScopeElectricityEmissions_Variable()</f>
        <v>E_2elec</v>
      </c>
    </row>
    <row r="29" spans="1:11" ht="20.100000000000001" customHeight="1" x14ac:dyDescent="0.2">
      <c r="A29" s="5" t="str">
        <f>HYPERLINK("#'5.5.1.1-2 Leaching and runoff'!A1", "5.5.1.1-2 Leaching &amp; runoff")</f>
        <v>5.5.1.1-2 Leaching &amp; runoff</v>
      </c>
      <c r="D29" s="77" t="s">
        <v>118</v>
      </c>
      <c r="E29" s="9" t="str" cm="1">
        <f t="array" ref="E29">Electricity_Equations.VEERG_14_1_2__1_MarketBasedScopeElectricityEmissions_Unit()</f>
        <v>t CO2e</v>
      </c>
    </row>
    <row r="30" spans="1:11" ht="20.100000000000001" customHeight="1" x14ac:dyDescent="0.2">
      <c r="A30" s="5" t="str">
        <f>HYPERLINK("#'6.1.1.1-2 Crop residue N2O'!A1", "6.1.1.1-2 Crop residue N2O")</f>
        <v>6.1.1.1-2 Crop residue N2O</v>
      </c>
    </row>
    <row r="31" spans="1:11" ht="20.100000000000001" customHeight="1" x14ac:dyDescent="0.2">
      <c r="A31" s="5" t="str">
        <f>HYPERLINK("#'6.3.1.1-2 Leach runoff crop'!A1", "6.3.1.1-2 Leach &amp; runoff (crop)")</f>
        <v>6.3.1.1-2 Leach &amp; runoff (crop)</v>
      </c>
      <c r="D31" s="156" t="str" cm="1">
        <f t="array" ref="D31:E37">_xlfn.CHOOSECOLS(Electricity_Equations.VEERG_14_1_2__1_MarketBasedScopeElectricityEmissions_Arguments(),1,2)</f>
        <v>Q_elec</v>
      </c>
      <c r="E31" s="153" t="str">
        <v>amount of electricity purchased from the grid</v>
      </c>
      <c r="F31" s="164"/>
      <c r="G31" s="164"/>
      <c r="H31" s="156" t="str" cm="1">
        <f t="array" ref="H31:I37">_xlfn.CHOOSECOLS(Electricity_Equations.VEERG_14_1_2__1_MarketBasedScopeElectricityEmissions_Arguments(),3,4)</f>
        <v>kWh</v>
      </c>
      <c r="I31" s="147" t="str">
        <v>Input</v>
      </c>
      <c r="J31" s="156">
        <f>X_Cell_Electricity_Market_AmountPurchasedExcludingGreenPower</f>
        <v>30000</v>
      </c>
    </row>
    <row r="32" spans="1:11" ht="20.100000000000001" customHeight="1" x14ac:dyDescent="0.2">
      <c r="A32" s="5" t="str">
        <f>HYPERLINK("#'8.1.1.1-2 Transport fuel'!A1", "8.1.1.1-2 Transport fuel")</f>
        <v>8.1.1.1-2 Transport fuel</v>
      </c>
      <c r="D32" s="156" t="str">
        <v>RPP</v>
      </c>
      <c r="E32" s="153" t="str">
        <v>Renewable Power Percentage under the Large-scale Renewable Energy Target (LRET)</v>
      </c>
      <c r="F32" s="164"/>
      <c r="G32" s="164"/>
      <c r="H32" s="156" t="str">
        <v>per cent</v>
      </c>
      <c r="I32" s="147" t="str">
        <v>Input</v>
      </c>
      <c r="J32" s="177">
        <f>X_Cell_Electricity_Market_RenewablePowerPercentage</f>
        <v>0.1</v>
      </c>
    </row>
    <row r="33" spans="1:10" ht="20.100000000000001" customHeight="1" x14ac:dyDescent="0.2">
      <c r="A33" s="5" t="str">
        <f>HYPERLINK("#'8.2.1.1-2 Stationary fuel'!A1", "8.2.1.1-2 Stationary fuel")</f>
        <v>8.2.1.1-2 Stationary fuel</v>
      </c>
      <c r="D33" s="156" t="str">
        <v>JRPP</v>
      </c>
      <c r="E33" s="153" t="str">
        <v>jurisdictional renewable power percentage for the applicable period (ACT only)</v>
      </c>
      <c r="F33" s="164"/>
      <c r="G33" s="164"/>
      <c r="H33" s="156" t="str">
        <v>per cent</v>
      </c>
      <c r="I33" s="147" t="str">
        <v>Input</v>
      </c>
      <c r="J33" s="177" t="str">
        <f>IF(J37="ACT", X_Cell_Electricity_Market_JurisdictionalRenewablePowerPercentage, "N/A")</f>
        <v>N/A</v>
      </c>
    </row>
    <row r="34" spans="1:10" ht="20.100000000000001" customHeight="1" x14ac:dyDescent="0.2">
      <c r="A34" s="5" t="str">
        <f>HYPERLINK("#'10.1.1-2 Solid waste treatment'!A1", "10.1.1.1-2 Solid waste")</f>
        <v>10.1.1.1-2 Solid waste</v>
      </c>
      <c r="D34" s="156" t="str">
        <v>REC_surrendered</v>
      </c>
      <c r="E34" s="153" t="str">
        <v>Renewable Energy Certificates voluntarily surrendered in the reporting year</v>
      </c>
      <c r="F34" s="164"/>
      <c r="G34" s="164"/>
      <c r="H34" s="156" t="str">
        <v>MWh</v>
      </c>
      <c r="I34" s="147" t="str">
        <v>Input</v>
      </c>
      <c r="J34" s="156">
        <f>(X_Cell_Electricity_Market_AmountPurchasedGreenPower*10^-3)+X_Cell_TotalElegibleVoluntarilySurrenderedRECs</f>
        <v>15</v>
      </c>
    </row>
    <row r="35" spans="1:10" ht="20.100000000000001" customHeight="1" x14ac:dyDescent="0.2">
      <c r="A35" s="150" t="str">
        <f>HYPERLINK("#'14.1.1-2 Purchased electricity'!A1", "14.1.1-2 Purchased electricity")</f>
        <v>14.1.1-2 Purchased electricity</v>
      </c>
      <c r="D35" s="156" t="str">
        <v>REC_onsite</v>
      </c>
      <c r="E35" s="153" t="str">
        <v>Renewable Energy Certificates issued for electricity produced on-site during the year and consumed by the entity</v>
      </c>
      <c r="F35" s="164"/>
      <c r="G35" s="164"/>
      <c r="H35" s="156" t="str">
        <v>MWh</v>
      </c>
      <c r="I35" s="147" t="str">
        <v>Input</v>
      </c>
      <c r="J35" s="156">
        <f>X_Cell_TotalElegibleRECsForElectricityProducedOnSite</f>
        <v>0</v>
      </c>
    </row>
    <row r="36" spans="1:10" ht="20.100000000000001" customHeight="1" x14ac:dyDescent="0.2">
      <c r="A36" s="5" t="str">
        <f>HYPERLINK("#'15 Scope 3'!A1", "15 Scope 3")</f>
        <v>15 Scope 3</v>
      </c>
      <c r="D36" s="156" t="str">
        <v>EF_RMF2elec</v>
      </c>
      <c r="E36" s="153" t="str">
        <v>Scope 2 residual mix emission factor for electricity</v>
      </c>
      <c r="F36" s="164"/>
      <c r="G36" s="164"/>
      <c r="H36" s="156" t="str">
        <v>kg CO2e/kWh</v>
      </c>
      <c r="I36" s="148" t="str">
        <v>Constant</v>
      </c>
      <c r="J36" s="156" cm="1">
        <f t="array" ref="J36">Table_SourceData_ElectricityEFsMarketBased[Scope 2 EF (kg CO2-e/kWh)]</f>
        <v>0.81</v>
      </c>
    </row>
    <row r="37" spans="1:10" ht="20.100000000000001" customHeight="1" x14ac:dyDescent="0.2">
      <c r="D37" s="156" t="str">
        <v>i</v>
      </c>
      <c r="E37" s="153" t="str">
        <v>state</v>
      </c>
      <c r="F37" s="164"/>
      <c r="G37" s="165"/>
      <c r="H37" s="156" t="str">
        <v/>
      </c>
      <c r="I37" s="147" t="str">
        <v>Input</v>
      </c>
      <c r="J37" s="156" t="str">
        <f>X_Cell_Site_State</f>
        <v>Western Australia</v>
      </c>
    </row>
    <row r="39" spans="1:10" ht="20.100000000000001" customHeight="1" x14ac:dyDescent="0.2">
      <c r="A39" s="82" t="s">
        <v>1</v>
      </c>
      <c r="D39" s="87" t="s">
        <v>567</v>
      </c>
      <c r="E39" s="88" cm="1">
        <f t="array" ref="E39">Electricity_Equations.VEERG_14_1_2__1_MarketBasedScopeElectricityEmissionsVariation(J31,J32,IF(ISNUMBER(J33), J33, 0),J34,J35,J36)</f>
        <v>9.7200000000000006</v>
      </c>
      <c r="F39" s="97" t="str">
        <f>E29</f>
        <v>t CO2e</v>
      </c>
    </row>
    <row r="40" spans="1:10" ht="20.100000000000001" customHeight="1" x14ac:dyDescent="0.2">
      <c r="A40" s="5" t="str">
        <f>HYPERLINK("#'Constants - Ag Residue'!A1", "Constants - Ag residue")</f>
        <v>Constants - Ag residue</v>
      </c>
      <c r="H40" s="1" t="s">
        <v>561</v>
      </c>
    </row>
    <row r="41" spans="1:10" ht="20.100000000000001" customHeight="1" x14ac:dyDescent="0.2">
      <c r="A41" s="5" t="str">
        <f>HYPERLINK("#'Constants - Electricity'!A1", "Constants - Electricity")</f>
        <v>Constants - Electricity</v>
      </c>
    </row>
    <row r="42" spans="1:10" ht="20.100000000000001" customHeight="1" x14ac:dyDescent="0.2">
      <c r="A42" s="5" t="str">
        <f>HYPERLINK("#'Constants - Fertiliser'!A1", "Constants - Fertiliser")</f>
        <v>Constants - Fertiliser</v>
      </c>
    </row>
    <row r="43" spans="1:10" ht="20.100000000000001" customHeight="1" x14ac:dyDescent="0.2">
      <c r="A43" s="5" t="str">
        <f>HYPERLINK("#'Constants - Fuel'!A1", "Constants - Fuel")</f>
        <v>Constants - Fuel</v>
      </c>
    </row>
    <row r="44" spans="1:10" ht="20.100000000000001" customHeight="1" x14ac:dyDescent="0.2">
      <c r="A44" s="5" t="str">
        <f>HYPERLINK("#'Constants - Scope 3'!A1", "Constants - Scope 3")</f>
        <v>Constants - Scope 3</v>
      </c>
      <c r="E44" s="122"/>
    </row>
    <row r="45" spans="1:10" ht="20.100000000000001" customHeight="1" x14ac:dyDescent="0.2">
      <c r="A45" s="5" t="str">
        <f>HYPERLINK("#'Constants - Solid Waste'!A1", "Constants - Solid Waste")</f>
        <v>Constants - Solid Waste</v>
      </c>
    </row>
    <row r="46" spans="1:10" ht="20.100000000000001" customHeight="1" x14ac:dyDescent="0.2">
      <c r="A46" s="5" t="str">
        <f>HYPERLINK("#'Constants - Common'!A1", "Constants - Common")</f>
        <v>Constants - Common</v>
      </c>
    </row>
    <row r="47" spans="1:10" ht="20.100000000000001" customHeight="1" x14ac:dyDescent="0.2">
      <c r="A47" s="5" t="str">
        <f>HYPERLINK("#'Constants - Common Livestock'!A1", "Constants - Common Livestock")</f>
        <v>Constants - Common Livestock</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EA324554-0879-4A8B-891B-E8AF55D6DB00}"/>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B9E6-37D0-475D-89FF-C012E0CE4839}">
  <sheetPr>
    <tabColor theme="9" tint="-0.249977111117893"/>
  </sheetPr>
  <dimension ref="A1:AO65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1" customFormat="1" ht="30" customHeight="1" x14ac:dyDescent="0.35">
      <c r="A1" s="10" t="e" vm="1">
        <v>#VALUE!</v>
      </c>
      <c r="C1" s="21" t="s">
        <v>854</v>
      </c>
    </row>
    <row r="2" spans="1:41" s="3" customFormat="1" ht="20.100000000000001" customHeight="1" x14ac:dyDescent="0.2">
      <c r="A2"/>
    </row>
    <row r="3" spans="1:41"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EI")</f>
        <v>Results - Product EI</v>
      </c>
      <c r="D5" s="2" t="str" cm="1">
        <f t="array" ref="D5">Scope3_Equations.VEERG_15_1_1_1__1_EmissionsFromPurchasedLivestock_Title()</f>
        <v>Total emissions from purchased livestock</v>
      </c>
    </row>
    <row r="6" spans="1:41" ht="20.100000000000001" customHeight="1" x14ac:dyDescent="0.2">
      <c r="D6" s="17" t="str" cm="1">
        <f t="array" ref="D6">Scope3_Equations.VEERG_15_1_1_1__1_EmissionsFromPurchasedLivestock_Source()</f>
        <v>VEERG 2026: 15.1.1.1, Equation (1)</v>
      </c>
    </row>
    <row r="7" spans="1:41" ht="20.100000000000001" customHeight="1" x14ac:dyDescent="0.2">
      <c r="D7" s="140" t="s">
        <v>402</v>
      </c>
      <c r="E7" s="140" t="str" cm="1">
        <f t="array" aca="1" ref="E7" ca="1">Common_InputFunctions.Utility_DisplayFunctionName(J23)</f>
        <v>=Scope3_Equations.VEERG_15_1_1_1__1_EmissionsFromPurchasedLivestock</v>
      </c>
    </row>
    <row r="8" spans="1:41" ht="20.100000000000001" customHeight="1" x14ac:dyDescent="0.2">
      <c r="A8" s="7" t="s">
        <v>0</v>
      </c>
    </row>
    <row r="9" spans="1:41" ht="20.100000000000001" customHeight="1" x14ac:dyDescent="0.2">
      <c r="A9" s="5" t="str">
        <f>HYPERLINK("#'Input - Enterprise'!A1", "Enterprise")</f>
        <v>Enterprise</v>
      </c>
      <c r="H9" s="140"/>
    </row>
    <row r="10" spans="1:41" ht="20.100000000000001" customHeight="1" x14ac:dyDescent="0.2">
      <c r="A10" s="5" t="str">
        <f>HYPERLINK("#'Input - Site'!A1", "Site")</f>
        <v>Site</v>
      </c>
      <c r="D10" s="77" t="s">
        <v>407</v>
      </c>
      <c r="E10" s="1" t="str" cm="1">
        <f t="array" ref="E10">Scope3_Equations.VEERG_15_1_1_1__1_EmissionsFromPurchasedLivestock_Variable()</f>
        <v>E</v>
      </c>
    </row>
    <row r="11" spans="1:41" ht="20.100000000000001" customHeight="1" x14ac:dyDescent="0.2">
      <c r="A11" s="5" t="str">
        <f>HYPERLINK("#'Input - Crop'!A1", "Crop")</f>
        <v>Crop</v>
      </c>
      <c r="D11" s="77" t="s">
        <v>118</v>
      </c>
      <c r="E11" s="9" t="str" cm="1">
        <f t="array" ref="E11">Scope3_Equations.VEERG_15_1_1_1__1_EmissionsFromPurchasedLivestock_Unit()</f>
        <v>t CO2e</v>
      </c>
    </row>
    <row r="12" spans="1:41" ht="20.100000000000001" customHeight="1" x14ac:dyDescent="0.2">
      <c r="A12" s="5" t="str">
        <f>HYPERLINK("#'Input - Fert Prod System'!A1", "Fert Prod System")</f>
        <v>Fert Prod System</v>
      </c>
    </row>
    <row r="13" spans="1:41" ht="20.100000000000001" customHeight="1" x14ac:dyDescent="0.2">
      <c r="A13" s="5" t="str">
        <f>HYPERLINK("#'Input - Fertiliser'!A1", "Fertiliser")</f>
        <v>Fertiliser</v>
      </c>
      <c r="D13" s="156" t="str" cm="1">
        <f t="array" ref="D13:E17">_xlfn.CHOOSECOLS(Scope3_Equations.VEERG_15_1_1_1__1_EmissionsFromPurchasedLivestock_Arguments(),1,2)</f>
        <v>N_co</v>
      </c>
      <c r="E13" s="153" t="str">
        <v>number of animals purchased in livestock type c from origin o</v>
      </c>
      <c r="F13" s="165"/>
      <c r="G13" s="156" t="str" cm="1">
        <f t="array" ref="G13:H17">_xlfn.CHOOSECOLS(Scope3_Equations.VEERG_15_1_1_1__1_EmissionsFromPurchasedLivestock_Arguments(),3,4)</f>
        <v>head</v>
      </c>
      <c r="H13" s="240" t="str">
        <v>Input</v>
      </c>
    </row>
    <row r="14" spans="1:41" ht="20.100000000000001" customHeight="1" x14ac:dyDescent="0.2">
      <c r="A14" s="5" t="str">
        <f>HYPERLINK("#'Input - Fuel'!A1", "Fuel")</f>
        <v>Fuel</v>
      </c>
      <c r="D14" s="156" t="str">
        <v>W_co</v>
      </c>
      <c r="E14" s="153" t="str">
        <v>average liveweight of purchased livestock at point of purchase</v>
      </c>
      <c r="F14" s="165"/>
      <c r="G14" s="156" t="str">
        <v>kg/head</v>
      </c>
      <c r="H14" s="240" t="str">
        <v>Input</v>
      </c>
    </row>
    <row r="15" spans="1:41" ht="20.100000000000001" customHeight="1" x14ac:dyDescent="0.2">
      <c r="A15" s="5" t="str">
        <f>HYPERLINK("#'Input - Electricity'!A1", "Electricity")</f>
        <v>Electricity</v>
      </c>
      <c r="D15" s="156" t="str">
        <v>EF_co</v>
      </c>
      <c r="E15" s="153" t="str">
        <v>emission factor per livestock type and origin</v>
      </c>
      <c r="F15" s="165"/>
      <c r="G15" s="156" t="str">
        <v>kg CO2e/kg</v>
      </c>
      <c r="H15" s="148" t="str">
        <v>Constant</v>
      </c>
    </row>
    <row r="16" spans="1:41" ht="20.100000000000001" customHeight="1" x14ac:dyDescent="0.2">
      <c r="A16" s="5" t="str">
        <f>HYPERLINK("#'Input - Common farm inputs'!A1", "Common farm inputs")</f>
        <v>Common farm inputs</v>
      </c>
      <c r="D16" s="156" t="str">
        <v>c</v>
      </c>
      <c r="E16" s="153" t="str">
        <v>livestock type</v>
      </c>
      <c r="F16" s="165"/>
      <c r="G16" s="156" t="str">
        <v/>
      </c>
      <c r="H16" s="240" t="str">
        <v>Input</v>
      </c>
    </row>
    <row r="17" spans="1:16" ht="20.100000000000001" customHeight="1" x14ac:dyDescent="0.2">
      <c r="A17" s="5" t="str">
        <f>HYPERLINK("#'Input - Crop pasture farm input'!A1", "Crop pasture farm input")</f>
        <v>Crop pasture farm input</v>
      </c>
      <c r="D17" s="156" t="str">
        <v>o</v>
      </c>
      <c r="E17" s="153" t="str">
        <v>origin</v>
      </c>
      <c r="F17" s="165"/>
      <c r="G17" s="156" t="str">
        <v/>
      </c>
      <c r="H17" s="240" t="str">
        <v>Input</v>
      </c>
    </row>
    <row r="18" spans="1:16" ht="20.100000000000001" customHeight="1" x14ac:dyDescent="0.2">
      <c r="A18" s="5" t="str">
        <f>HYPERLINK("#'Input - Freight'!A1", "Freight")</f>
        <v>Freight</v>
      </c>
    </row>
    <row r="19" spans="1:16" ht="20.100000000000001" customHeight="1" x14ac:dyDescent="0.2">
      <c r="A19" s="5" t="str">
        <f>HYPERLINK("#'Input - Solid waste'!A1", "Solid waste")</f>
        <v>Solid waste</v>
      </c>
      <c r="D19" s="36" t="s">
        <v>855</v>
      </c>
      <c r="E19" s="38"/>
      <c r="F19" s="39"/>
    </row>
    <row r="20" spans="1:16" ht="20.100000000000001" customHeight="1" x14ac:dyDescent="0.2">
      <c r="A20" s="5" t="str">
        <f>HYPERLINK("#'Input - Data quality'!A1", "Data quality")</f>
        <v>Data quality</v>
      </c>
    </row>
    <row r="21" spans="1:16" ht="20.100000000000001" customHeight="1" x14ac:dyDescent="0.2">
      <c r="D21" s="235" t="s">
        <v>856</v>
      </c>
    </row>
    <row r="22" spans="1:16" ht="20.100000000000001" customHeight="1" x14ac:dyDescent="0.2">
      <c r="D22" s="80" t="s">
        <v>857</v>
      </c>
      <c r="E22" s="241" t="s">
        <v>858</v>
      </c>
      <c r="F22" s="241" t="s">
        <v>859</v>
      </c>
      <c r="G22" s="241" t="s">
        <v>860</v>
      </c>
      <c r="H22" s="241" t="s">
        <v>861</v>
      </c>
      <c r="I22" s="144" t="s">
        <v>862</v>
      </c>
      <c r="J22" s="144" t="s">
        <v>863</v>
      </c>
      <c r="K22" s="241" t="s">
        <v>864</v>
      </c>
      <c r="L22" s="80" t="s">
        <v>865</v>
      </c>
      <c r="M22" s="144" t="s">
        <v>866</v>
      </c>
      <c r="N22" s="80" t="s">
        <v>867</v>
      </c>
      <c r="O22" s="80" t="s">
        <v>868</v>
      </c>
      <c r="P22" s="80" t="s">
        <v>869</v>
      </c>
    </row>
    <row r="23" spans="1:16" ht="20.100000000000001" customHeight="1" x14ac:dyDescent="0.2">
      <c r="A23" s="6" t="s">
        <v>2</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42" cm="1">
        <f t="array" ref="J23">Scope3_Equations.VEERG_15_1_1_1__1_EmissionsFromPurchasedLivestock(G23,H23,I23)</f>
        <v>0</v>
      </c>
      <c r="K23" s="15"/>
      <c r="L23" s="76">
        <v>20</v>
      </c>
      <c r="M23" s="242" cm="1">
        <f t="array" ref="M23">Scope3_Equations.VEERG_15_1_1_1__1_EmissionsFromPurchasedLivestock(G23,K23,IF(L23, L23, I23))</f>
        <v>0</v>
      </c>
      <c r="N23" s="34" t="s">
        <v>870</v>
      </c>
      <c r="O23" s="13" t="s">
        <v>871</v>
      </c>
      <c r="P23" t="s">
        <v>872</v>
      </c>
    </row>
    <row r="24" spans="1:16" ht="20.100000000000001" customHeight="1" x14ac:dyDescent="0.2">
      <c r="A24" s="5" t="str">
        <f>HYPERLINK("#'5.1.1.1-2 Inorganic fert N2O'!A1", "5.1.1.1-2 Inorganic fert N2O")</f>
        <v>5.1.1.1-2 Inorganic fert N2O</v>
      </c>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42" cm="1">
        <f t="array" ref="J24">Scope3_Equations.VEERG_15_1_1_1__1_EmissionsFromPurchasedLivestock(G24,H24,I24)</f>
        <v>0</v>
      </c>
      <c r="K24" s="15"/>
      <c r="L24" s="76">
        <v>13</v>
      </c>
      <c r="M24" s="242" cm="1">
        <f t="array" ref="M24">Scope3_Equations.VEERG_15_1_1_1__1_EmissionsFromPurchasedLivestock(G24,K24,IF(L24, L24, I24))</f>
        <v>0</v>
      </c>
      <c r="N24" s="34"/>
      <c r="O24" s="13"/>
      <c r="P24" s="34"/>
    </row>
    <row r="25" spans="1:16" ht="20.100000000000001" customHeight="1" x14ac:dyDescent="0.2">
      <c r="A25" s="5" t="str">
        <f>HYPERLINK("#'5.1.1.3-4 Inorganic fert CO2'!A1", "5.1.1.3-4 Inorganic fert CO2")</f>
        <v>5.1.1.3-4 Inorganic fert CO2</v>
      </c>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42" cm="1">
        <f t="array" ref="J25">Scope3_Equations.VEERG_15_1_1_1__1_EmissionsFromPurchasedLivestock(G25,H25,I25)</f>
        <v>0</v>
      </c>
      <c r="K25" s="15"/>
      <c r="L25" s="76"/>
      <c r="M25" s="242" cm="1">
        <f t="array" ref="M25">Scope3_Equations.VEERG_15_1_1_1__1_EmissionsFromPurchasedLivestock(G25,K25,IF(L25, L25, I25))</f>
        <v>0</v>
      </c>
      <c r="N25" s="34"/>
      <c r="O25" s="13"/>
      <c r="P25" s="34"/>
    </row>
    <row r="26" spans="1:16" ht="20.100000000000001" customHeight="1" x14ac:dyDescent="0.2">
      <c r="A26" s="5" t="str">
        <f>HYPERLINK("#'5.2.1.1-2 Organic Fert N2O'!A1", "5.2.1.1-2 Organic fert N2O")</f>
        <v>5.2.1.1-2 Organic fert N2O</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42" cm="1">
        <f t="array" ref="J26">Scope3_Equations.VEERG_15_1_1_1__1_EmissionsFromPurchasedLivestock(G26,H26,I26)</f>
        <v>0</v>
      </c>
      <c r="K26" s="15"/>
      <c r="L26" s="76"/>
      <c r="M26" s="242" cm="1">
        <f t="array" ref="M26">Scope3_Equations.VEERG_15_1_1_1__1_EmissionsFromPurchasedLivestock(G26,K26,IF(L26, L26, I26))</f>
        <v>0</v>
      </c>
      <c r="N26" s="34"/>
      <c r="O26" s="13"/>
      <c r="P26" s="34"/>
    </row>
    <row r="27" spans="1:16" ht="20.100000000000001" customHeight="1" x14ac:dyDescent="0.2">
      <c r="A27" s="5" t="str">
        <f>HYPERLINK("#'5.3.1.1-2 Lime CO2'!A1", "5.3.1.1-2 Lime CO2")</f>
        <v>5.3.1.1-2 Lime CO2</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42" cm="1">
        <f t="array" ref="J27">Scope3_Equations.VEERG_15_1_1_1__1_EmissionsFromPurchasedLivestock(G27,H27,I27)</f>
        <v>0</v>
      </c>
      <c r="K27" s="15"/>
      <c r="L27" s="76"/>
      <c r="M27" s="242" cm="1">
        <f t="array" ref="M27">Scope3_Equations.VEERG_15_1_1_1__1_EmissionsFromPurchasedLivestock(G27,K27,IF(L27, L27, I27))</f>
        <v>0</v>
      </c>
      <c r="N27" s="34"/>
      <c r="O27" s="13"/>
      <c r="P27" s="34"/>
    </row>
    <row r="28" spans="1:16" ht="20.100000000000001" customHeight="1" x14ac:dyDescent="0.2">
      <c r="A28" s="5" t="str">
        <f>HYPERLINK("#'5.4.1.1-4 Atmos deposition'!A1", "5.4.1.1-4 Atmos. deposition")</f>
        <v>5.4.1.1-4 Atmos. deposition</v>
      </c>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42" cm="1">
        <f t="array" ref="J28">Scope3_Equations.VEERG_15_1_1_1__1_EmissionsFromPurchasedLivestock(G28,H28,I28)</f>
        <v>0</v>
      </c>
      <c r="K28" s="15"/>
      <c r="L28" s="76"/>
      <c r="M28" s="242" cm="1">
        <f t="array" ref="M28">Scope3_Equations.VEERG_15_1_1_1__1_EmissionsFromPurchasedLivestock(G28,K28,IF(L28, L28, I28))</f>
        <v>0</v>
      </c>
      <c r="N28" s="34"/>
      <c r="O28" s="13"/>
      <c r="P28" s="34"/>
    </row>
    <row r="29" spans="1:16" ht="20.100000000000001" customHeight="1" x14ac:dyDescent="0.2">
      <c r="A29" s="5" t="str">
        <f>HYPERLINK("#'5.5.1.1-2 Leaching and runoff'!A1", "5.5.1.1-2 Leaching &amp; runoff")</f>
        <v>5.5.1.1-2 Leaching &amp; runoff</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42" cm="1">
        <f t="array" ref="J29">Scope3_Equations.VEERG_15_1_1_1__1_EmissionsFromPurchasedLivestock(G29,H29,I29)</f>
        <v>0</v>
      </c>
      <c r="K29" s="15"/>
      <c r="L29" s="76"/>
      <c r="M29" s="242" cm="1">
        <f t="array" ref="M29">Scope3_Equations.VEERG_15_1_1_1__1_EmissionsFromPurchasedLivestock(G29,K29,IF(L29, L29, I29))</f>
        <v>0</v>
      </c>
      <c r="N29" s="34"/>
      <c r="O29" s="13"/>
      <c r="P29" s="34"/>
    </row>
    <row r="30" spans="1:16" ht="20.100000000000001" customHeight="1" x14ac:dyDescent="0.2">
      <c r="A30" s="5" t="str">
        <f>HYPERLINK("#'6.1.1.1-2 Crop residue N2O'!A1", "6.1.1.1-2 Crop residue N2O")</f>
        <v>6.1.1.1-2 Crop residue N2O</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42" cm="1">
        <f t="array" ref="J30">Scope3_Equations.VEERG_15_1_1_1__1_EmissionsFromPurchasedLivestock(G30,H30,I30)</f>
        <v>0</v>
      </c>
      <c r="K30" s="15"/>
      <c r="L30" s="76"/>
      <c r="M30" s="242" cm="1">
        <f t="array" ref="M30">Scope3_Equations.VEERG_15_1_1_1__1_EmissionsFromPurchasedLivestock(G30,K30,IF(L30, L30, I30))</f>
        <v>0</v>
      </c>
      <c r="N30" s="34"/>
      <c r="O30" s="13"/>
      <c r="P30" s="34"/>
    </row>
    <row r="31" spans="1:16" ht="20.100000000000001" customHeight="1" x14ac:dyDescent="0.2">
      <c r="A31" s="5" t="str">
        <f>HYPERLINK("#'6.3.1.1-2 Leach runoff crop'!A1", "6.3.1.1-2 Leach &amp; runoff (crop)")</f>
        <v>6.3.1.1-2 Leach &amp; runoff (crop)</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42" cm="1">
        <f t="array" ref="J31">Scope3_Equations.VEERG_15_1_1_1__1_EmissionsFromPurchasedLivestock(G31,H31,I31)</f>
        <v>0</v>
      </c>
      <c r="K31" s="15"/>
      <c r="L31" s="76"/>
      <c r="M31" s="242" cm="1">
        <f t="array" ref="M31">Scope3_Equations.VEERG_15_1_1_1__1_EmissionsFromPurchasedLivestock(G31,K31,IF(L31, L31, I31))</f>
        <v>0</v>
      </c>
      <c r="N31" s="34"/>
      <c r="O31" s="13"/>
      <c r="P31" s="34"/>
    </row>
    <row r="32" spans="1:16" ht="20.100000000000001" customHeight="1" x14ac:dyDescent="0.2">
      <c r="A32" s="5" t="str">
        <f>HYPERLINK("#'8.1.1.1-2 Transport fuel'!A1", "8.1.1.1-2 Transport fuel")</f>
        <v>8.1.1.1-2 Transport fuel</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42" cm="1">
        <f t="array" ref="J32">Scope3_Equations.VEERG_15_1_1_1__1_EmissionsFromPurchasedLivestock(G32,H32,I32)</f>
        <v>0</v>
      </c>
      <c r="K32" s="15"/>
      <c r="L32" s="76"/>
      <c r="M32" s="242" cm="1">
        <f t="array" ref="M32">Scope3_Equations.VEERG_15_1_1_1__1_EmissionsFromPurchasedLivestock(G32,K32,IF(L32, L32, I32))</f>
        <v>0</v>
      </c>
      <c r="N32" s="34"/>
      <c r="O32" s="13"/>
      <c r="P32" s="34"/>
    </row>
    <row r="33" spans="1:13" ht="20.100000000000001" customHeight="1" x14ac:dyDescent="0.2">
      <c r="A33" s="5" t="str">
        <f>HYPERLINK("#'8.2.1.1-2 Stationary fuel'!A1", "8.2.1.1-2 Stationary fuel")</f>
        <v>8.2.1.1-2 Stationary fuel</v>
      </c>
    </row>
    <row r="34" spans="1:13" ht="20.100000000000001" customHeight="1" x14ac:dyDescent="0.2">
      <c r="A34" s="5" t="str">
        <f>HYPERLINK("#'10.1.1-2 Solid waste treatment'!A1", "10.1.1.1-2 Solid waste")</f>
        <v>10.1.1.1-2 Solid waste</v>
      </c>
      <c r="D34" s="90" t="s">
        <v>873</v>
      </c>
      <c r="E34" s="85">
        <f>SUM(J23:J32)</f>
        <v>0</v>
      </c>
      <c r="F34" s="91" t="str">
        <f>$E$11</f>
        <v>t CO2e</v>
      </c>
    </row>
    <row r="35" spans="1:13" ht="20.100000000000001" customHeight="1" x14ac:dyDescent="0.2">
      <c r="A35" s="5" t="str">
        <f>HYPERLINK("#'14.1.1-2 Purchased electricity'!A1", "14.1.1-2 Purchased electricity")</f>
        <v>14.1.1-2 Purchased electricity</v>
      </c>
      <c r="D35" s="90" t="s">
        <v>874</v>
      </c>
      <c r="E35" s="85">
        <f>SUM(M23:M32)</f>
        <v>0</v>
      </c>
      <c r="F35" s="91" t="str">
        <f>$E$11</f>
        <v>t CO2e</v>
      </c>
    </row>
    <row r="36" spans="1:13" ht="20.100000000000001" customHeight="1" x14ac:dyDescent="0.2">
      <c r="A36" s="150" t="str">
        <f>HYPERLINK("#'15 Scope 3'!A1", "15 Scope 3")</f>
        <v>15 Scope 3</v>
      </c>
    </row>
    <row r="38" spans="1:13" ht="20.100000000000001" customHeight="1" x14ac:dyDescent="0.2">
      <c r="D38" s="235" t="s">
        <v>875</v>
      </c>
    </row>
    <row r="39" spans="1:13" ht="20.100000000000001" customHeight="1" x14ac:dyDescent="0.2">
      <c r="A39" s="82" t="s">
        <v>1</v>
      </c>
      <c r="D39" s="156" t="s">
        <v>876</v>
      </c>
      <c r="E39" s="15" cm="1">
        <f t="array" ref="E39">Common_InputFunctions.Utility_LookupValueInTableNumber("Dairy cows", Table_SourceData_Scope3_Animals[Product],Table_SourceData_Scope3_Animals[Emissions intensity])</f>
        <v>4.41</v>
      </c>
    </row>
    <row r="40" spans="1:13" ht="20.100000000000001" customHeight="1" x14ac:dyDescent="0.2">
      <c r="A40" s="5" t="str">
        <f>HYPERLINK("#'Constants - Ag Residue'!A1", "Constants - Ag residue")</f>
        <v>Constants - Ag residue</v>
      </c>
    </row>
    <row r="41" spans="1:13" ht="20.100000000000001" customHeight="1" x14ac:dyDescent="0.2">
      <c r="A41" s="5" t="str">
        <f>HYPERLINK("#'Constants - Electricity'!A1", "Constants - Electricity")</f>
        <v>Constants - Electricity</v>
      </c>
      <c r="D41" s="80" t="s">
        <v>857</v>
      </c>
      <c r="E41" s="241" t="s">
        <v>860</v>
      </c>
      <c r="F41" s="241" t="s">
        <v>861</v>
      </c>
      <c r="G41" s="144" t="s">
        <v>863</v>
      </c>
      <c r="H41" s="241" t="s">
        <v>864</v>
      </c>
      <c r="I41" s="80" t="s">
        <v>865</v>
      </c>
      <c r="J41" s="144" t="s">
        <v>866</v>
      </c>
      <c r="K41" s="80" t="s">
        <v>867</v>
      </c>
      <c r="L41" s="80" t="s">
        <v>868</v>
      </c>
      <c r="M41" s="80" t="s">
        <v>869</v>
      </c>
    </row>
    <row r="42" spans="1:13" ht="20.100000000000001" customHeight="1" x14ac:dyDescent="0.2">
      <c r="A42" s="5" t="str">
        <f>HYPERLINK("#'Constants - Fertiliser'!A1", "Constants - Fertiliser")</f>
        <v>Constants - Fertiliser</v>
      </c>
      <c r="D42" s="15"/>
      <c r="E42" s="15"/>
      <c r="F42" s="15"/>
      <c r="G42" s="242" cm="1">
        <f t="array" ref="G42">Scope3_Equations.VEERG_15_1_1_1__1_EmissionsFromPurchasedLivestock(E42,F42,$E$39)</f>
        <v>0</v>
      </c>
      <c r="H42" s="15"/>
      <c r="I42" s="76">
        <v>4</v>
      </c>
      <c r="J42" s="242" cm="1">
        <f t="array" ref="J42">Scope3_Equations.VEERG_15_1_1_1__1_EmissionsFromPurchasedLivestock(E42,H42,IF(I42,I42,$E$39))</f>
        <v>0</v>
      </c>
      <c r="K42" s="34" t="s">
        <v>870</v>
      </c>
      <c r="L42" s="13" t="s">
        <v>871</v>
      </c>
      <c r="M42" t="s">
        <v>872</v>
      </c>
    </row>
    <row r="43" spans="1:13" ht="20.100000000000001" customHeight="1" x14ac:dyDescent="0.2">
      <c r="A43" s="5" t="str">
        <f>HYPERLINK("#'Constants - Fuel'!A1", "Constants - Fuel")</f>
        <v>Constants - Fuel</v>
      </c>
      <c r="D43" s="15"/>
      <c r="E43" s="15"/>
      <c r="F43" s="15"/>
      <c r="G43" s="242" cm="1">
        <f t="array" ref="G43">Scope3_Equations.VEERG_15_1_1_1__1_EmissionsFromPurchasedLivestock(E43,F43,$E$39)</f>
        <v>0</v>
      </c>
      <c r="H43" s="15"/>
      <c r="I43" s="76"/>
      <c r="J43" s="242" cm="1">
        <f t="array" ref="J43">Scope3_Equations.VEERG_15_1_1_1__1_EmissionsFromPurchasedLivestock(E43,H43,IF(I43,I43,$E$39))</f>
        <v>0</v>
      </c>
      <c r="K43" s="34"/>
      <c r="L43" s="13"/>
      <c r="M43" s="34"/>
    </row>
    <row r="44" spans="1:13" ht="20.100000000000001" customHeight="1" x14ac:dyDescent="0.2">
      <c r="A44" s="5" t="str">
        <f>HYPERLINK("#'Constants - Scope 3'!A1", "Constants - Scope 3")</f>
        <v>Constants - Scope 3</v>
      </c>
      <c r="D44" s="15"/>
      <c r="E44" s="15"/>
      <c r="F44" s="15"/>
      <c r="G44" s="242" cm="1">
        <f t="array" ref="G44">Scope3_Equations.VEERG_15_1_1_1__1_EmissionsFromPurchasedLivestock(E44,F44,$E$39)</f>
        <v>0</v>
      </c>
      <c r="H44" s="15"/>
      <c r="I44" s="76"/>
      <c r="J44" s="242" cm="1">
        <f t="array" ref="J44">Scope3_Equations.VEERG_15_1_1_1__1_EmissionsFromPurchasedLivestock(E44,H44,IF(I44,I44,$E$39))</f>
        <v>0</v>
      </c>
      <c r="K44" s="34"/>
      <c r="L44" s="13"/>
      <c r="M44" s="34"/>
    </row>
    <row r="45" spans="1:13" ht="20.100000000000001" customHeight="1" x14ac:dyDescent="0.2">
      <c r="A45" s="5" t="str">
        <f>HYPERLINK("#'Constants - Solid Waste'!A1", "Constants - Solid Waste")</f>
        <v>Constants - Solid Waste</v>
      </c>
      <c r="D45" s="15"/>
      <c r="E45" s="15"/>
      <c r="F45" s="15"/>
      <c r="G45" s="242" cm="1">
        <f t="array" ref="G45">Scope3_Equations.VEERG_15_1_1_1__1_EmissionsFromPurchasedLivestock(E45,F45,$E$39)</f>
        <v>0</v>
      </c>
      <c r="H45" s="15"/>
      <c r="I45" s="76"/>
      <c r="J45" s="242" cm="1">
        <f t="array" ref="J45">Scope3_Equations.VEERG_15_1_1_1__1_EmissionsFromPurchasedLivestock(E45,H45,IF(I45,I45,$E$39))</f>
        <v>0</v>
      </c>
      <c r="K45" s="34"/>
      <c r="L45" s="13"/>
      <c r="M45" s="34"/>
    </row>
    <row r="46" spans="1:13" ht="20.100000000000001" customHeight="1" x14ac:dyDescent="0.2">
      <c r="A46" s="5" t="str">
        <f>HYPERLINK("#'Constants - Common'!A1", "Constants - Common")</f>
        <v>Constants - Common</v>
      </c>
      <c r="D46" s="15"/>
      <c r="E46" s="15"/>
      <c r="F46" s="15"/>
      <c r="G46" s="242" cm="1">
        <f t="array" ref="G46">Scope3_Equations.VEERG_15_1_1_1__1_EmissionsFromPurchasedLivestock(E46,F46,$E$39)</f>
        <v>0</v>
      </c>
      <c r="H46" s="15"/>
      <c r="I46" s="76"/>
      <c r="J46" s="242" cm="1">
        <f t="array" ref="J46">Scope3_Equations.VEERG_15_1_1_1__1_EmissionsFromPurchasedLivestock(E46,H46,IF(I46,I46,$E$39))</f>
        <v>0</v>
      </c>
      <c r="K46" s="34"/>
      <c r="L46" s="13"/>
      <c r="M46" s="34"/>
    </row>
    <row r="47" spans="1:13" ht="20.100000000000001" customHeight="1" x14ac:dyDescent="0.2">
      <c r="A47" s="5" t="str">
        <f>HYPERLINK("#'Constants - Common Livestock'!A1", "Constants - Common Livestock")</f>
        <v>Constants - Common Livestock</v>
      </c>
      <c r="D47" s="15"/>
      <c r="E47" s="15"/>
      <c r="F47" s="15"/>
      <c r="G47" s="242" cm="1">
        <f t="array" ref="G47">Scope3_Equations.VEERG_15_1_1_1__1_EmissionsFromPurchasedLivestock(E47,F47,$E$39)</f>
        <v>0</v>
      </c>
      <c r="H47" s="15"/>
      <c r="I47" s="76"/>
      <c r="J47" s="242" cm="1">
        <f t="array" ref="J47">Scope3_Equations.VEERG_15_1_1_1__1_EmissionsFromPurchasedLivestock(E47,H47,IF(I47,I47,$E$39))</f>
        <v>0</v>
      </c>
      <c r="K47" s="34"/>
      <c r="L47" s="13"/>
      <c r="M47" s="34"/>
    </row>
    <row r="48" spans="1:13" ht="20.100000000000001" customHeight="1" x14ac:dyDescent="0.2">
      <c r="D48" s="15"/>
      <c r="E48" s="15"/>
      <c r="F48" s="15"/>
      <c r="G48" s="242" cm="1">
        <f t="array" ref="G48">Scope3_Equations.VEERG_15_1_1_1__1_EmissionsFromPurchasedLivestock(E48,F48,$E$39)</f>
        <v>0</v>
      </c>
      <c r="H48" s="15"/>
      <c r="I48" s="76"/>
      <c r="J48" s="242" cm="1">
        <f t="array" ref="J48">Scope3_Equations.VEERG_15_1_1_1__1_EmissionsFromPurchasedLivestock(E48,H48,IF(I48,I48,$E$39))</f>
        <v>0</v>
      </c>
      <c r="K48" s="34"/>
      <c r="L48" s="13"/>
      <c r="M48" s="34"/>
    </row>
    <row r="49" spans="1:13" ht="20.100000000000001" customHeight="1" x14ac:dyDescent="0.2">
      <c r="D49" s="15"/>
      <c r="E49" s="15"/>
      <c r="F49" s="15"/>
      <c r="G49" s="242" cm="1">
        <f t="array" ref="G49">Scope3_Equations.VEERG_15_1_1_1__1_EmissionsFromPurchasedLivestock(E49,F49,$E$39)</f>
        <v>0</v>
      </c>
      <c r="H49" s="15"/>
      <c r="I49" s="76"/>
      <c r="J49" s="242" cm="1">
        <f t="array" ref="J49">Scope3_Equations.VEERG_15_1_1_1__1_EmissionsFromPurchasedLivestock(E49,H49,IF(I49,I49,$E$39))</f>
        <v>0</v>
      </c>
      <c r="K49" s="34"/>
      <c r="L49" s="13"/>
      <c r="M49" s="34"/>
    </row>
    <row r="50" spans="1:13" ht="20.100000000000001" customHeight="1" x14ac:dyDescent="0.2">
      <c r="D50" s="15"/>
      <c r="E50" s="15"/>
      <c r="F50" s="15"/>
      <c r="G50" s="242" cm="1">
        <f t="array" ref="G50">Scope3_Equations.VEERG_15_1_1_1__1_EmissionsFromPurchasedLivestock(E50,F50,$E$39)</f>
        <v>0</v>
      </c>
      <c r="H50" s="15"/>
      <c r="I50" s="76"/>
      <c r="J50" s="242" cm="1">
        <f t="array" ref="J50">Scope3_Equations.VEERG_15_1_1_1__1_EmissionsFromPurchasedLivestock(E50,H50,IF(I50,I50,$E$39))</f>
        <v>0</v>
      </c>
      <c r="K50" s="34"/>
      <c r="L50" s="13"/>
      <c r="M50" s="34"/>
    </row>
    <row r="51" spans="1:13" ht="20.100000000000001" customHeight="1" x14ac:dyDescent="0.2">
      <c r="D51" s="15"/>
      <c r="E51" s="15"/>
      <c r="F51" s="15"/>
      <c r="G51" s="242" cm="1">
        <f t="array" ref="G51">Scope3_Equations.VEERG_15_1_1_1__1_EmissionsFromPurchasedLivestock(E51,F51,$E$39)</f>
        <v>0</v>
      </c>
      <c r="H51" s="15"/>
      <c r="I51" s="76"/>
      <c r="J51" s="242" cm="1">
        <f t="array" ref="J51">Scope3_Equations.VEERG_15_1_1_1__1_EmissionsFromPurchasedLivestock(E51,H51,IF(I51,I51,$E$39))</f>
        <v>0</v>
      </c>
      <c r="K51" s="34"/>
      <c r="L51" s="13"/>
      <c r="M51" s="34"/>
    </row>
    <row r="53" spans="1:13" ht="20.100000000000001" customHeight="1" x14ac:dyDescent="0.2">
      <c r="D53" s="90" t="s">
        <v>877</v>
      </c>
      <c r="E53" s="85">
        <f>SUM(G42:G51)</f>
        <v>0</v>
      </c>
      <c r="F53" s="91" t="str">
        <f>$E$11</f>
        <v>t CO2e</v>
      </c>
    </row>
    <row r="54" spans="1:13" ht="20.100000000000001" customHeight="1" x14ac:dyDescent="0.2">
      <c r="D54" s="90" t="s">
        <v>878</v>
      </c>
      <c r="E54" s="85">
        <f>SUM(J42:J51)</f>
        <v>0</v>
      </c>
      <c r="F54" s="91" t="str">
        <f>$E$11</f>
        <v>t CO2e</v>
      </c>
    </row>
    <row r="57" spans="1:13" ht="20.100000000000001" customHeight="1" x14ac:dyDescent="0.2">
      <c r="D57" s="235" t="s">
        <v>879</v>
      </c>
    </row>
    <row r="58" spans="1:13" ht="20.100000000000001" customHeight="1" x14ac:dyDescent="0.2">
      <c r="A58" s="81" t="str">
        <f>HYPERLINK("#A1", "▲ Back to top")</f>
        <v>▲ Back to top</v>
      </c>
      <c r="D58" s="156" t="s">
        <v>876</v>
      </c>
      <c r="E58" s="15" cm="1">
        <f t="array" ref="E58">Common_InputFunctions.Utility_LookupValueInTableNumber("Pigs", Table_SourceData_Scope3_Animals[Product],Table_SourceData_Scope3_Animals[Emissions intensity])</f>
        <v>3.38</v>
      </c>
    </row>
    <row r="60" spans="1:13" ht="20.100000000000001" customHeight="1" x14ac:dyDescent="0.2">
      <c r="D60" s="80" t="s">
        <v>857</v>
      </c>
      <c r="E60" s="241" t="s">
        <v>860</v>
      </c>
      <c r="F60" s="241" t="s">
        <v>861</v>
      </c>
      <c r="G60" s="144" t="s">
        <v>863</v>
      </c>
      <c r="H60" s="241" t="s">
        <v>864</v>
      </c>
      <c r="I60" s="80" t="s">
        <v>865</v>
      </c>
      <c r="J60" s="144" t="s">
        <v>866</v>
      </c>
      <c r="K60" s="80" t="s">
        <v>867</v>
      </c>
      <c r="L60" s="80" t="s">
        <v>868</v>
      </c>
      <c r="M60" s="80" t="s">
        <v>869</v>
      </c>
    </row>
    <row r="61" spans="1:13" ht="20.100000000000001" customHeight="1" x14ac:dyDescent="0.2">
      <c r="D61" s="15"/>
      <c r="E61" s="15"/>
      <c r="F61" s="15"/>
      <c r="G61" s="242" cm="1">
        <f t="array" ref="G61">Scope3_Equations.VEERG_15_1_1_1__1_EmissionsFromPurchasedLivestock(E61,F61,$E$58)</f>
        <v>0</v>
      </c>
      <c r="H61" s="15"/>
      <c r="I61" s="76">
        <v>3.38</v>
      </c>
      <c r="J61" s="242" cm="1">
        <f t="array" ref="J61">Scope3_Equations.VEERG_15_1_1_1__1_EmissionsFromPurchasedLivestock(E61,H61,IF(I61, I61,$E$58))</f>
        <v>0</v>
      </c>
      <c r="K61" s="34"/>
      <c r="L61" s="13"/>
      <c r="M61"/>
    </row>
    <row r="62" spans="1:13" ht="20.100000000000001" customHeight="1" x14ac:dyDescent="0.2">
      <c r="D62" s="15"/>
      <c r="E62" s="15"/>
      <c r="F62" s="15"/>
      <c r="G62" s="242" cm="1">
        <f t="array" ref="G62">Scope3_Equations.VEERG_15_1_1_1__1_EmissionsFromPurchasedLivestock(E62,F62,$E$58)</f>
        <v>0</v>
      </c>
      <c r="H62" s="15"/>
      <c r="I62" s="76">
        <v>3.3</v>
      </c>
      <c r="J62" s="242" cm="1">
        <f t="array" ref="J62">Scope3_Equations.VEERG_15_1_1_1__1_EmissionsFromPurchasedLivestock(E62,H62,IF(I62, I62,$E$58))</f>
        <v>0</v>
      </c>
      <c r="K62" s="34"/>
      <c r="L62" s="13"/>
      <c r="M62" s="34"/>
    </row>
    <row r="63" spans="1:13" ht="20.100000000000001" customHeight="1" x14ac:dyDescent="0.2">
      <c r="D63" s="15"/>
      <c r="E63" s="15"/>
      <c r="F63" s="15"/>
      <c r="G63" s="242" cm="1">
        <f t="array" ref="G63">Scope3_Equations.VEERG_15_1_1_1__1_EmissionsFromPurchasedLivestock(E63,F63,$E$58)</f>
        <v>0</v>
      </c>
      <c r="H63" s="15"/>
      <c r="I63" s="76"/>
      <c r="J63" s="242" cm="1">
        <f t="array" ref="J63">Scope3_Equations.VEERG_15_1_1_1__1_EmissionsFromPurchasedLivestock(E63,H63,IF(I63, I63,$E$58))</f>
        <v>0</v>
      </c>
      <c r="K63" s="34"/>
      <c r="L63" s="13"/>
      <c r="M63" s="34"/>
    </row>
    <row r="64" spans="1:13" ht="20.100000000000001" customHeight="1" x14ac:dyDescent="0.2">
      <c r="D64" s="15"/>
      <c r="E64" s="15"/>
      <c r="F64" s="15"/>
      <c r="G64" s="242" cm="1">
        <f t="array" ref="G64">Scope3_Equations.VEERG_15_1_1_1__1_EmissionsFromPurchasedLivestock(E64,F64,$E$58)</f>
        <v>0</v>
      </c>
      <c r="H64" s="15"/>
      <c r="I64" s="76"/>
      <c r="J64" s="242" cm="1">
        <f t="array" ref="J64">Scope3_Equations.VEERG_15_1_1_1__1_EmissionsFromPurchasedLivestock(E64,H64,IF(I64, I64,$E$58))</f>
        <v>0</v>
      </c>
      <c r="K64" s="34"/>
      <c r="L64" s="13"/>
      <c r="M64" s="34"/>
    </row>
    <row r="65" spans="4:13" ht="20.100000000000001" customHeight="1" x14ac:dyDescent="0.2">
      <c r="D65" s="15"/>
      <c r="E65" s="15"/>
      <c r="F65" s="15"/>
      <c r="G65" s="242" cm="1">
        <f t="array" ref="G65">Scope3_Equations.VEERG_15_1_1_1__1_EmissionsFromPurchasedLivestock(E65,F65,$E$58)</f>
        <v>0</v>
      </c>
      <c r="H65" s="15"/>
      <c r="I65" s="76"/>
      <c r="J65" s="242" cm="1">
        <f t="array" ref="J65">Scope3_Equations.VEERG_15_1_1_1__1_EmissionsFromPurchasedLivestock(E65,H65,IF(I65, I65,$E$58))</f>
        <v>0</v>
      </c>
      <c r="K65" s="34"/>
      <c r="L65" s="13"/>
      <c r="M65" s="34"/>
    </row>
    <row r="66" spans="4:13" ht="20.100000000000001" customHeight="1" x14ac:dyDescent="0.2">
      <c r="D66" s="15"/>
      <c r="E66" s="15"/>
      <c r="F66" s="15"/>
      <c r="G66" s="242" cm="1">
        <f t="array" ref="G66">Scope3_Equations.VEERG_15_1_1_1__1_EmissionsFromPurchasedLivestock(E66,F66,$E$58)</f>
        <v>0</v>
      </c>
      <c r="H66" s="15"/>
      <c r="I66" s="76"/>
      <c r="J66" s="242" cm="1">
        <f t="array" ref="J66">Scope3_Equations.VEERG_15_1_1_1__1_EmissionsFromPurchasedLivestock(E66,H66,IF(I66, I66,$E$58))</f>
        <v>0</v>
      </c>
      <c r="K66" s="34"/>
      <c r="L66" s="13"/>
      <c r="M66" s="34"/>
    </row>
    <row r="67" spans="4:13" ht="20.100000000000001" customHeight="1" x14ac:dyDescent="0.2">
      <c r="D67" s="15"/>
      <c r="E67" s="15"/>
      <c r="F67" s="15"/>
      <c r="G67" s="242" cm="1">
        <f t="array" ref="G67">Scope3_Equations.VEERG_15_1_1_1__1_EmissionsFromPurchasedLivestock(E67,F67,$E$58)</f>
        <v>0</v>
      </c>
      <c r="H67" s="15"/>
      <c r="I67" s="76"/>
      <c r="J67" s="242" cm="1">
        <f t="array" ref="J67">Scope3_Equations.VEERG_15_1_1_1__1_EmissionsFromPurchasedLivestock(E67,H67,IF(I67, I67,$E$58))</f>
        <v>0</v>
      </c>
      <c r="K67" s="34"/>
      <c r="L67" s="13"/>
      <c r="M67" s="34"/>
    </row>
    <row r="68" spans="4:13" ht="20.100000000000001" customHeight="1" x14ac:dyDescent="0.2">
      <c r="D68" s="15"/>
      <c r="E68" s="15"/>
      <c r="F68" s="15"/>
      <c r="G68" s="242" cm="1">
        <f t="array" ref="G68">Scope3_Equations.VEERG_15_1_1_1__1_EmissionsFromPurchasedLivestock(E68,F68,$E$58)</f>
        <v>0</v>
      </c>
      <c r="H68" s="15"/>
      <c r="I68" s="76"/>
      <c r="J68" s="242" cm="1">
        <f t="array" ref="J68">Scope3_Equations.VEERG_15_1_1_1__1_EmissionsFromPurchasedLivestock(E68,H68,IF(I68, I68,$E$58))</f>
        <v>0</v>
      </c>
      <c r="K68" s="34"/>
      <c r="L68" s="13"/>
      <c r="M68" s="34"/>
    </row>
    <row r="69" spans="4:13" ht="20.100000000000001" customHeight="1" x14ac:dyDescent="0.2">
      <c r="D69" s="15"/>
      <c r="E69" s="15"/>
      <c r="F69" s="15"/>
      <c r="G69" s="242" cm="1">
        <f t="array" ref="G69">Scope3_Equations.VEERG_15_1_1_1__1_EmissionsFromPurchasedLivestock(E69,F69,$E$58)</f>
        <v>0</v>
      </c>
      <c r="H69" s="15"/>
      <c r="I69" s="76"/>
      <c r="J69" s="242" cm="1">
        <f t="array" ref="J69">Scope3_Equations.VEERG_15_1_1_1__1_EmissionsFromPurchasedLivestock(E69,H69,IF(I69, I69,$E$58))</f>
        <v>0</v>
      </c>
      <c r="K69" s="34"/>
      <c r="L69" s="13"/>
      <c r="M69" s="34"/>
    </row>
    <row r="70" spans="4:13" ht="20.100000000000001" customHeight="1" x14ac:dyDescent="0.2">
      <c r="D70" s="15"/>
      <c r="E70" s="15"/>
      <c r="F70" s="15"/>
      <c r="G70" s="242" cm="1">
        <f t="array" ref="G70">Scope3_Equations.VEERG_15_1_1_1__1_EmissionsFromPurchasedLivestock(E70,F70,$E$58)</f>
        <v>0</v>
      </c>
      <c r="H70" s="15"/>
      <c r="I70" s="76"/>
      <c r="J70" s="242" cm="1">
        <f t="array" ref="J70">Scope3_Equations.VEERG_15_1_1_1__1_EmissionsFromPurchasedLivestock(E70,H70,IF(I70, I70,$E$58))</f>
        <v>0</v>
      </c>
      <c r="K70" s="34"/>
      <c r="L70" s="13"/>
      <c r="M70" s="34"/>
    </row>
    <row r="72" spans="4:13" ht="20.100000000000001" customHeight="1" x14ac:dyDescent="0.2">
      <c r="D72" s="90" t="s">
        <v>880</v>
      </c>
      <c r="E72" s="85">
        <f>SUM(G61:G70)</f>
        <v>0</v>
      </c>
      <c r="F72" s="91" t="str">
        <f>$E$11</f>
        <v>t CO2e</v>
      </c>
    </row>
    <row r="73" spans="4:13" ht="20.100000000000001" customHeight="1" x14ac:dyDescent="0.2">
      <c r="D73" s="90" t="s">
        <v>881</v>
      </c>
      <c r="E73" s="85">
        <f>SUM(J61:J70)</f>
        <v>0</v>
      </c>
      <c r="F73" s="91" t="str">
        <f>$E$11</f>
        <v>t CO2e</v>
      </c>
    </row>
    <row r="75" spans="4:13" ht="20.100000000000001" customHeight="1" x14ac:dyDescent="0.2">
      <c r="D75" s="235" t="s">
        <v>882</v>
      </c>
    </row>
    <row r="76" spans="4:13" ht="20.100000000000001" customHeight="1" x14ac:dyDescent="0.2">
      <c r="D76" s="156" t="s">
        <v>876</v>
      </c>
      <c r="E76" s="15" cm="1">
        <f t="array" ref="E76">Common_InputFunctions.Utility_LookupValueInTableNumber("Chickens", Table_SourceData_Scope3_Animals[Product],Table_SourceData_Scope3_Animals[Emissions intensity])</f>
        <v>1.36</v>
      </c>
    </row>
    <row r="78" spans="4:13" ht="20.100000000000001" customHeight="1" x14ac:dyDescent="0.2">
      <c r="D78" s="80" t="s">
        <v>857</v>
      </c>
      <c r="E78" s="241" t="s">
        <v>860</v>
      </c>
      <c r="F78" s="241" t="s">
        <v>861</v>
      </c>
      <c r="G78" s="144" t="s">
        <v>863</v>
      </c>
      <c r="H78" s="241" t="s">
        <v>864</v>
      </c>
      <c r="I78" s="80" t="s">
        <v>865</v>
      </c>
      <c r="J78" s="144" t="s">
        <v>866</v>
      </c>
      <c r="K78" s="80" t="s">
        <v>867</v>
      </c>
      <c r="L78" s="80" t="s">
        <v>868</v>
      </c>
      <c r="M78" s="80" t="s">
        <v>869</v>
      </c>
    </row>
    <row r="79" spans="4:13" ht="20.100000000000001" customHeight="1" x14ac:dyDescent="0.2">
      <c r="D79" s="15"/>
      <c r="E79" s="15"/>
      <c r="F79" s="15"/>
      <c r="G79" s="242" cm="1">
        <f t="array" ref="G79">Scope3_Equations.VEERG_15_1_1_1__1_EmissionsFromPurchasedLivestock(E79,F79,$E$76)</f>
        <v>0</v>
      </c>
      <c r="H79" s="15"/>
      <c r="I79" s="76">
        <v>1.3</v>
      </c>
      <c r="J79" s="242" cm="1">
        <f t="array" ref="J79">Scope3_Equations.VEERG_15_1_1_1__1_EmissionsFromPurchasedLivestock(E79,H79,IF(I79, I79,$E$76))</f>
        <v>0</v>
      </c>
      <c r="K79" s="34"/>
      <c r="L79" s="13"/>
      <c r="M79"/>
    </row>
    <row r="80" spans="4:13" ht="20.100000000000001" customHeight="1" x14ac:dyDescent="0.2">
      <c r="D80" s="15"/>
      <c r="E80" s="15"/>
      <c r="F80" s="15"/>
      <c r="G80" s="242" cm="1">
        <f t="array" ref="G80">Scope3_Equations.VEERG_15_1_1_1__1_EmissionsFromPurchasedLivestock(E80,F80,$E$76)</f>
        <v>0</v>
      </c>
      <c r="H80" s="15"/>
      <c r="I80" s="76"/>
      <c r="J80" s="242" cm="1">
        <f t="array" ref="J80">Scope3_Equations.VEERG_15_1_1_1__1_EmissionsFromPurchasedLivestock(E80,H80,IF(I80, I80,$E$76))</f>
        <v>0</v>
      </c>
      <c r="K80" s="34"/>
      <c r="L80" s="13"/>
      <c r="M80" s="34"/>
    </row>
    <row r="81" spans="1:13" ht="20.100000000000001" customHeight="1" x14ac:dyDescent="0.2">
      <c r="D81" s="15"/>
      <c r="E81" s="15"/>
      <c r="F81" s="15"/>
      <c r="G81" s="242" cm="1">
        <f t="array" ref="G81">Scope3_Equations.VEERG_15_1_1_1__1_EmissionsFromPurchasedLivestock(E81,F81,$E$76)</f>
        <v>0</v>
      </c>
      <c r="H81" s="15"/>
      <c r="I81" s="76"/>
      <c r="J81" s="242" cm="1">
        <f t="array" ref="J81">Scope3_Equations.VEERG_15_1_1_1__1_EmissionsFromPurchasedLivestock(E81,H81,IF(I81, I81,$E$76))</f>
        <v>0</v>
      </c>
      <c r="K81" s="34"/>
      <c r="L81" s="13"/>
      <c r="M81" s="34"/>
    </row>
    <row r="82" spans="1:13" ht="20.100000000000001" customHeight="1" x14ac:dyDescent="0.2">
      <c r="D82" s="15"/>
      <c r="E82" s="15"/>
      <c r="F82" s="15"/>
      <c r="G82" s="242" cm="1">
        <f t="array" ref="G82">Scope3_Equations.VEERG_15_1_1_1__1_EmissionsFromPurchasedLivestock(E82,F82,$E$76)</f>
        <v>0</v>
      </c>
      <c r="H82" s="15"/>
      <c r="I82" s="76"/>
      <c r="J82" s="242" cm="1">
        <f t="array" ref="J82">Scope3_Equations.VEERG_15_1_1_1__1_EmissionsFromPurchasedLivestock(E82,H82,IF(I82, I82,$E$76))</f>
        <v>0</v>
      </c>
      <c r="K82" s="34"/>
      <c r="L82" s="13"/>
      <c r="M82" s="34"/>
    </row>
    <row r="83" spans="1:13" ht="20.100000000000001" customHeight="1" x14ac:dyDescent="0.2">
      <c r="D83" s="15"/>
      <c r="E83" s="15"/>
      <c r="F83" s="15"/>
      <c r="G83" s="242" cm="1">
        <f t="array" ref="G83">Scope3_Equations.VEERG_15_1_1_1__1_EmissionsFromPurchasedLivestock(E83,F83,$E$76)</f>
        <v>0</v>
      </c>
      <c r="H83" s="15"/>
      <c r="I83" s="76"/>
      <c r="J83" s="242" cm="1">
        <f t="array" ref="J83">Scope3_Equations.VEERG_15_1_1_1__1_EmissionsFromPurchasedLivestock(E83,H83,IF(I83, I83,$E$76))</f>
        <v>0</v>
      </c>
      <c r="K83" s="34"/>
      <c r="L83" s="13"/>
      <c r="M83" s="34"/>
    </row>
    <row r="84" spans="1:13" ht="20.100000000000001" customHeight="1" x14ac:dyDescent="0.2">
      <c r="D84" s="15"/>
      <c r="E84" s="15"/>
      <c r="F84" s="15"/>
      <c r="G84" s="242" cm="1">
        <f t="array" ref="G84">Scope3_Equations.VEERG_15_1_1_1__1_EmissionsFromPurchasedLivestock(E84,F84,$E$76)</f>
        <v>0</v>
      </c>
      <c r="H84" s="15"/>
      <c r="I84" s="76"/>
      <c r="J84" s="242" cm="1">
        <f t="array" ref="J84">Scope3_Equations.VEERG_15_1_1_1__1_EmissionsFromPurchasedLivestock(E84,H84,IF(I84, I84,$E$76))</f>
        <v>0</v>
      </c>
      <c r="K84" s="34"/>
      <c r="L84" s="13"/>
      <c r="M84" s="34"/>
    </row>
    <row r="85" spans="1:13" ht="20.100000000000001" customHeight="1" x14ac:dyDescent="0.2">
      <c r="D85" s="15"/>
      <c r="E85" s="15"/>
      <c r="F85" s="15"/>
      <c r="G85" s="242" cm="1">
        <f t="array" ref="G85">Scope3_Equations.VEERG_15_1_1_1__1_EmissionsFromPurchasedLivestock(E85,F85,$E$76)</f>
        <v>0</v>
      </c>
      <c r="H85" s="15"/>
      <c r="I85" s="76"/>
      <c r="J85" s="242" cm="1">
        <f t="array" ref="J85">Scope3_Equations.VEERG_15_1_1_1__1_EmissionsFromPurchasedLivestock(E85,H85,IF(I85, I85,$E$76))</f>
        <v>0</v>
      </c>
      <c r="K85" s="34"/>
      <c r="L85" s="13"/>
      <c r="M85" s="34"/>
    </row>
    <row r="86" spans="1:13" ht="20.100000000000001" customHeight="1" x14ac:dyDescent="0.2">
      <c r="D86" s="15"/>
      <c r="E86" s="15"/>
      <c r="F86" s="15"/>
      <c r="G86" s="242" cm="1">
        <f t="array" ref="G86">Scope3_Equations.VEERG_15_1_1_1__1_EmissionsFromPurchasedLivestock(E86,F86,$E$76)</f>
        <v>0</v>
      </c>
      <c r="H86" s="15"/>
      <c r="I86" s="76"/>
      <c r="J86" s="242" cm="1">
        <f t="array" ref="J86">Scope3_Equations.VEERG_15_1_1_1__1_EmissionsFromPurchasedLivestock(E86,H86,IF(I86, I86,$E$76))</f>
        <v>0</v>
      </c>
      <c r="K86" s="34"/>
      <c r="L86" s="13"/>
      <c r="M86" s="34"/>
    </row>
    <row r="87" spans="1:13" ht="20.100000000000001" customHeight="1" x14ac:dyDescent="0.2">
      <c r="D87" s="15"/>
      <c r="E87" s="15"/>
      <c r="F87" s="15"/>
      <c r="G87" s="242" cm="1">
        <f t="array" ref="G87">Scope3_Equations.VEERG_15_1_1_1__1_EmissionsFromPurchasedLivestock(E87,F87,$E$76)</f>
        <v>0</v>
      </c>
      <c r="H87" s="15"/>
      <c r="I87" s="76"/>
      <c r="J87" s="242" cm="1">
        <f t="array" ref="J87">Scope3_Equations.VEERG_15_1_1_1__1_EmissionsFromPurchasedLivestock(E87,H87,IF(I87, I87,$E$76))</f>
        <v>0</v>
      </c>
      <c r="K87" s="34"/>
      <c r="L87" s="13"/>
      <c r="M87" s="34"/>
    </row>
    <row r="88" spans="1:13" ht="20.100000000000001" customHeight="1" x14ac:dyDescent="0.2">
      <c r="A88" s="81" t="str">
        <f>HYPERLINK("#A1", "▲ Back to top")</f>
        <v>▲ Back to top</v>
      </c>
      <c r="D88" s="15"/>
      <c r="E88" s="15"/>
      <c r="F88" s="15"/>
      <c r="G88" s="242" cm="1">
        <f t="array" ref="G88">Scope3_Equations.VEERG_15_1_1_1__1_EmissionsFromPurchasedLivestock(E88,F88,$E$76)</f>
        <v>0</v>
      </c>
      <c r="H88" s="15"/>
      <c r="I88" s="76"/>
      <c r="J88" s="242" cm="1">
        <f t="array" ref="J88">Scope3_Equations.VEERG_15_1_1_1__1_EmissionsFromPurchasedLivestock(E88,H88,IF(I88, I88,$E$76))</f>
        <v>0</v>
      </c>
      <c r="K88" s="34"/>
      <c r="L88" s="13"/>
      <c r="M88" s="34"/>
    </row>
    <row r="90" spans="1:13" ht="20.100000000000001" customHeight="1" x14ac:dyDescent="0.2">
      <c r="D90" s="90" t="s">
        <v>883</v>
      </c>
      <c r="E90" s="85">
        <f>SUM(G79:G88)</f>
        <v>0</v>
      </c>
      <c r="F90" s="91" t="str">
        <f>$E$11</f>
        <v>t CO2e</v>
      </c>
    </row>
    <row r="91" spans="1:13" ht="20.100000000000001" customHeight="1" x14ac:dyDescent="0.2">
      <c r="D91" s="90" t="s">
        <v>884</v>
      </c>
      <c r="E91" s="85">
        <f>SUM(J79:J88)</f>
        <v>0</v>
      </c>
      <c r="F91" s="91" t="str">
        <f>$E$11</f>
        <v>t CO2e</v>
      </c>
    </row>
    <row r="93" spans="1:13" ht="20.100000000000001" customHeight="1" x14ac:dyDescent="0.2">
      <c r="D93" s="87" t="s">
        <v>863</v>
      </c>
      <c r="E93" s="88">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7" t="str">
        <f>$E$11</f>
        <v>t CO2e</v>
      </c>
    </row>
    <row r="94" spans="1:13" ht="20.100000000000001" customHeight="1" x14ac:dyDescent="0.2">
      <c r="D94" s="87" t="s">
        <v>866</v>
      </c>
      <c r="E94" s="88">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97" t="str">
        <f>$E$11</f>
        <v>t CO2e</v>
      </c>
    </row>
    <row r="97" spans="3:41" ht="20.100000000000001" customHeight="1" x14ac:dyDescent="0.2">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row>
    <row r="98" spans="3:41" ht="20.100000000000001" customHeight="1" x14ac:dyDescent="0.2">
      <c r="D98" s="2" t="str" cm="1">
        <f t="array" ref="D98">Scope3_Equations.VEERG_15_2_1_1__1_EmissionsFromPurchasedFeed_Title()</f>
        <v>Emissions from purchased feed</v>
      </c>
    </row>
    <row r="99" spans="3:41" ht="20.100000000000001" customHeight="1" x14ac:dyDescent="0.2">
      <c r="D99" s="17" t="str" cm="1">
        <f t="array" ref="D99">Scope3_Equations.VEERG_15_2_1_1__1_EmissionsFromPurchasedFeed_Source()</f>
        <v>VEERG 2026: 15.2.1.1, Equation (1)</v>
      </c>
    </row>
    <row r="100" spans="3:41" ht="20.100000000000001" customHeight="1" x14ac:dyDescent="0.2">
      <c r="D100" s="26" t="str" cm="1">
        <f t="array" ref="D100">Scope3_Equations.VEERG_15_2_1_1__1_EmissionsFromPurchasedFeed_Variation()</f>
        <v>VARIATION ON SOURCE: Input Q_j in kg instead of t to match EF units. Multiply by 10^-3 to convert kg CO2e to t CO2e.</v>
      </c>
    </row>
    <row r="101" spans="3:41" ht="20.100000000000001" customHeight="1" x14ac:dyDescent="0.2">
      <c r="D101" s="140" t="s">
        <v>402</v>
      </c>
      <c r="E101" s="140" t="str" cm="1">
        <f t="array" aca="1" ref="E101" ca="1">Common_InputFunctions.Utility_DisplayFunctionName(G120)</f>
        <v>=Scope3_Equations.VEERG_15_2_1_1__1_EmissionsFromPurchasedFeedVariation</v>
      </c>
      <c r="H101" s="26"/>
    </row>
    <row r="103" spans="3:41" ht="20.100000000000001" customHeight="1" x14ac:dyDescent="0.2">
      <c r="H103" s="140"/>
    </row>
    <row r="104" spans="3:41" ht="20.100000000000001" customHeight="1" x14ac:dyDescent="0.2">
      <c r="D104" s="77" t="s">
        <v>407</v>
      </c>
      <c r="E104" s="1" t="str" cm="1">
        <f t="array" ref="E104">Scope3_Equations.VEERG_15_2_1_1__1_EmissionsFromPurchasedFeed_Variable()</f>
        <v>E</v>
      </c>
    </row>
    <row r="105" spans="3:41" ht="20.100000000000001" customHeight="1" x14ac:dyDescent="0.2">
      <c r="D105" s="77" t="s">
        <v>118</v>
      </c>
      <c r="E105" s="9" t="str" cm="1">
        <f t="array" ref="E105">Scope3_Equations.VEERG_15_2_1_1__1_EmissionsFromPurchasedFeed_Unit()</f>
        <v>t CO2e</v>
      </c>
    </row>
    <row r="107" spans="3:41" ht="20.100000000000001" customHeight="1" x14ac:dyDescent="0.2">
      <c r="D107" s="156" t="str" cm="1">
        <f t="array" ref="D107:E109">_xlfn.CHOOSECOLS(Scope3_Equations.VEERG_15_2_1_1__1_EmissionsFromPurchasedFeed_ArgumentsVariation(),1,2)</f>
        <v>Q_j</v>
      </c>
      <c r="E107" s="153" t="str">
        <v>quantity of feed type j purchased</v>
      </c>
      <c r="F107" s="165"/>
      <c r="G107" s="156" t="str" cm="1">
        <f t="array" ref="G107:H109">_xlfn.CHOOSECOLS(Scope3_Equations.VEERG_15_2_1_1__1_EmissionsFromPurchasedFeed_ArgumentsVariation(),3,4)</f>
        <v>kg</v>
      </c>
      <c r="H107" s="240" t="str">
        <v>Input</v>
      </c>
    </row>
    <row r="108" spans="3:41" ht="20.100000000000001" customHeight="1" x14ac:dyDescent="0.2">
      <c r="D108" s="156" t="str">
        <v>EF_j</v>
      </c>
      <c r="E108" s="153" t="str">
        <v>emission factor of purchased feed</v>
      </c>
      <c r="F108" s="165"/>
      <c r="G108" s="156" t="str">
        <v>kg CO2e/kg</v>
      </c>
      <c r="H108" s="148" t="str">
        <v>Constant</v>
      </c>
    </row>
    <row r="109" spans="3:41" ht="20.100000000000001" customHeight="1" x14ac:dyDescent="0.2">
      <c r="D109" s="156" t="str">
        <v>j</v>
      </c>
      <c r="E109" s="153" t="str">
        <v>feed type</v>
      </c>
      <c r="F109" s="165"/>
      <c r="G109" s="156" t="str">
        <v/>
      </c>
      <c r="H109" s="240" t="str">
        <v>Input</v>
      </c>
    </row>
    <row r="111" spans="3:41" ht="20.100000000000001" customHeight="1" x14ac:dyDescent="0.2">
      <c r="D111" s="235" t="s">
        <v>885</v>
      </c>
    </row>
    <row r="113" spans="1:28" ht="20.100000000000001" customHeight="1" x14ac:dyDescent="0.2">
      <c r="D113" s="105" t="s">
        <v>886</v>
      </c>
      <c r="E113" s="45"/>
      <c r="F113" s="105"/>
      <c r="G113" s="44"/>
      <c r="H113" s="45"/>
    </row>
    <row r="114" spans="1:28" ht="20.100000000000001" customHeight="1" x14ac:dyDescent="0.2">
      <c r="D114" s="131" t="s">
        <v>887</v>
      </c>
      <c r="E114" s="133"/>
      <c r="F114" s="131"/>
      <c r="G114" s="132"/>
      <c r="H114" s="133"/>
    </row>
    <row r="115" spans="1:28" ht="20.100000000000001" customHeight="1" x14ac:dyDescent="0.2">
      <c r="D115" s="46" t="s">
        <v>888</v>
      </c>
      <c r="E115" s="48"/>
      <c r="F115" s="46"/>
      <c r="G115" s="47"/>
      <c r="H115" s="48"/>
    </row>
    <row r="117" spans="1:28" ht="20.100000000000001" customHeight="1" x14ac:dyDescent="0.2">
      <c r="D117" s="36" t="s">
        <v>889</v>
      </c>
      <c r="E117" s="38"/>
      <c r="F117" s="39"/>
    </row>
    <row r="118" spans="1:28" ht="20.100000000000001" customHeight="1" x14ac:dyDescent="0.2">
      <c r="A118" s="81" t="str">
        <f>HYPERLINK("#A1", "▲ Back to top")</f>
        <v>▲ Back to top</v>
      </c>
    </row>
    <row r="119" spans="1:28" ht="20.100000000000001" customHeight="1" x14ac:dyDescent="0.2">
      <c r="D119" s="80" t="s">
        <v>890</v>
      </c>
      <c r="E119" s="80" t="s">
        <v>891</v>
      </c>
      <c r="F119" s="144" t="s">
        <v>892</v>
      </c>
      <c r="G119" s="144" t="s">
        <v>863</v>
      </c>
      <c r="H119" s="80" t="s">
        <v>893</v>
      </c>
      <c r="I119" s="144" t="s">
        <v>866</v>
      </c>
      <c r="J119" s="80" t="s">
        <v>867</v>
      </c>
      <c r="K119" s="80" t="s">
        <v>868</v>
      </c>
      <c r="L119" s="80" t="s">
        <v>869</v>
      </c>
      <c r="M119" s="144" t="s">
        <v>344</v>
      </c>
      <c r="N119" s="144" t="s">
        <v>894</v>
      </c>
      <c r="O119" s="144" t="s">
        <v>345</v>
      </c>
      <c r="P119" s="144" t="s">
        <v>895</v>
      </c>
      <c r="Q119" s="144" t="s">
        <v>346</v>
      </c>
      <c r="R119" s="144" t="s">
        <v>896</v>
      </c>
      <c r="S119" s="144" t="s">
        <v>347</v>
      </c>
      <c r="T119" s="144" t="s">
        <v>897</v>
      </c>
      <c r="U119" s="144" t="s">
        <v>348</v>
      </c>
      <c r="V119" s="144" t="s">
        <v>898</v>
      </c>
      <c r="W119" s="144" t="s">
        <v>349</v>
      </c>
      <c r="X119" s="144" t="s">
        <v>899</v>
      </c>
      <c r="Y119" s="144" t="s">
        <v>350</v>
      </c>
      <c r="Z119" s="144" t="s">
        <v>900</v>
      </c>
      <c r="AA119" s="144" t="s">
        <v>351</v>
      </c>
      <c r="AB119" s="144" t="s">
        <v>901</v>
      </c>
    </row>
    <row r="120" spans="1:28" ht="20.100000000000001" customHeight="1" x14ac:dyDescent="0.2">
      <c r="D120" s="15"/>
      <c r="E120" s="15"/>
      <c r="F120" s="15">
        <f t="shared" ref="F120:F129" si="0">IFERROR((O120*P120)+(S120*T120)+(W120*X120)+(AA120*AB120), 0)</f>
        <v>0</v>
      </c>
      <c r="G120" s="242" cm="1">
        <f t="array" ref="G120">Scope3_Equations.VEERG_15_2_1_1__1_EmissionsFromPurchasedFeedVariation(E120,F120)</f>
        <v>0</v>
      </c>
      <c r="H120" s="76">
        <v>0.04</v>
      </c>
      <c r="I120" s="242" cm="1">
        <f t="array" ref="I120">Scope3_Equations.VEERG_15_2_1_1__1_EmissionsFromPurchasedFeedVariation(E120,IF(H120,H120, F120))</f>
        <v>0</v>
      </c>
      <c r="J120" s="34"/>
      <c r="K120" s="13"/>
      <c r="L120"/>
      <c r="M120" s="15"/>
      <c r="N120" s="15"/>
      <c r="O120" s="15"/>
      <c r="P120" s="15" cm="1">
        <f t="array" ref="P120">_xlfn.LET(_xlpm.result, Common_InputFunctions.Utility_LookupValueInTableTwoColumns(M120, N120, Table_SourceData_Scope3_Feed[Product], Table_SourceData_Scope3_Feed[Region of origin], Table_SourceData_Scope3_Feed[Emissions intensity]), IF(_xlpm.result="", 0, _xlpm.result))</f>
        <v>0</v>
      </c>
      <c r="Q120" s="15"/>
      <c r="R120" s="15"/>
      <c r="S120" s="15"/>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v>
      </c>
      <c r="U120" s="15"/>
      <c r="V120" s="15"/>
      <c r="W120" s="15"/>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v>
      </c>
      <c r="Y120" s="15"/>
      <c r="Z120" s="15"/>
      <c r="AA120" s="15"/>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v>
      </c>
    </row>
    <row r="121" spans="1:28" ht="20.100000000000001" customHeight="1" x14ac:dyDescent="0.2">
      <c r="D121" s="15"/>
      <c r="E121" s="15"/>
      <c r="F121" s="15">
        <f t="shared" si="0"/>
        <v>0</v>
      </c>
      <c r="G121" s="242" cm="1">
        <f t="array" ref="G121">Scope3_Equations.VEERG_15_2_1_1__1_EmissionsFromPurchasedFeedVariation(E121,F121)</f>
        <v>0</v>
      </c>
      <c r="H121" s="76">
        <v>0.03</v>
      </c>
      <c r="I121" s="242" cm="1">
        <f t="array" ref="I121">Scope3_Equations.VEERG_15_2_1_1__1_EmissionsFromPurchasedFeedVariation(E121,IF(H121,H121, F121))</f>
        <v>0</v>
      </c>
      <c r="J121" s="34"/>
      <c r="K121" s="13"/>
      <c r="L121" s="34"/>
      <c r="M121" s="15"/>
      <c r="N121" s="15"/>
      <c r="O121" s="15"/>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v>
      </c>
      <c r="Q121" s="15"/>
      <c r="R121" s="15"/>
      <c r="S121" s="15"/>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v>
      </c>
      <c r="U121" s="15"/>
      <c r="V121" s="15"/>
      <c r="W121" s="15"/>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c r="Z121" s="15"/>
      <c r="AA121" s="15"/>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D122" s="15"/>
      <c r="E122" s="15"/>
      <c r="F122" s="15">
        <f t="shared" si="0"/>
        <v>0</v>
      </c>
      <c r="G122" s="242" cm="1">
        <f t="array" ref="G122">Scope3_Equations.VEERG_15_2_1_1__1_EmissionsFromPurchasedFeedVariation(E122,F122)</f>
        <v>0</v>
      </c>
      <c r="H122" s="76">
        <v>0.14000000000000001</v>
      </c>
      <c r="I122" s="242" cm="1">
        <f t="array" ref="I122">Scope3_Equations.VEERG_15_2_1_1__1_EmissionsFromPurchasedFeedVariation(E122,IF(H122,H122, F122))</f>
        <v>0</v>
      </c>
      <c r="J122" s="34"/>
      <c r="K122" s="13"/>
      <c r="L122" s="34"/>
      <c r="M122" s="15"/>
      <c r="N122" s="15"/>
      <c r="O122" s="15"/>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v>
      </c>
      <c r="Q122" s="15"/>
      <c r="R122" s="15"/>
      <c r="S122" s="15"/>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v>
      </c>
      <c r="U122" s="15"/>
      <c r="V122" s="15"/>
      <c r="W122" s="15"/>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c r="Z122" s="15"/>
      <c r="AA122" s="15"/>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D123" s="15"/>
      <c r="E123" s="15"/>
      <c r="F123" s="15">
        <f t="shared" si="0"/>
        <v>0</v>
      </c>
      <c r="G123" s="242" cm="1">
        <f t="array" ref="G123">Scope3_Equations.VEERG_15_2_1_1__1_EmissionsFromPurchasedFeedVariation(E123,F123)</f>
        <v>0</v>
      </c>
      <c r="H123" s="76"/>
      <c r="I123" s="242" cm="1">
        <f t="array" ref="I123">Scope3_Equations.VEERG_15_2_1_1__1_EmissionsFromPurchasedFeedVariation(E123,IF(H123,H123, F123))</f>
        <v>0</v>
      </c>
      <c r="J123" s="34"/>
      <c r="K123" s="13"/>
      <c r="L123" s="34"/>
      <c r="M123" s="15"/>
      <c r="N123" s="15"/>
      <c r="O123" s="15"/>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v>
      </c>
      <c r="Q123" s="15"/>
      <c r="R123" s="15"/>
      <c r="S123" s="15"/>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c r="V123" s="15"/>
      <c r="W123" s="15"/>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c r="Z123" s="15"/>
      <c r="AA123" s="15"/>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D124" s="15"/>
      <c r="E124" s="15"/>
      <c r="F124" s="15">
        <f t="shared" si="0"/>
        <v>0</v>
      </c>
      <c r="G124" s="242" cm="1">
        <f t="array" ref="G124">Scope3_Equations.VEERG_15_2_1_1__1_EmissionsFromPurchasedFeedVariation(E124,F124)</f>
        <v>0</v>
      </c>
      <c r="H124" s="76"/>
      <c r="I124" s="242" cm="1">
        <f t="array" ref="I124">Scope3_Equations.VEERG_15_2_1_1__1_EmissionsFromPurchasedFeedVariation(E124,IF(H124,H124, F124))</f>
        <v>0</v>
      </c>
      <c r="J124" s="34"/>
      <c r="K124" s="13"/>
      <c r="L124" s="34"/>
      <c r="M124" s="15"/>
      <c r="N124" s="15"/>
      <c r="O124" s="15"/>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c r="R124" s="15"/>
      <c r="S124" s="15"/>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c r="V124" s="15"/>
      <c r="W124" s="15"/>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c r="Z124" s="15"/>
      <c r="AA124" s="15"/>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D125" s="15"/>
      <c r="E125" s="15"/>
      <c r="F125" s="15">
        <f t="shared" si="0"/>
        <v>0</v>
      </c>
      <c r="G125" s="242" cm="1">
        <f t="array" ref="G125">Scope3_Equations.VEERG_15_2_1_1__1_EmissionsFromPurchasedFeedVariation(E125,F125)</f>
        <v>0</v>
      </c>
      <c r="H125" s="76"/>
      <c r="I125" s="242" cm="1">
        <f t="array" ref="I125">Scope3_Equations.VEERG_15_2_1_1__1_EmissionsFromPurchasedFeedVariation(E125,IF(H125,H125, F125))</f>
        <v>0</v>
      </c>
      <c r="J125" s="34"/>
      <c r="K125" s="13"/>
      <c r="L125" s="34"/>
      <c r="M125" s="15"/>
      <c r="N125" s="15"/>
      <c r="O125" s="15"/>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c r="R125" s="15"/>
      <c r="S125" s="15"/>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c r="V125" s="15"/>
      <c r="W125" s="15"/>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c r="Z125" s="15"/>
      <c r="AA125" s="15"/>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D126" s="15"/>
      <c r="E126" s="15"/>
      <c r="F126" s="15">
        <f t="shared" si="0"/>
        <v>0</v>
      </c>
      <c r="G126" s="242" cm="1">
        <f t="array" ref="G126">Scope3_Equations.VEERG_15_2_1_1__1_EmissionsFromPurchasedFeedVariation(E126,F126)</f>
        <v>0</v>
      </c>
      <c r="H126" s="76"/>
      <c r="I126" s="242" cm="1">
        <f t="array" ref="I126">Scope3_Equations.VEERG_15_2_1_1__1_EmissionsFromPurchasedFeedVariation(E126,IF(H126,H126, F126))</f>
        <v>0</v>
      </c>
      <c r="J126" s="34"/>
      <c r="K126" s="13"/>
      <c r="L126" s="34"/>
      <c r="M126" s="15"/>
      <c r="N126" s="15"/>
      <c r="O126" s="15"/>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c r="R126" s="15"/>
      <c r="S126" s="15"/>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c r="V126" s="15"/>
      <c r="W126" s="15"/>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c r="Z126" s="15"/>
      <c r="AA126" s="15"/>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D127" s="15"/>
      <c r="E127" s="15"/>
      <c r="F127" s="15">
        <f t="shared" si="0"/>
        <v>0</v>
      </c>
      <c r="G127" s="242" cm="1">
        <f t="array" ref="G127">Scope3_Equations.VEERG_15_2_1_1__1_EmissionsFromPurchasedFeedVariation(E127,F127)</f>
        <v>0</v>
      </c>
      <c r="H127" s="76"/>
      <c r="I127" s="242" cm="1">
        <f t="array" ref="I127">Scope3_Equations.VEERG_15_2_1_1__1_EmissionsFromPurchasedFeedVariation(E127,IF(H127,H127, F127))</f>
        <v>0</v>
      </c>
      <c r="J127" s="34"/>
      <c r="K127" s="13"/>
      <c r="L127" s="34"/>
      <c r="M127" s="15"/>
      <c r="N127" s="15"/>
      <c r="O127" s="15"/>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c r="R127" s="15"/>
      <c r="S127" s="15"/>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c r="V127" s="15"/>
      <c r="W127" s="15"/>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c r="Z127" s="15"/>
      <c r="AA127" s="15"/>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D128" s="15"/>
      <c r="E128" s="15"/>
      <c r="F128" s="15">
        <f t="shared" si="0"/>
        <v>0</v>
      </c>
      <c r="G128" s="242" cm="1">
        <f t="array" ref="G128">Scope3_Equations.VEERG_15_2_1_1__1_EmissionsFromPurchasedFeedVariation(E128,F128)</f>
        <v>0</v>
      </c>
      <c r="H128" s="76"/>
      <c r="I128" s="242" cm="1">
        <f t="array" ref="I128">Scope3_Equations.VEERG_15_2_1_1__1_EmissionsFromPurchasedFeedVariation(E128,IF(H128,H128, F128))</f>
        <v>0</v>
      </c>
      <c r="J128" s="34"/>
      <c r="K128" s="13"/>
      <c r="L128" s="34"/>
      <c r="M128" s="15"/>
      <c r="N128" s="15"/>
      <c r="O128" s="15"/>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c r="R128" s="15"/>
      <c r="S128" s="15"/>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c r="V128" s="15"/>
      <c r="W128" s="15"/>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c r="Z128" s="15"/>
      <c r="AA128" s="15"/>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15"/>
      <c r="E129" s="15"/>
      <c r="F129" s="15">
        <f t="shared" si="0"/>
        <v>0</v>
      </c>
      <c r="G129" s="242" cm="1">
        <f t="array" ref="G129">Scope3_Equations.VEERG_15_2_1_1__1_EmissionsFromPurchasedFeedVariation(E129,F129)</f>
        <v>0</v>
      </c>
      <c r="H129" s="76"/>
      <c r="I129" s="242" cm="1">
        <f t="array" ref="I129">Scope3_Equations.VEERG_15_2_1_1__1_EmissionsFromPurchasedFeedVariation(E129,IF(H129,H129, F129))</f>
        <v>0</v>
      </c>
      <c r="J129" s="34"/>
      <c r="K129" s="13"/>
      <c r="L129" s="34"/>
      <c r="M129" s="15"/>
      <c r="N129" s="15"/>
      <c r="O129" s="15"/>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c r="R129" s="15"/>
      <c r="S129" s="15"/>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c r="V129" s="15"/>
      <c r="W129" s="15"/>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c r="Z129" s="15"/>
      <c r="AA129" s="15"/>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90" t="s">
        <v>863</v>
      </c>
      <c r="E131" s="85">
        <f>SUM(G120:G129)</f>
        <v>0</v>
      </c>
      <c r="F131" s="91" t="str">
        <f>$E$105</f>
        <v>t CO2e</v>
      </c>
    </row>
    <row r="132" spans="4:28" ht="20.100000000000001" customHeight="1" x14ac:dyDescent="0.2">
      <c r="D132" s="90" t="s">
        <v>866</v>
      </c>
      <c r="E132" s="85">
        <f>SUM(I120:I129)</f>
        <v>0</v>
      </c>
      <c r="F132" s="91" t="str">
        <f>$E$105</f>
        <v>t CO2e</v>
      </c>
    </row>
    <row r="135" spans="4:28" ht="20.100000000000001" customHeight="1" x14ac:dyDescent="0.2">
      <c r="D135" s="235" t="s">
        <v>902</v>
      </c>
    </row>
    <row r="136" spans="4:28" ht="20.100000000000001" customHeight="1" x14ac:dyDescent="0.2">
      <c r="D136" s="80" t="s">
        <v>130</v>
      </c>
      <c r="E136" s="80" t="s">
        <v>891</v>
      </c>
      <c r="F136" s="144" t="s">
        <v>892</v>
      </c>
      <c r="G136" s="144" t="s">
        <v>863</v>
      </c>
      <c r="H136" s="80" t="s">
        <v>893</v>
      </c>
      <c r="I136" s="144" t="s">
        <v>866</v>
      </c>
      <c r="J136" s="80" t="s">
        <v>867</v>
      </c>
      <c r="K136" s="80" t="s">
        <v>868</v>
      </c>
      <c r="L136" s="80" t="s">
        <v>869</v>
      </c>
    </row>
    <row r="137" spans="4:28" ht="20.100000000000001" customHeight="1" x14ac:dyDescent="0.2">
      <c r="D137" s="15"/>
      <c r="E137" s="15">
        <f>IFERROR(X_Cell_FarmInputs_FeedRations_Chickens, 0)</f>
        <v>0</v>
      </c>
      <c r="F137" s="15" cm="1">
        <f t="array" ref="F137">Common_InputFunctions.Utility_LookupValueInTableNumber(D137,Table_SourceData_Scope3_MixedRations[Product],Table_SourceData_Scope3_MixedRations[Emissions intensity])</f>
        <v>0</v>
      </c>
      <c r="G137" s="242" cm="1">
        <f t="array" ref="G137">Scope3_Equations.VEERG_15_2_1_1__1_EmissionsFromPurchasedFeedVariation(E137,F137)</f>
        <v>0</v>
      </c>
      <c r="H137" s="76">
        <v>0.5</v>
      </c>
      <c r="I137" s="242" cm="1">
        <f t="array" ref="I137">Scope3_Equations.VEERG_15_2_1_1__1_EmissionsFromPurchasedFeedVariation(E137,IF(H137,H137, F137))</f>
        <v>0</v>
      </c>
      <c r="J137" s="34"/>
      <c r="K137" s="13"/>
      <c r="L137" s="34"/>
    </row>
    <row r="138" spans="4:28" ht="20.100000000000001" customHeight="1" x14ac:dyDescent="0.2">
      <c r="D138" s="15"/>
      <c r="E138" s="15">
        <f>IFERROR(X_Cell_FarmInputs_FeedRations_DairyCalves, 0)</f>
        <v>0</v>
      </c>
      <c r="F138" s="15" cm="1">
        <f t="array" ref="F138">Common_InputFunctions.Utility_LookupValueInTableNumber(D138,Table_SourceData_Scope3_MixedRations[Product],Table_SourceData_Scope3_MixedRations[Emissions intensity])</f>
        <v>0</v>
      </c>
      <c r="G138" s="242" cm="1">
        <f t="array" ref="G138">Scope3_Equations.VEERG_15_2_1_1__1_EmissionsFromPurchasedFeedVariation(E138,F138)</f>
        <v>0</v>
      </c>
      <c r="H138" s="76">
        <v>0.4</v>
      </c>
      <c r="I138" s="242" cm="1">
        <f t="array" ref="I138">Scope3_Equations.VEERG_15_2_1_1__1_EmissionsFromPurchasedFeedVariation(E138,IF(H138,H138, F138))</f>
        <v>0</v>
      </c>
      <c r="J138" s="34"/>
      <c r="K138" s="13"/>
      <c r="L138" s="34"/>
    </row>
    <row r="139" spans="4:28" ht="20.100000000000001" customHeight="1" x14ac:dyDescent="0.2">
      <c r="D139" s="15"/>
      <c r="E139" s="15">
        <f>IFERROR(X_Cell_FarmInputs_FeedRations_DairyCows, 0)</f>
        <v>0</v>
      </c>
      <c r="F139" s="15" cm="1">
        <f t="array" ref="F139">Common_InputFunctions.Utility_LookupValueInTableNumber(D139,Table_SourceData_Scope3_MixedRations[Product],Table_SourceData_Scope3_MixedRations[Emissions intensity])</f>
        <v>0</v>
      </c>
      <c r="G139" s="242" cm="1">
        <f t="array" ref="G139">Scope3_Equations.VEERG_15_2_1_1__1_EmissionsFromPurchasedFeedVariation(E139,F139)</f>
        <v>0</v>
      </c>
      <c r="H139" s="76">
        <v>0</v>
      </c>
      <c r="I139" s="242" cm="1">
        <f t="array" ref="I139">Scope3_Equations.VEERG_15_2_1_1__1_EmissionsFromPurchasedFeedVariation(E139,IF(H139,H139, F139))</f>
        <v>0</v>
      </c>
      <c r="J139" s="34"/>
      <c r="K139" s="13"/>
      <c r="L139" s="34"/>
    </row>
    <row r="140" spans="4:28" ht="20.100000000000001" customHeight="1" x14ac:dyDescent="0.2">
      <c r="D140" s="15"/>
      <c r="E140" s="15">
        <f>IFERROR(X_Cell_FarmInputs_FeedRations_Pigs, 0)</f>
        <v>0</v>
      </c>
      <c r="F140" s="15" cm="1">
        <f t="array" ref="F140">Common_InputFunctions.Utility_LookupValueInTableNumber(D140,Table_SourceData_Scope3_MixedRations[Product],Table_SourceData_Scope3_MixedRations[Emissions intensity])</f>
        <v>0</v>
      </c>
      <c r="G140" s="242" cm="1">
        <f t="array" ref="G140">Scope3_Equations.VEERG_15_2_1_1__1_EmissionsFromPurchasedFeedVariation(E140,F140)</f>
        <v>0</v>
      </c>
      <c r="H140" s="76">
        <v>0</v>
      </c>
      <c r="I140" s="242" cm="1">
        <f t="array" ref="I140">Scope3_Equations.VEERG_15_2_1_1__1_EmissionsFromPurchasedFeedVariation(E140,IF(H140,H140, F140))</f>
        <v>0</v>
      </c>
      <c r="J140" s="34"/>
      <c r="K140" s="13"/>
      <c r="L140" s="34"/>
    </row>
    <row r="142" spans="4:28" ht="20.100000000000001" customHeight="1" x14ac:dyDescent="0.2">
      <c r="D142" s="90" t="s">
        <v>863</v>
      </c>
      <c r="E142" s="85">
        <f>SUM(G137:G140)</f>
        <v>0</v>
      </c>
      <c r="F142" s="91" t="str">
        <f>$E$105</f>
        <v>t CO2e</v>
      </c>
    </row>
    <row r="143" spans="4:28" ht="20.100000000000001" customHeight="1" x14ac:dyDescent="0.2">
      <c r="D143" s="90" t="s">
        <v>866</v>
      </c>
      <c r="E143" s="85">
        <f>SUM(I137:I140)</f>
        <v>0</v>
      </c>
      <c r="F143" s="91" t="str">
        <f>$E$105</f>
        <v>t CO2e</v>
      </c>
    </row>
    <row r="146" spans="1:12" ht="20.100000000000001" customHeight="1" x14ac:dyDescent="0.2">
      <c r="D146" s="235" t="s">
        <v>903</v>
      </c>
    </row>
    <row r="147" spans="1:12" ht="20.100000000000001" customHeight="1" x14ac:dyDescent="0.2">
      <c r="D147" s="80" t="s">
        <v>130</v>
      </c>
      <c r="E147" s="80" t="s">
        <v>891</v>
      </c>
      <c r="F147" s="144" t="s">
        <v>892</v>
      </c>
      <c r="G147" s="144" t="s">
        <v>863</v>
      </c>
      <c r="H147" s="80" t="s">
        <v>893</v>
      </c>
      <c r="I147" s="144" t="s">
        <v>866</v>
      </c>
      <c r="J147" s="80" t="s">
        <v>867</v>
      </c>
      <c r="K147" s="80" t="s">
        <v>868</v>
      </c>
      <c r="L147" s="80" t="s">
        <v>869</v>
      </c>
    </row>
    <row r="148" spans="1:12" ht="20.100000000000001" customHeight="1" x14ac:dyDescent="0.2">
      <c r="A148" s="81" t="str">
        <f>HYPERLINK("#A1", "▲ Back to top")</f>
        <v>▲ Back to top</v>
      </c>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42" cm="1">
        <f t="array" ref="G148">Scope3_Equations.VEERG_15_2_1_1__1_EmissionsFromPurchasedFeedVariation(E148,F148)</f>
        <v>0</v>
      </c>
      <c r="H148" s="76">
        <v>0.2</v>
      </c>
      <c r="I148" s="242" cm="1">
        <f t="array" ref="I148">Scope3_Equations.VEERG_15_2_1_1__1_EmissionsFromPurchasedFeedVariation(E148,IF(H148,H148, F148))</f>
        <v>0</v>
      </c>
      <c r="J148" s="34"/>
      <c r="K148" s="34"/>
      <c r="L148" s="34"/>
    </row>
    <row r="149" spans="1: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42" cm="1">
        <f t="array" ref="G149">Scope3_Equations.VEERG_15_2_1_1__1_EmissionsFromPurchasedFeedVariation(E149,F149)</f>
        <v>0</v>
      </c>
      <c r="H149" s="76">
        <v>0</v>
      </c>
      <c r="I149" s="242" cm="1">
        <f t="array" ref="I149">Scope3_Equations.VEERG_15_2_1_1__1_EmissionsFromPurchasedFeedVariation(E149,IF(H149,H149, F149))</f>
        <v>0</v>
      </c>
      <c r="J149" s="34"/>
      <c r="K149" s="34"/>
      <c r="L149" s="34"/>
    </row>
    <row r="150" spans="1: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42" cm="1">
        <f t="array" ref="G150">Scope3_Equations.VEERG_15_2_1_1__1_EmissionsFromPurchasedFeedVariation(E150,F150)</f>
        <v>0</v>
      </c>
      <c r="H150" s="76">
        <v>0</v>
      </c>
      <c r="I150" s="242" cm="1">
        <f t="array" ref="I150">Scope3_Equations.VEERG_15_2_1_1__1_EmissionsFromPurchasedFeedVariation(E150,IF(H150,H150, F150))</f>
        <v>0</v>
      </c>
      <c r="J150" s="34"/>
      <c r="K150" s="34"/>
      <c r="L150" s="34"/>
    </row>
    <row r="151" spans="1: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42" cm="1">
        <f t="array" ref="G151">Scope3_Equations.VEERG_15_2_1_1__1_EmissionsFromPurchasedFeedVariation(E151,F151)</f>
        <v>0</v>
      </c>
      <c r="H151" s="76">
        <v>0</v>
      </c>
      <c r="I151" s="242" cm="1">
        <f t="array" ref="I151">Scope3_Equations.VEERG_15_2_1_1__1_EmissionsFromPurchasedFeedVariation(E151,IF(H151,H151, F151))</f>
        <v>0</v>
      </c>
      <c r="J151" s="34"/>
      <c r="K151" s="34"/>
      <c r="L151" s="34"/>
    </row>
    <row r="152" spans="1: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42" cm="1">
        <f t="array" ref="G152">Scope3_Equations.VEERG_15_2_1_1__1_EmissionsFromPurchasedFeedVariation(E152,F152)</f>
        <v>0</v>
      </c>
      <c r="H152" s="76">
        <v>0</v>
      </c>
      <c r="I152" s="242" cm="1">
        <f t="array" ref="I152">Scope3_Equations.VEERG_15_2_1_1__1_EmissionsFromPurchasedFeedVariation(E152,IF(H152,H152, F152))</f>
        <v>0</v>
      </c>
      <c r="J152" s="34"/>
      <c r="K152" s="34"/>
      <c r="L152" s="34"/>
    </row>
    <row r="153" spans="1: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42" cm="1">
        <f t="array" ref="G153">Scope3_Equations.VEERG_15_2_1_1__1_EmissionsFromPurchasedFeedVariation(E153,F153)</f>
        <v>0</v>
      </c>
      <c r="H153" s="76">
        <v>0</v>
      </c>
      <c r="I153" s="242" cm="1">
        <f t="array" ref="I153">Scope3_Equations.VEERG_15_2_1_1__1_EmissionsFromPurchasedFeedVariation(E153,IF(H153,H153, F153))</f>
        <v>0</v>
      </c>
      <c r="J153" s="34"/>
      <c r="K153" s="34"/>
      <c r="L153" s="34"/>
    </row>
    <row r="155" spans="1:12" ht="20.100000000000001" customHeight="1" x14ac:dyDescent="0.2">
      <c r="D155" s="90" t="s">
        <v>863</v>
      </c>
      <c r="E155" s="85">
        <f>SUM(G148:G153)</f>
        <v>0</v>
      </c>
      <c r="F155" s="91" t="str">
        <f>$E$105</f>
        <v>t CO2e</v>
      </c>
    </row>
    <row r="156" spans="1:12" ht="20.100000000000001" customHeight="1" x14ac:dyDescent="0.2">
      <c r="D156" s="90" t="s">
        <v>866</v>
      </c>
      <c r="E156" s="85">
        <f>SUM(I148:I153)</f>
        <v>0</v>
      </c>
      <c r="F156" s="91" t="str">
        <f>$E$105</f>
        <v>t CO2e</v>
      </c>
    </row>
    <row r="159" spans="1:12" ht="20.100000000000001" customHeight="1" x14ac:dyDescent="0.2">
      <c r="D159" s="87" t="s">
        <v>863</v>
      </c>
      <c r="E159" s="88">
        <f>E131+E142+E155</f>
        <v>0</v>
      </c>
      <c r="F159" s="97" t="str">
        <f>$E$105</f>
        <v>t CO2e</v>
      </c>
    </row>
    <row r="160" spans="1:12" ht="20.100000000000001" customHeight="1" x14ac:dyDescent="0.2">
      <c r="D160" s="87" t="s">
        <v>866</v>
      </c>
      <c r="E160" s="88">
        <f>E132+E143+E156</f>
        <v>0</v>
      </c>
      <c r="F160" s="97" t="str">
        <f>$E$105</f>
        <v>t CO2e</v>
      </c>
    </row>
    <row r="163" spans="3:41" ht="20.100000000000001" customHeight="1" x14ac:dyDescent="0.2">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row>
    <row r="164" spans="3:41" ht="20.100000000000001" customHeight="1" x14ac:dyDescent="0.2">
      <c r="D164" s="2" t="str" cm="1">
        <f t="array" ref="D164">Scope3_Equations.VEERG_15_3_1_1__1_EmissionsFromPurchasedMineralSupplements_Title()</f>
        <v>Total emissions from purchased mineral supplements</v>
      </c>
    </row>
    <row r="165" spans="3:41" ht="20.100000000000001" customHeight="1" x14ac:dyDescent="0.2">
      <c r="D165" s="17" t="str" cm="1">
        <f t="array" ref="D165">Scope3_Equations.VEERG_15_3_1_1__1_EmissionsFromPurchasedMineralSupplements_Source()</f>
        <v>VEERG 2026: 15.3.1.1, Equation (1)</v>
      </c>
    </row>
    <row r="166" spans="3:41" ht="20.100000000000001" customHeight="1" x14ac:dyDescent="0.2">
      <c r="D166" s="140" t="s">
        <v>402</v>
      </c>
      <c r="E166" s="140" t="str" cm="1">
        <f t="array" aca="1" ref="E166" ca="1">Common_InputFunctions.Utility_DisplayFunctionName(G177)</f>
        <v>=Scope3_Equations.VEERG_15_3_1_1__1_EmissionsFromPurchasedMineralSupplementsVariation</v>
      </c>
    </row>
    <row r="168" spans="3:41" ht="20.100000000000001" customHeight="1" x14ac:dyDescent="0.2">
      <c r="F168" s="26" t="str" cm="1">
        <f t="array" ref="F168">Scope3_Equations.VEERG_15_3_1_1__1_EmissionsFromPurchasedMineralSupplements_Variation()</f>
        <v>VARIATION ON SOURCE: Input Q_j in kg instead of t to match EF units. Multiply by 10^-3 to convert kg CO2e to t CO2e.</v>
      </c>
      <c r="H168" s="140"/>
    </row>
    <row r="169" spans="3:41" ht="20.100000000000001" customHeight="1" x14ac:dyDescent="0.2">
      <c r="D169" s="77" t="s">
        <v>407</v>
      </c>
      <c r="E169" s="1" t="str" cm="1">
        <f t="array" ref="E169">Scope3_Equations.VEERG_15_3_1_1__1_EmissionsFromPurchasedMineralSupplements_Variable()</f>
        <v>E</v>
      </c>
    </row>
    <row r="170" spans="3:41" ht="20.100000000000001" customHeight="1" x14ac:dyDescent="0.2">
      <c r="D170" s="77" t="s">
        <v>118</v>
      </c>
      <c r="E170" s="9" t="str" cm="1">
        <f t="array" ref="E170">Scope3_Equations.VEERG_15_3_1_1__1_EmissionsFromPurchasedMineralSupplements_Unit()</f>
        <v>t CO2e</v>
      </c>
    </row>
    <row r="172" spans="3:41" ht="20.100000000000001" customHeight="1" x14ac:dyDescent="0.2">
      <c r="D172" s="156" t="str" cm="1">
        <f t="array" ref="D172:E174">_xlfn.CHOOSECOLS(Scope3_Equations.VEERG_15_3_1_1__1_EmissionsFromPurchasedMineralSupplements_ArgumentsVariation(),1,2)</f>
        <v>Q_m</v>
      </c>
      <c r="E172" s="153" t="str">
        <v>total quantity of mineral supplement type m used</v>
      </c>
      <c r="F172" s="165"/>
      <c r="G172" s="156" t="str" cm="1">
        <f t="array" ref="G172:H174">_xlfn.CHOOSECOLS(Scope3_Equations.VEERG_15_3_1_1__1_EmissionsFromPurchasedMineralSupplements_ArgumentsVariation(),3,4)</f>
        <v>kg</v>
      </c>
      <c r="H172" s="240" t="str">
        <v>Input</v>
      </c>
    </row>
    <row r="173" spans="3:41" ht="20.100000000000001" customHeight="1" x14ac:dyDescent="0.2">
      <c r="D173" s="156" t="str">
        <v>EF_m</v>
      </c>
      <c r="E173" s="153" t="str">
        <v>emission factor of purchased mineral supplement</v>
      </c>
      <c r="F173" s="165"/>
      <c r="G173" s="156" t="str">
        <v>kg CO2e/kg</v>
      </c>
      <c r="H173" s="240" t="str">
        <v>Constant</v>
      </c>
    </row>
    <row r="174" spans="3:41" ht="20.100000000000001" customHeight="1" x14ac:dyDescent="0.2">
      <c r="D174" s="156" t="str">
        <v>m</v>
      </c>
      <c r="E174" s="153" t="str">
        <v>mineral supplement type</v>
      </c>
      <c r="F174" s="165"/>
      <c r="G174" s="156" t="str">
        <v/>
      </c>
      <c r="H174" s="148" t="str">
        <v>Input</v>
      </c>
    </row>
    <row r="176" spans="3:41" ht="20.100000000000001" customHeight="1" x14ac:dyDescent="0.2">
      <c r="D176" s="80" t="s">
        <v>130</v>
      </c>
      <c r="E176" s="80" t="s">
        <v>904</v>
      </c>
      <c r="F176" s="144" t="s">
        <v>905</v>
      </c>
      <c r="G176" s="144" t="s">
        <v>863</v>
      </c>
      <c r="H176" s="80" t="s">
        <v>906</v>
      </c>
      <c r="I176" s="144" t="s">
        <v>866</v>
      </c>
      <c r="J176" s="80" t="s">
        <v>867</v>
      </c>
      <c r="K176" s="80" t="s">
        <v>868</v>
      </c>
      <c r="L176" s="80" t="s">
        <v>869</v>
      </c>
    </row>
    <row r="177" spans="1:41" ht="20.100000000000001" customHeight="1" x14ac:dyDescent="0.2">
      <c r="D177" s="15"/>
      <c r="E177" s="15">
        <f>IFERROR(X_Cell_FarmInputs_LickBlocks_DrySeasonMix, 0)</f>
        <v>0</v>
      </c>
      <c r="F177" s="15" cm="1">
        <f t="array" ref="F177">Common_InputFunctions.Utility_LookupValueInTableNumber(D177,Table_SourceData_Scope3_LickBlocks[Product],Table_SourceData_Scope3_LickBlocks[Emissions intensity])</f>
        <v>0</v>
      </c>
      <c r="G177" s="242" cm="1">
        <f t="array" ref="G177">Scope3_Equations.VEERG_15_3_1_1__1_EmissionsFromPurchasedMineralSupplementsVariation(E177,F177)</f>
        <v>0</v>
      </c>
      <c r="H177" s="76">
        <v>0.8</v>
      </c>
      <c r="I177" s="242" cm="1">
        <f t="array" ref="I177">Scope3_Equations.VEERG_15_3_1_1__1_EmissionsFromPurchasedMineralSupplementsVariation(E177,IF(H177, H177, F177))</f>
        <v>0</v>
      </c>
      <c r="J177" s="34"/>
      <c r="K177" s="13"/>
      <c r="L177" s="34"/>
    </row>
    <row r="178" spans="1:41" ht="20.100000000000001" customHeight="1" x14ac:dyDescent="0.2">
      <c r="A178" s="81" t="str">
        <f>HYPERLINK("#A1", "▲ Back to top")</f>
        <v>▲ Back to top</v>
      </c>
      <c r="D178" s="15"/>
      <c r="E178" s="15">
        <f>IFERROR(X_Cell_FarmInputs_LickBlocks_Mineral, 0)</f>
        <v>0</v>
      </c>
      <c r="F178" s="15" cm="1">
        <f t="array" ref="F178">Common_InputFunctions.Utility_LookupValueInTableNumber(D178,Table_SourceData_Scope3_LickBlocks[Product],Table_SourceData_Scope3_LickBlocks[Emissions intensity])</f>
        <v>0</v>
      </c>
      <c r="G178" s="242" cm="1">
        <f t="array" ref="G178">Scope3_Equations.VEERG_15_3_1_1__1_EmissionsFromPurchasedMineralSupplementsVariation(E178,F178)</f>
        <v>0</v>
      </c>
      <c r="H178" s="76">
        <v>0.6</v>
      </c>
      <c r="I178" s="242" cm="1">
        <f t="array" ref="I178">Scope3_Equations.VEERG_15_3_1_1__1_EmissionsFromPurchasedMineralSupplementsVariation(E178,IF(H178, H178, F178))</f>
        <v>0</v>
      </c>
      <c r="J178" s="34"/>
      <c r="K178" s="13"/>
      <c r="L178" s="34"/>
    </row>
    <row r="179" spans="1:41" ht="20.100000000000001" customHeight="1" x14ac:dyDescent="0.2">
      <c r="D179" s="15"/>
      <c r="E179" s="15">
        <f>IFERROR(X_Cell_FarmInputs_LickBlocks_Weaner, 0)</f>
        <v>0</v>
      </c>
      <c r="F179" s="15" cm="1">
        <f t="array" ref="F179">Common_InputFunctions.Utility_LookupValueInTableNumber(D179,Table_SourceData_Scope3_LickBlocks[Product],Table_SourceData_Scope3_LickBlocks[Emissions intensity])</f>
        <v>0</v>
      </c>
      <c r="G179" s="242" cm="1">
        <f t="array" ref="G179">Scope3_Equations.VEERG_15_3_1_1__1_EmissionsFromPurchasedMineralSupplementsVariation(E179,F179)</f>
        <v>0</v>
      </c>
      <c r="H179" s="76">
        <v>0.2</v>
      </c>
      <c r="I179" s="242" cm="1">
        <f t="array" ref="I179">Scope3_Equations.VEERG_15_3_1_1__1_EmissionsFromPurchasedMineralSupplementsVariation(E179,IF(H179, H179, F179))</f>
        <v>0</v>
      </c>
      <c r="J179" s="34"/>
      <c r="K179" s="13"/>
      <c r="L179" s="34"/>
    </row>
    <row r="181" spans="1:41" ht="20.100000000000001" customHeight="1" x14ac:dyDescent="0.2">
      <c r="D181" s="87" t="s">
        <v>863</v>
      </c>
      <c r="E181" s="88">
        <f>SUM(G177:G179)</f>
        <v>0</v>
      </c>
      <c r="F181" s="97" t="str">
        <f>$E$170</f>
        <v>t CO2e</v>
      </c>
    </row>
    <row r="182" spans="1:41" ht="20.100000000000001" customHeight="1" x14ac:dyDescent="0.2">
      <c r="D182" s="87" t="s">
        <v>866</v>
      </c>
      <c r="E182" s="88">
        <f>SUM(I177:I179)</f>
        <v>0</v>
      </c>
      <c r="F182" s="97" t="str">
        <f>$E$170</f>
        <v>t CO2e</v>
      </c>
    </row>
    <row r="185" spans="1:41" ht="20.100000000000001" customHeight="1" x14ac:dyDescent="0.2">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row>
    <row r="186" spans="1:41" ht="20.100000000000001" customHeight="1" x14ac:dyDescent="0.2">
      <c r="D186" s="2" t="str" cm="1">
        <f t="array" ref="D186">Scope3_Equations.VEERG_15_4_1_1__X_EmissionFactorFromPurchasedFertiliserComponents_Title()</f>
        <v>Emission factor for fertiliser product derived from components</v>
      </c>
    </row>
    <row r="187" spans="1:41" ht="20.100000000000001" customHeight="1" x14ac:dyDescent="0.2">
      <c r="D187" s="17" t="str" cm="1">
        <f t="array" ref="D187">Scope3_Equations.VEERG_15_4_1_1__X_EmissionFactorFromPurchasedFertiliserComponents_Source()</f>
        <v>GAF</v>
      </c>
    </row>
    <row r="188" spans="1:41" ht="20.100000000000001" customHeight="1" x14ac:dyDescent="0.2">
      <c r="D188" s="26" t="str" cm="1">
        <f t="array" ref="D188">Scope3_Equations.VEERG_15_4_1_1__X_EmissionFactorFromPurchasedFertiliserComponents_Variation()</f>
        <v>VARIATION ON SOURCE: This equation is added to calculate an EF value from fertiliser components that can be used in 15.4.1.1 (1)</v>
      </c>
    </row>
    <row r="189" spans="1:41" ht="20.100000000000001" customHeight="1" x14ac:dyDescent="0.2">
      <c r="D189" s="140" t="s">
        <v>402</v>
      </c>
      <c r="E189" s="140" t="str" cm="1">
        <f t="array" aca="1" ref="E189" ca="1">Common_InputFunctions.Utility_DisplayFunctionName(F236)</f>
        <v>=Scope3_Equations.VEERG_15_4_1_1__X_EmissionFactorFromPurchasedFertiliserComponents</v>
      </c>
    </row>
    <row r="192" spans="1:41" ht="20.100000000000001" customHeight="1" x14ac:dyDescent="0.2">
      <c r="D192" s="77" t="s">
        <v>407</v>
      </c>
      <c r="E192" s="1" t="str" cm="1">
        <f t="array" ref="E192">Scope3_Equations.VEERG_15_4_1_1__X_EmissionFactorFromPurchasedFertiliserComponents_Variable()</f>
        <v>EF_f</v>
      </c>
    </row>
    <row r="193" spans="1:8" ht="20.100000000000001" customHeight="1" x14ac:dyDescent="0.2">
      <c r="D193" s="77" t="s">
        <v>118</v>
      </c>
      <c r="E193" s="9" t="str" cm="1">
        <f t="array" ref="E193">Scope3_Equations.VEERG_15_4_1_1__X_EmissionFactorFromPurchasedFertiliserComponents_Unit()</f>
        <v>kg CO2e/kg fertiliser</v>
      </c>
    </row>
    <row r="195" spans="1:8" ht="20.100000000000001" customHeight="1" x14ac:dyDescent="0.2">
      <c r="D195" s="156" t="str" cm="1">
        <f t="array" ref="D195:E198">_xlfn.CHOOSECOLS(Scope3_Equations.VEERG_15_4_1_1__X_EmissionFactorFromPurchasedFertiliserComponents_Arguments(),1,2)</f>
        <v>F_cf</v>
      </c>
      <c r="E195" s="153" t="str">
        <v>fraction of component c contained within the inorganic fertiliser f</v>
      </c>
      <c r="F195" s="165"/>
      <c r="G195" s="156" t="str" cm="1">
        <f t="array" ref="G195:H198">_xlfn.CHOOSECOLS(Scope3_Equations.VEERG_15_4_1_1__X_EmissionFactorFromPurchasedFertiliserComponents_Arguments(),3,4)</f>
        <v>wt%</v>
      </c>
      <c r="H195" s="240" t="str">
        <v>Input</v>
      </c>
    </row>
    <row r="196" spans="1:8" ht="20.100000000000001" customHeight="1" x14ac:dyDescent="0.2">
      <c r="D196" s="156" t="str">
        <v>EF_c</v>
      </c>
      <c r="E196" s="153" t="str">
        <v>emission factor for the production of component c</v>
      </c>
      <c r="F196" s="165"/>
      <c r="G196" s="156" t="str">
        <v>kg CO2e/kg component</v>
      </c>
      <c r="H196" s="148" t="str">
        <v>Constant</v>
      </c>
    </row>
    <row r="197" spans="1:8" ht="20.100000000000001" customHeight="1" x14ac:dyDescent="0.2">
      <c r="D197" s="156" t="str">
        <v>c</v>
      </c>
      <c r="E197" s="153" t="str">
        <v>fertiliser component</v>
      </c>
      <c r="F197" s="165"/>
      <c r="G197" s="156" t="str">
        <v/>
      </c>
      <c r="H197" s="240" t="str">
        <v>Input</v>
      </c>
    </row>
    <row r="198" spans="1:8" ht="20.100000000000001" customHeight="1" x14ac:dyDescent="0.2">
      <c r="D198" s="156" t="str">
        <v>f</v>
      </c>
      <c r="E198" s="153" t="str">
        <v>inorganic fertiliser type</v>
      </c>
      <c r="F198" s="165"/>
      <c r="G198" s="156" t="str">
        <v/>
      </c>
      <c r="H198" s="240" t="str">
        <v>Input</v>
      </c>
    </row>
    <row r="201" spans="1:8" ht="20.100000000000001" customHeight="1" x14ac:dyDescent="0.2">
      <c r="D201" s="2" t="str" cm="1">
        <f t="array" ref="D201">Scope3_Equations.VEERG_15_4_1_1__1_EmissionsFromPurchasedFertiliser_Title()</f>
        <v>Emissions from purchased fertiliser</v>
      </c>
    </row>
    <row r="202" spans="1:8" ht="20.100000000000001" customHeight="1" x14ac:dyDescent="0.2">
      <c r="D202" s="17" t="str" cm="1">
        <f t="array" ref="D202">Scope3_Equations.VEERG_15_4_1_1__1_EmissionsFromPurchasedFertiliser_Source()</f>
        <v>VEERG 2026: 15.4.1.1, Equation (1)</v>
      </c>
    </row>
    <row r="203" spans="1:8" ht="20.100000000000001" customHeight="1" x14ac:dyDescent="0.2">
      <c r="D203" s="140" t="s">
        <v>402</v>
      </c>
      <c r="E203" s="140" t="str" cm="1">
        <f t="array" aca="1" ref="E203" ca="1">Common_InputFunctions.Utility_DisplayFunctionName(G236)</f>
        <v>=Scope3_Equations.VEERG_15_4_1_1__1_EmissionsFromPurchasedFertiliser</v>
      </c>
    </row>
    <row r="206" spans="1:8" ht="20.100000000000001" customHeight="1" x14ac:dyDescent="0.2">
      <c r="D206" s="77" t="s">
        <v>407</v>
      </c>
      <c r="E206" s="1" t="str" cm="1">
        <f t="array" ref="E206">Scope3_Equations.VEERG_15_4_1_1__1_EmissionsFromPurchasedFertiliser_Variable()</f>
        <v>E</v>
      </c>
    </row>
    <row r="207" spans="1:8" ht="20.100000000000001" customHeight="1" x14ac:dyDescent="0.2">
      <c r="D207" s="77" t="s">
        <v>118</v>
      </c>
      <c r="E207" s="9" t="str" cm="1">
        <f t="array" ref="E207">Scope3_Equations.VEERG_15_4_1_1__1_EmissionsFromPurchasedFertiliser_Unit()</f>
        <v>t CO2e</v>
      </c>
    </row>
    <row r="208" spans="1:8" ht="20.100000000000001" customHeight="1" x14ac:dyDescent="0.2">
      <c r="A208" s="81" t="str">
        <f>HYPERLINK("#A1", "▲ Back to top")</f>
        <v>▲ Back to top</v>
      </c>
    </row>
    <row r="209" spans="4:8" ht="20.100000000000001" customHeight="1" x14ac:dyDescent="0.2">
      <c r="D209" s="156" t="str" cm="1">
        <f t="array" ref="D209:E212">_xlfn.CHOOSECOLS(Scope3_Equations.VEERG_15_4_1_1__1_EmissionsFromPurchasedFertiliser_Arguments(),1,2)</f>
        <v>TM_jf</v>
      </c>
      <c r="E209" s="156" t="str">
        <v>quantity of inorganic fertiliser type f purchased and applied to production system j</v>
      </c>
      <c r="F209" s="156"/>
      <c r="G209" s="156" t="str" cm="1">
        <f t="array" ref="G209:H212">_xlfn.CHOOSECOLS(Scope3_Equations.VEERG_15_4_1_1__1_EmissionsFromPurchasedFertiliser_Arguments(),3,4)</f>
        <v>kg</v>
      </c>
      <c r="H209" s="240" t="str">
        <v>Input</v>
      </c>
    </row>
    <row r="210" spans="4:8" ht="20.100000000000001" customHeight="1" x14ac:dyDescent="0.2">
      <c r="D210" s="156" t="str">
        <v>EF_f</v>
      </c>
      <c r="E210" s="156" t="str">
        <v>emission factor of purchased inorganic fertiliser</v>
      </c>
      <c r="F210" s="156"/>
      <c r="G210" s="156" t="str">
        <v>kg CO2e/kg</v>
      </c>
      <c r="H210" s="148" t="str">
        <v>Constant</v>
      </c>
    </row>
    <row r="211" spans="4:8" ht="20.100000000000001" customHeight="1" x14ac:dyDescent="0.2">
      <c r="D211" s="156" t="str">
        <v>j</v>
      </c>
      <c r="E211" s="153" t="str">
        <v>production system</v>
      </c>
      <c r="F211" s="165"/>
      <c r="G211" s="156" t="str">
        <v/>
      </c>
      <c r="H211" s="240" t="str">
        <v>Input</v>
      </c>
    </row>
    <row r="212" spans="4:8" ht="20.100000000000001" customHeight="1" x14ac:dyDescent="0.2">
      <c r="D212" s="156" t="str">
        <v>f</v>
      </c>
      <c r="E212" s="153" t="str">
        <v>inorganic fertiliser type</v>
      </c>
      <c r="F212" s="165"/>
      <c r="G212" s="156" t="str">
        <v/>
      </c>
      <c r="H212" s="240" t="str">
        <v>Input</v>
      </c>
    </row>
    <row r="215" spans="4:8" ht="20.100000000000001" customHeight="1" x14ac:dyDescent="0.2">
      <c r="D215" s="2" t="str" cm="1">
        <f t="array" ref="D215">Scope3_Equations.VEERG_15_4_1_1__2_EmissionsFromPurchasedFertiliserComponents_Title()</f>
        <v>Emissions from purchased fertiliser components</v>
      </c>
    </row>
    <row r="216" spans="4:8" ht="20.100000000000001" customHeight="1" x14ac:dyDescent="0.2">
      <c r="D216" s="17" t="str" cm="1">
        <f t="array" ref="D216">Scope3_Equations.VEERG_15_4_1_1__2_EmissionsFromPurchasedFertiliserComponents_Source()</f>
        <v>VEERG 2026: 15.4.1.1, Equation (2)</v>
      </c>
    </row>
    <row r="217" spans="4:8" ht="20.100000000000001" customHeight="1" x14ac:dyDescent="0.2">
      <c r="D217" s="26"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
      <c r="D218" s="140" t="s">
        <v>402</v>
      </c>
      <c r="E218" s="140" t="str" cm="1">
        <f t="array" aca="1" ref="E218" ca="1">Common_InputFunctions.Utility_DisplayFunctionName(H236)</f>
        <v>=Scope3_Equations.VEERG_15_4_1_1__2_EmissionsFromPurchasedFertiliserComponentsVariation</v>
      </c>
    </row>
    <row r="221" spans="4:8" ht="20.100000000000001" customHeight="1" x14ac:dyDescent="0.2">
      <c r="D221" s="77" t="s">
        <v>407</v>
      </c>
      <c r="E221" s="1" t="str" cm="1">
        <f t="array" ref="E221">Scope3_Equations.VEERG_15_4_1_1__2_EmissionsFromPurchasedFertiliserComponents_Variable()</f>
        <v>E</v>
      </c>
    </row>
    <row r="222" spans="4:8" ht="20.100000000000001" customHeight="1" x14ac:dyDescent="0.2">
      <c r="D222" s="77" t="s">
        <v>118</v>
      </c>
      <c r="E222" s="9" t="str" cm="1">
        <f t="array" ref="E222">Scope3_Equations.VEERG_15_4_1_1__2_EmissionsFromPurchasedFertiliserComponents_Unit()</f>
        <v>t CO2e</v>
      </c>
    </row>
    <row r="224" spans="4:8" ht="20.100000000000001" customHeight="1" x14ac:dyDescent="0.2">
      <c r="D224" s="156" t="str" cm="1">
        <f t="array" ref="D224:E229">_xlfn.CHOOSECOLS(Scope3_Equations.VEERG_15_4_1_1__2_EmissionsFromPurchasedFertiliserComponents_Arguments(),1,2)</f>
        <v>F_cf</v>
      </c>
      <c r="E224" s="153" t="str">
        <v>fraction of component c contained within the inorganic fertiliser f</v>
      </c>
      <c r="F224" s="165"/>
      <c r="G224" s="156" t="str" cm="1">
        <f t="array" ref="G224:H229">_xlfn.CHOOSECOLS(Scope3_Equations.VEERG_15_4_1_1__2_EmissionsFromPurchasedFertiliserComponents_Arguments(),3,4)</f>
        <v>wt%</v>
      </c>
      <c r="H224" s="240" t="str">
        <v>Input</v>
      </c>
    </row>
    <row r="225" spans="1:40" ht="20.100000000000001" customHeight="1" x14ac:dyDescent="0.2">
      <c r="D225" s="156" t="str">
        <v>TM_jf</v>
      </c>
      <c r="E225" s="153" t="str">
        <v>quantity of inorganic fertiliser type f purchased and applied to production system j</v>
      </c>
      <c r="F225" s="165"/>
      <c r="G225" s="156" t="str">
        <v>kg</v>
      </c>
      <c r="H225" s="148" t="str">
        <v>Input</v>
      </c>
    </row>
    <row r="226" spans="1:40" ht="20.100000000000001" customHeight="1" x14ac:dyDescent="0.2">
      <c r="D226" s="156" t="str">
        <v>EF_c</v>
      </c>
      <c r="E226" s="153" t="str">
        <v>emission factor for the production of component c</v>
      </c>
      <c r="F226" s="165"/>
      <c r="G226" s="156" t="str">
        <v>kg CO2e/kg component</v>
      </c>
      <c r="H226" s="148" t="str">
        <v>Constant</v>
      </c>
    </row>
    <row r="227" spans="1:40" ht="20.100000000000001" customHeight="1" x14ac:dyDescent="0.2">
      <c r="D227" s="156" t="str">
        <v>c</v>
      </c>
      <c r="E227" s="153" t="str">
        <v>fertiliser component</v>
      </c>
      <c r="F227" s="165"/>
      <c r="G227" s="156" t="str">
        <v/>
      </c>
      <c r="H227" s="240" t="str">
        <v>Input</v>
      </c>
    </row>
    <row r="228" spans="1:40" ht="20.100000000000001" customHeight="1" x14ac:dyDescent="0.2">
      <c r="D228" s="156" t="str">
        <v>f</v>
      </c>
      <c r="E228" s="153" t="str">
        <v>inorganic fertiliser type</v>
      </c>
      <c r="F228" s="165"/>
      <c r="G228" s="156" t="str">
        <v/>
      </c>
      <c r="H228" s="240" t="str">
        <v>Input</v>
      </c>
    </row>
    <row r="229" spans="1:40" ht="20.100000000000001" customHeight="1" x14ac:dyDescent="0.2">
      <c r="D229" s="156" t="str">
        <v>j</v>
      </c>
      <c r="E229" s="153" t="str">
        <v>production system</v>
      </c>
      <c r="F229" s="165"/>
      <c r="G229" s="156" t="str">
        <v/>
      </c>
      <c r="H229" s="240" t="str">
        <v>Input</v>
      </c>
    </row>
    <row r="231" spans="1:40" ht="20.100000000000001" customHeight="1" x14ac:dyDescent="0.2">
      <c r="D231" s="235" t="s">
        <v>907</v>
      </c>
    </row>
    <row r="233" spans="1:40" ht="20.100000000000001" customHeight="1" x14ac:dyDescent="0.2">
      <c r="D233" s="36" t="s">
        <v>908</v>
      </c>
      <c r="E233" s="38"/>
      <c r="F233" s="39"/>
    </row>
    <row r="235" spans="1:40" ht="20.100000000000001" customHeight="1" x14ac:dyDescent="0.2">
      <c r="D235" s="80" t="s">
        <v>130</v>
      </c>
      <c r="E235" s="80" t="s">
        <v>909</v>
      </c>
      <c r="F235" s="144" t="s">
        <v>910</v>
      </c>
      <c r="G235" s="144" t="s">
        <v>911</v>
      </c>
      <c r="H235" s="144" t="s">
        <v>912</v>
      </c>
      <c r="I235" s="80" t="s">
        <v>913</v>
      </c>
      <c r="J235" s="144" t="s">
        <v>914</v>
      </c>
      <c r="K235" s="144" t="s">
        <v>915</v>
      </c>
      <c r="L235" s="80" t="s">
        <v>867</v>
      </c>
      <c r="M235" s="80" t="s">
        <v>868</v>
      </c>
      <c r="N235" s="80" t="s">
        <v>869</v>
      </c>
      <c r="O235" s="144" t="s">
        <v>359</v>
      </c>
      <c r="P235" s="144" t="s">
        <v>360</v>
      </c>
      <c r="Q235" s="144" t="s">
        <v>344</v>
      </c>
      <c r="R235" s="144" t="s">
        <v>345</v>
      </c>
      <c r="S235" s="144" t="s">
        <v>916</v>
      </c>
      <c r="T235" s="80" t="s">
        <v>917</v>
      </c>
      <c r="U235" s="144" t="s">
        <v>346</v>
      </c>
      <c r="V235" s="144" t="s">
        <v>347</v>
      </c>
      <c r="W235" s="144" t="s">
        <v>918</v>
      </c>
      <c r="X235" s="80" t="s">
        <v>919</v>
      </c>
      <c r="Y235" s="144" t="s">
        <v>348</v>
      </c>
      <c r="Z235" s="144" t="s">
        <v>349</v>
      </c>
      <c r="AA235" s="144" t="s">
        <v>920</v>
      </c>
      <c r="AB235" s="80" t="s">
        <v>921</v>
      </c>
      <c r="AC235" s="144" t="s">
        <v>350</v>
      </c>
      <c r="AD235" s="144" t="s">
        <v>351</v>
      </c>
      <c r="AE235" s="144" t="s">
        <v>922</v>
      </c>
      <c r="AF235" s="80" t="s">
        <v>923</v>
      </c>
      <c r="AG235" s="144" t="s">
        <v>352</v>
      </c>
      <c r="AH235" s="144" t="s">
        <v>353</v>
      </c>
      <c r="AI235" s="144" t="s">
        <v>924</v>
      </c>
      <c r="AJ235" s="80" t="s">
        <v>925</v>
      </c>
      <c r="AK235" s="144" t="s">
        <v>354</v>
      </c>
      <c r="AL235" s="144" t="s">
        <v>355</v>
      </c>
      <c r="AM235" s="144" t="s">
        <v>926</v>
      </c>
      <c r="AN235" s="80" t="s">
        <v>927</v>
      </c>
    </row>
    <row r="236" spans="1: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42" cm="1">
        <f t="array" ref="G236">Scope3_Equations.VEERG_15_4_1_1__1_EmissionsFromPurchasedFertiliser(E236,F236)</f>
        <v>96.8</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76">
        <v>0.4</v>
      </c>
      <c r="J236" s="242" cm="1">
        <f t="array" ref="J236">Scope3_Equations.VEERG_15_4_1_1__1_EmissionsFromPurchasedFertiliser(E236,I236)</f>
        <v>40</v>
      </c>
      <c r="K236" s="242"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90</v>
      </c>
      <c r="L236" s="34"/>
      <c r="M236" s="13"/>
      <c r="N236"/>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6">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1:40" ht="20.100000000000001" customHeight="1" x14ac:dyDescent="0.2">
      <c r="D237" s="15" t="str">
        <v>Boost-It</v>
      </c>
      <c r="E237" s="15">
        <v>100000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42" cm="1">
        <f t="array" ref="G237">Scope3_Equations.VEERG_15_4_1_1__1_EmissionsFromPurchasedFertiliser(E237,F237)</f>
        <v>91.61833519999999</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91.61833519999999</v>
      </c>
      <c r="I237" s="76">
        <v>0.9</v>
      </c>
      <c r="J237" s="242" cm="1">
        <f t="array" ref="J237">Scope3_Equations.VEERG_15_4_1_1__1_EmissionsFromPurchasedFertiliser(E237,I237)</f>
        <v>90</v>
      </c>
      <c r="K237" s="242"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91.61833519999999</v>
      </c>
      <c r="L237" s="34"/>
      <c r="M237" s="13"/>
      <c r="N237" s="34"/>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6"/>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6"/>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6"/>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6"/>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1:40" ht="20.100000000000001" customHeight="1" x14ac:dyDescent="0.2">
      <c r="A238" s="81" t="str">
        <f>HYPERLINK("#A1", "▲ Back to top")</f>
        <v>▲ Back to top</v>
      </c>
      <c r="D238" s="15" t="str">
        <v>Cal-Gran 50/50</v>
      </c>
      <c r="E238" s="15">
        <v>100000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42" cm="1">
        <f t="array" ref="G238">Scope3_Equations.VEERG_15_4_1_1__1_EmissionsFromPurchasedFertiliser(E238,F238)</f>
        <v>87.811999999999983</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87.811999999999998</v>
      </c>
      <c r="I238" s="76">
        <v>0.4</v>
      </c>
      <c r="J238" s="242" cm="1">
        <f t="array" ref="J238">Scope3_Equations.VEERG_15_4_1_1__1_EmissionsFromPurchasedFertiliser(E238,I238)</f>
        <v>40</v>
      </c>
      <c r="K238" s="242"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87.811999999999998</v>
      </c>
      <c r="L238" s="34"/>
      <c r="M238" s="13"/>
      <c r="N238" s="34"/>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6"/>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6"/>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6"/>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6"/>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1:40" ht="20.100000000000001" customHeight="1" x14ac:dyDescent="0.2">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42"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6"/>
      <c r="J239" s="242" cm="1">
        <f t="array" ref="J239">Scope3_Equations.VEERG_15_4_1_1__1_EmissionsFromPurchasedFertiliser(E239,I239)</f>
        <v>0</v>
      </c>
      <c r="K239" s="242"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1:40" ht="20.100000000000001" customHeight="1" x14ac:dyDescent="0.2">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42"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6"/>
      <c r="J240" s="242" cm="1">
        <f t="array" ref="J240">Scope3_Equations.VEERG_15_4_1_1__1_EmissionsFromPurchasedFertiliser(E240,I240)</f>
        <v>0</v>
      </c>
      <c r="K240" s="242"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100000000000001" customHeight="1" x14ac:dyDescent="0.2">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42"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6"/>
      <c r="J241" s="242" cm="1">
        <f t="array" ref="J241">Scope3_Equations.VEERG_15_4_1_1__1_EmissionsFromPurchasedFertiliser(E241,I241)</f>
        <v>0</v>
      </c>
      <c r="K241" s="242"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100000000000001" customHeight="1" x14ac:dyDescent="0.2">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42"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6"/>
      <c r="J242" s="242" cm="1">
        <f t="array" ref="J242">Scope3_Equations.VEERG_15_4_1_1__1_EmissionsFromPurchasedFertiliser(E242,I242)</f>
        <v>0</v>
      </c>
      <c r="K242" s="242"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100000000000001" customHeight="1" x14ac:dyDescent="0.2">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42"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6"/>
      <c r="J243" s="242" cm="1">
        <f t="array" ref="J243">Scope3_Equations.VEERG_15_4_1_1__1_EmissionsFromPurchasedFertiliser(E243,I243)</f>
        <v>0</v>
      </c>
      <c r="K243" s="242"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100000000000001" customHeight="1" x14ac:dyDescent="0.2">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42"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6"/>
      <c r="J244" s="242" cm="1">
        <f t="array" ref="J244">Scope3_Equations.VEERG_15_4_1_1__1_EmissionsFromPurchasedFertiliser(E244,I244)</f>
        <v>0</v>
      </c>
      <c r="K244" s="242"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100000000000001" customHeight="1" x14ac:dyDescent="0.2">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42"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6"/>
      <c r="J245" s="242" cm="1">
        <f t="array" ref="J245">Scope3_Equations.VEERG_15_4_1_1__1_EmissionsFromPurchasedFertiliser(E245,I245)</f>
        <v>0</v>
      </c>
      <c r="K245" s="242"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7" spans="4:40" ht="20.100000000000001" customHeight="1" x14ac:dyDescent="0.2">
      <c r="D247" s="235" t="s">
        <v>928</v>
      </c>
    </row>
    <row r="249" spans="4:40" ht="20.100000000000001" customHeight="1" x14ac:dyDescent="0.2">
      <c r="D249" s="36" t="s">
        <v>929</v>
      </c>
      <c r="E249" s="38"/>
      <c r="F249" s="39"/>
    </row>
    <row r="251" spans="4:40" ht="20.100000000000001" customHeight="1" x14ac:dyDescent="0.2">
      <c r="D251" s="80" t="s">
        <v>890</v>
      </c>
      <c r="E251" s="80" t="s">
        <v>909</v>
      </c>
      <c r="F251" s="144" t="s">
        <v>910</v>
      </c>
      <c r="G251" s="144" t="s">
        <v>911</v>
      </c>
      <c r="H251" s="144" t="s">
        <v>912</v>
      </c>
      <c r="I251" s="80" t="s">
        <v>913</v>
      </c>
      <c r="J251" s="144" t="s">
        <v>914</v>
      </c>
      <c r="K251" s="144" t="s">
        <v>915</v>
      </c>
      <c r="L251" s="80" t="s">
        <v>867</v>
      </c>
      <c r="M251" s="80" t="s">
        <v>868</v>
      </c>
      <c r="N251" s="80" t="s">
        <v>869</v>
      </c>
      <c r="O251" s="144" t="s">
        <v>359</v>
      </c>
      <c r="P251" s="144" t="s">
        <v>360</v>
      </c>
      <c r="Q251" s="144" t="s">
        <v>344</v>
      </c>
      <c r="R251" s="144" t="s">
        <v>345</v>
      </c>
      <c r="S251" s="144" t="s">
        <v>916</v>
      </c>
      <c r="T251" s="80" t="s">
        <v>917</v>
      </c>
      <c r="U251" s="144" t="s">
        <v>346</v>
      </c>
      <c r="V251" s="144" t="s">
        <v>347</v>
      </c>
      <c r="W251" s="144" t="s">
        <v>918</v>
      </c>
      <c r="X251" s="80" t="s">
        <v>919</v>
      </c>
      <c r="Y251" s="144" t="s">
        <v>348</v>
      </c>
      <c r="Z251" s="144" t="s">
        <v>349</v>
      </c>
      <c r="AA251" s="144" t="s">
        <v>920</v>
      </c>
      <c r="AB251" s="80" t="s">
        <v>921</v>
      </c>
      <c r="AC251" s="144" t="s">
        <v>350</v>
      </c>
      <c r="AD251" s="144" t="s">
        <v>351</v>
      </c>
      <c r="AE251" s="144" t="s">
        <v>922</v>
      </c>
      <c r="AF251" s="80" t="s">
        <v>923</v>
      </c>
    </row>
    <row r="252" spans="4: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42" cm="1">
        <f t="array" ref="G252">Scope3_Equations.VEERG_15_4_1_1__1_EmissionsFromPurchasedFertiliser(E252,F252)</f>
        <v>177.08</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177.08</v>
      </c>
      <c r="I252" s="76">
        <v>0.4</v>
      </c>
      <c r="J252" s="242" cm="1">
        <f t="array" ref="J252">Scope3_Equations.VEERG_15_4_1_1__1_EmissionsFromPurchasedFertiliser(E252,I252)</f>
        <v>40</v>
      </c>
      <c r="K252" s="242"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34"/>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6">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6">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6">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6">
        <v>0</v>
      </c>
    </row>
    <row r="253" spans="4:40" ht="20.100000000000001" customHeight="1" x14ac:dyDescent="0.2">
      <c r="D253" s="15" t="str">
        <v>My second custom blend</v>
      </c>
      <c r="E253" s="15">
        <v>100000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42" cm="1">
        <f t="array" ref="G253">Scope3_Equations.VEERG_15_4_1_1__1_EmissionsFromPurchasedFertiliser(E253,F253)</f>
        <v>96.8</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76">
        <v>0.9</v>
      </c>
      <c r="J253" s="242" cm="1">
        <f t="array" ref="J253">Scope3_Equations.VEERG_15_4_1_1__1_EmissionsFromPurchasedFertiliser(E253,I253)</f>
        <v>90</v>
      </c>
      <c r="K253" s="242"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34"/>
      <c r="M253" s="13"/>
      <c r="N253" s="34"/>
      <c r="O253" s="243" t="str">
        <v/>
      </c>
      <c r="P253" s="243"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100000000000001" customHeight="1" x14ac:dyDescent="0.2">
      <c r="D254" s="15" t="str">
        <v>My third custom blend</v>
      </c>
      <c r="E254" s="15">
        <v>100000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42" cm="1">
        <f t="array" ref="G254">Scope3_Equations.VEERG_15_4_1_1__1_EmissionsFromPurchasedFertiliser(E254,F254)</f>
        <v>115.99999999999999</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115.99999999999999</v>
      </c>
      <c r="I254" s="76">
        <v>0.4</v>
      </c>
      <c r="J254" s="242" cm="1">
        <f t="array" ref="J254">Scope3_Equations.VEERG_15_4_1_1__1_EmissionsFromPurchasedFertiliser(E254,I254)</f>
        <v>40</v>
      </c>
      <c r="K254" s="242"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115.99999999999999</v>
      </c>
      <c r="L254" s="34"/>
      <c r="M254" s="13"/>
      <c r="N254" s="34"/>
      <c r="O254" s="243" t="str">
        <v/>
      </c>
      <c r="P254" s="243"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100000000000001" customHeight="1" x14ac:dyDescent="0.2">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42"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6"/>
      <c r="J255" s="242" cm="1">
        <f t="array" ref="J255">Scope3_Equations.VEERG_15_4_1_1__1_EmissionsFromPurchasedFertiliser(E255,I255)</f>
        <v>0</v>
      </c>
      <c r="K255" s="242"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4"/>
      <c r="M255" s="13"/>
      <c r="N255" s="34"/>
      <c r="O255" s="243" t="str">
        <v/>
      </c>
      <c r="P255" s="243"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100000000000001" customHeight="1" x14ac:dyDescent="0.2">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42"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6"/>
      <c r="J256" s="242" cm="1">
        <f t="array" ref="J256">Scope3_Equations.VEERG_15_4_1_1__1_EmissionsFromPurchasedFertiliser(E256,I256)</f>
        <v>0</v>
      </c>
      <c r="K256" s="242"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4"/>
      <c r="M256" s="13"/>
      <c r="N256" s="34"/>
      <c r="O256" s="243" t="str">
        <v/>
      </c>
      <c r="P256" s="243"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1:41" ht="20.100000000000001" customHeight="1" x14ac:dyDescent="0.2">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42"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6"/>
      <c r="J257" s="242" cm="1">
        <f t="array" ref="J257">Scope3_Equations.VEERG_15_4_1_1__1_EmissionsFromPurchasedFertiliser(E257,I257)</f>
        <v>0</v>
      </c>
      <c r="K257" s="242"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4"/>
      <c r="M257" s="13"/>
      <c r="N257" s="34"/>
      <c r="O257" s="243" t="str">
        <v/>
      </c>
      <c r="P257" s="243"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1:41" ht="20.100000000000001" customHeight="1" x14ac:dyDescent="0.2">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42"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6"/>
      <c r="J258" s="242" cm="1">
        <f t="array" ref="J258">Scope3_Equations.VEERG_15_4_1_1__1_EmissionsFromPurchasedFertiliser(E258,I258)</f>
        <v>0</v>
      </c>
      <c r="K258" s="242"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4"/>
      <c r="M258" s="13"/>
      <c r="N258" s="34"/>
      <c r="O258" s="243" t="str">
        <v/>
      </c>
      <c r="P258" s="243"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1:41" ht="20.100000000000001" customHeight="1" x14ac:dyDescent="0.2">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42"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6"/>
      <c r="J259" s="242" cm="1">
        <f t="array" ref="J259">Scope3_Equations.VEERG_15_4_1_1__1_EmissionsFromPurchasedFertiliser(E259,I259)</f>
        <v>0</v>
      </c>
      <c r="K259" s="242"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4"/>
      <c r="M259" s="13"/>
      <c r="N259" s="34"/>
      <c r="O259" s="243" t="str">
        <v/>
      </c>
      <c r="P259" s="243"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1:41" ht="20.100000000000001" customHeight="1" x14ac:dyDescent="0.2">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42"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6"/>
      <c r="J260" s="242" cm="1">
        <f t="array" ref="J260">Scope3_Equations.VEERG_15_4_1_1__1_EmissionsFromPurchasedFertiliser(E260,I260)</f>
        <v>0</v>
      </c>
      <c r="K260" s="242"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4"/>
      <c r="M260" s="13"/>
      <c r="N260" s="34"/>
      <c r="O260" s="243" t="str">
        <v/>
      </c>
      <c r="P260" s="243"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1:41" ht="20.100000000000001" customHeight="1" x14ac:dyDescent="0.2">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42"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6"/>
      <c r="J261" s="242" cm="1">
        <f t="array" ref="J261">Scope3_Equations.VEERG_15_4_1_1__1_EmissionsFromPurchasedFertiliser(E261,I261)</f>
        <v>0</v>
      </c>
      <c r="K261" s="242"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4"/>
      <c r="M261" s="13"/>
      <c r="N261" s="34"/>
      <c r="O261" s="243" t="str">
        <v/>
      </c>
      <c r="P261" s="243"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3" spans="1:41" ht="20.100000000000001" customHeight="1" x14ac:dyDescent="0.2">
      <c r="D263" s="244" t="s">
        <v>930</v>
      </c>
      <c r="E263" s="88">
        <f>SUM(G236:G245)+SUM(G252:G261)</f>
        <v>666.11033520000001</v>
      </c>
      <c r="F263" s="97" t="str">
        <f>$E$170</f>
        <v>t CO2e</v>
      </c>
    </row>
    <row r="264" spans="1:41" ht="20.100000000000001" customHeight="1" x14ac:dyDescent="0.2">
      <c r="D264" s="244" t="s">
        <v>931</v>
      </c>
      <c r="E264" s="88">
        <f>SUM(J236:J245)+SUM(J252:J261)</f>
        <v>340</v>
      </c>
      <c r="F264" s="97" t="str">
        <f>$E$170</f>
        <v>t CO2e</v>
      </c>
    </row>
    <row r="266" spans="1:41" ht="20.100000000000001" customHeight="1" x14ac:dyDescent="0.2">
      <c r="D266" s="244" t="s">
        <v>932</v>
      </c>
      <c r="E266" s="88">
        <f>SUM(H236:H245)+SUM(H252:H261)</f>
        <v>666.11033520000001</v>
      </c>
      <c r="F266" s="97" t="str">
        <f>$E$170</f>
        <v>t CO2e</v>
      </c>
    </row>
    <row r="267" spans="1:41" ht="20.100000000000001" customHeight="1" x14ac:dyDescent="0.2">
      <c r="D267" s="244" t="s">
        <v>933</v>
      </c>
      <c r="E267" s="88">
        <f>SUM(K236:K245)+SUM(K252:K261)</f>
        <v>650.23033520000001</v>
      </c>
      <c r="F267" s="97" t="str">
        <f>$E$170</f>
        <v>t CO2e</v>
      </c>
    </row>
    <row r="268" spans="1:41" ht="20.100000000000001" customHeight="1" x14ac:dyDescent="0.2">
      <c r="A268" s="81" t="str">
        <f>HYPERLINK("#A1", "▲ Back to top")</f>
        <v>▲ Back to top</v>
      </c>
    </row>
    <row r="270" spans="1:41" ht="20.100000000000001" customHeight="1" x14ac:dyDescent="0.2">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c r="AK270" s="85"/>
      <c r="AL270" s="85"/>
      <c r="AM270" s="85"/>
      <c r="AN270" s="85"/>
      <c r="AO270" s="85"/>
    </row>
    <row r="271" spans="1:41" ht="20.100000000000001" customHeight="1" x14ac:dyDescent="0.2">
      <c r="D271" s="2" t="str" cm="1">
        <f t="array" ref="D271">Scope3_Equations.VEERG_15_5_1_1__1_EmissionsFromPurchasedAgrichemicals_Title()</f>
        <v>Total emissions from purchased agrichemicals</v>
      </c>
    </row>
    <row r="272" spans="1:41" ht="20.100000000000001" customHeight="1" x14ac:dyDescent="0.2">
      <c r="D272" s="17" t="str" cm="1">
        <f t="array" ref="D272">Scope3_Equations.VEERG_15_5_1_1__1_EmissionsFromPurchasedAgrichemicals_Source()</f>
        <v>VEERG 2026: 15.5.1.1, Equation (1)</v>
      </c>
    </row>
    <row r="273" spans="4:9" ht="20.100000000000001" customHeight="1" x14ac:dyDescent="0.2">
      <c r="D273" s="140" t="s">
        <v>402</v>
      </c>
      <c r="E273" s="140" t="str" cm="1">
        <f t="array" aca="1" ref="E273" ca="1">Common_InputFunctions.Utility_DisplayFunctionName(G285)</f>
        <v>=Scope3_Equations.VEERG_15_5_1_1__1_EmissionsFromPurchasedAgrichemicals</v>
      </c>
    </row>
    <row r="277" spans="4:9" ht="20.100000000000001" customHeight="1" x14ac:dyDescent="0.2">
      <c r="D277" s="77" t="s">
        <v>407</v>
      </c>
      <c r="E277" s="1" t="str" cm="1">
        <f t="array" ref="E277">Scope3_Equations.VEERG_15_5_1_1__1_EmissionsFromPurchasedAgrichemicals_Variable()</f>
        <v>E</v>
      </c>
    </row>
    <row r="278" spans="4:9" ht="20.100000000000001" customHeight="1" x14ac:dyDescent="0.2">
      <c r="D278" s="77" t="s">
        <v>118</v>
      </c>
      <c r="E278" s="9" t="str" cm="1">
        <f t="array" ref="E278">Scope3_Equations.VEERG_15_5_1_1__1_EmissionsFromPurchasedAgrichemicals_Unit()</f>
        <v>t CO2e</v>
      </c>
    </row>
    <row r="280" spans="4:9" ht="20.100000000000001" customHeight="1" x14ac:dyDescent="0.2">
      <c r="D280" s="156" t="str" cm="1">
        <f t="array" ref="D280:E282">_xlfn.CHOOSECOLS(Scope3_Equations.VEERG_15_5_1_1__1_EmissionsFromPurchasedAgrichemicals_Arguments(),1,2)</f>
        <v>Q_h</v>
      </c>
      <c r="E280" s="153" t="str">
        <v>quantity of active ingredients in agrichemical type h purchased and applied to soils</v>
      </c>
      <c r="F280" s="165"/>
      <c r="G280" s="156" t="str" cm="1">
        <f t="array" ref="G280:H282">_xlfn.CHOOSECOLS(Scope3_Equations.VEERG_15_5_1_1__1_EmissionsFromPurchasedAgrichemicals_Arguments(),3,4)</f>
        <v>kg ai</v>
      </c>
      <c r="H280" s="240" t="str">
        <v>Input</v>
      </c>
    </row>
    <row r="281" spans="4:9" ht="20.100000000000001" customHeight="1" x14ac:dyDescent="0.2">
      <c r="D281" s="156" t="str">
        <v>EF_h</v>
      </c>
      <c r="E281" s="153" t="str">
        <v>emission factor for purchased agrichemical active ingredient</v>
      </c>
      <c r="F281" s="165"/>
      <c r="G281" s="156" t="str">
        <v>kg CO2e/kg ai</v>
      </c>
      <c r="H281" s="148" t="str">
        <v>Constant</v>
      </c>
    </row>
    <row r="282" spans="4:9" ht="20.100000000000001" customHeight="1" x14ac:dyDescent="0.2">
      <c r="D282" s="156" t="str">
        <v>h</v>
      </c>
      <c r="E282" s="153" t="str">
        <v>agrichemical type</v>
      </c>
      <c r="F282" s="165"/>
      <c r="G282" s="156" t="str">
        <v/>
      </c>
      <c r="H282" s="240" t="str">
        <v>Input</v>
      </c>
    </row>
    <row r="284" spans="4:9" ht="20.100000000000001" customHeight="1" x14ac:dyDescent="0.2">
      <c r="D284" s="80" t="s">
        <v>934</v>
      </c>
      <c r="E284" s="80" t="s">
        <v>343</v>
      </c>
      <c r="F284" s="144" t="s">
        <v>935</v>
      </c>
      <c r="G284" s="144" t="s">
        <v>863</v>
      </c>
      <c r="H284" s="80" t="s">
        <v>936</v>
      </c>
      <c r="I284" s="144" t="s">
        <v>866</v>
      </c>
    </row>
    <row r="285" spans="4:9" ht="20.100000000000001" customHeight="1" x14ac:dyDescent="0.2">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0.52</v>
      </c>
      <c r="H285" s="76">
        <v>5</v>
      </c>
      <c r="I285" s="15" cm="1">
        <f t="array" ref="I285">Scope3_Equations.VEERG_15_5_1_1__1_EmissionsFromPurchasedAgrichemicals($E285,IF(H285,H285,F285))</f>
        <v>0.5</v>
      </c>
    </row>
    <row r="286" spans="4:9" ht="20.100000000000001" customHeight="1" x14ac:dyDescent="0.2">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6">
        <v>8</v>
      </c>
      <c r="I286" s="15" cm="1">
        <f t="array" ref="I286">Scope3_Equations.VEERG_15_5_1_1__1_EmissionsFromPurchasedAgrichemicals($E286,IF(H286,H286,F286))</f>
        <v>0</v>
      </c>
    </row>
    <row r="287" spans="4:9" ht="20.100000000000001" customHeight="1" x14ac:dyDescent="0.2">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6"/>
      <c r="I287" s="15" cm="1">
        <f t="array" ref="I287">Scope3_Equations.VEERG_15_5_1_1__1_EmissionsFromPurchasedAgrichemicals($E287,IF(H287,H287,F287))</f>
        <v>0</v>
      </c>
    </row>
    <row r="288" spans="4:9" ht="20.100000000000001" customHeight="1" x14ac:dyDescent="0.2">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1.03</v>
      </c>
      <c r="H288" s="76"/>
      <c r="I288" s="15" cm="1">
        <f t="array" ref="I288">Scope3_Equations.VEERG_15_5_1_1__1_EmissionsFromPurchasedAgrichemicals($E288,IF(H288,H288,F288))</f>
        <v>1.03</v>
      </c>
    </row>
    <row r="289" spans="1:41" ht="20.100000000000001" customHeight="1" x14ac:dyDescent="0.2">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6"/>
      <c r="I289" s="15" cm="1">
        <f t="array" ref="I289">Scope3_Equations.VEERG_15_5_1_1__1_EmissionsFromPurchasedAgrichemicals($E289,IF(H289,H289,F289))</f>
        <v>0</v>
      </c>
    </row>
    <row r="290" spans="1:41" ht="20.100000000000001" customHeight="1" x14ac:dyDescent="0.2">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6"/>
      <c r="I290" s="15" cm="1">
        <f t="array" ref="I290">Scope3_Equations.VEERG_15_5_1_1__1_EmissionsFromPurchasedAgrichemicals($E290,IF(H290,H290,F290))</f>
        <v>0</v>
      </c>
    </row>
    <row r="291" spans="1:41" ht="20.100000000000001" customHeight="1" x14ac:dyDescent="0.2">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0.80600000000000005</v>
      </c>
      <c r="H291" s="76"/>
      <c r="I291" s="15" cm="1">
        <f t="array" ref="I291">Scope3_Equations.VEERG_15_5_1_1__1_EmissionsFromPurchasedAgrichemicals($E291,IF(H291,H291,F291))</f>
        <v>0.80600000000000005</v>
      </c>
    </row>
    <row r="292" spans="1:41" ht="20.100000000000001" customHeight="1" x14ac:dyDescent="0.2">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6"/>
      <c r="I292" s="15" cm="1">
        <f t="array" ref="I292">Scope3_Equations.VEERG_15_5_1_1__1_EmissionsFromPurchasedAgrichemicals($E292,IF(H292,H292,F292))</f>
        <v>0</v>
      </c>
    </row>
    <row r="293" spans="1:41" ht="20.100000000000001" customHeight="1" x14ac:dyDescent="0.2">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3.6640000000000001</v>
      </c>
      <c r="H293" s="76"/>
      <c r="I293" s="15" cm="1">
        <f t="array" ref="I293">Scope3_Equations.VEERG_15_5_1_1__1_EmissionsFromPurchasedAgrichemicals($E293,IF(H293,H293,F293))</f>
        <v>3.6640000000000001</v>
      </c>
    </row>
    <row r="294" spans="1:41" ht="20.100000000000001" customHeight="1" x14ac:dyDescent="0.2">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6"/>
      <c r="I294" s="15" cm="1">
        <f t="array" ref="I294">Scope3_Equations.VEERG_15_5_1_1__1_EmissionsFromPurchasedAgrichemicals($E294,IF(H294,H294,F294))</f>
        <v>0</v>
      </c>
    </row>
    <row r="295" spans="1:41" ht="20.100000000000001" customHeight="1" x14ac:dyDescent="0.2">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0.88000000000000012</v>
      </c>
      <c r="H295" s="76"/>
      <c r="I295" s="15" cm="1">
        <f t="array" ref="I295">Scope3_Equations.VEERG_15_5_1_1__1_EmissionsFromPurchasedAgrichemicals($E295,IF(H295,H295,F295))</f>
        <v>0.88000000000000012</v>
      </c>
    </row>
    <row r="296" spans="1:41" ht="20.100000000000001" customHeight="1" x14ac:dyDescent="0.2">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0.61599999999999999</v>
      </c>
      <c r="H296" s="76"/>
      <c r="I296" s="15" cm="1">
        <f t="array" ref="I296">Scope3_Equations.VEERG_15_5_1_1__1_EmissionsFromPurchasedAgrichemicals($E296,IF(H296,H296,F296))</f>
        <v>0.61599999999999999</v>
      </c>
    </row>
    <row r="298" spans="1:41" ht="20.100000000000001" customHeight="1" x14ac:dyDescent="0.2">
      <c r="A298" s="81" t="str">
        <f>HYPERLINK("#A1", "▲ Back to top")</f>
        <v>▲ Back to top</v>
      </c>
      <c r="D298" s="244" t="s">
        <v>863</v>
      </c>
      <c r="E298" s="88">
        <f>SUM(G285:G296)</f>
        <v>7.5159999999999991</v>
      </c>
      <c r="F298" s="97" t="str">
        <f>$E$170</f>
        <v>t CO2e</v>
      </c>
    </row>
    <row r="299" spans="1:41" ht="20.100000000000001" customHeight="1" x14ac:dyDescent="0.2">
      <c r="D299" s="244" t="s">
        <v>866</v>
      </c>
      <c r="E299" s="88">
        <f>SUM(I285:I296)</f>
        <v>7.4959999999999996</v>
      </c>
      <c r="F299" s="97" t="str">
        <f>$E$170</f>
        <v>t CO2e</v>
      </c>
    </row>
    <row r="302" spans="1:41" ht="20.100000000000001" customHeight="1" x14ac:dyDescent="0.2">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row>
    <row r="303" spans="1:41" ht="20.100000000000001" customHeight="1" x14ac:dyDescent="0.2">
      <c r="D303" s="2" t="str" cm="1">
        <f t="array" ref="D303">Scope3_Equations.VEERG_15_6_1_1__1_EmissionsFromPurchasedLime_Title()</f>
        <v>Embedded emissions for purchased lime</v>
      </c>
    </row>
    <row r="304" spans="1:41" ht="20.100000000000001" customHeight="1" x14ac:dyDescent="0.2">
      <c r="D304" s="17" t="str" cm="1">
        <f t="array" ref="D304">Scope3_Equations.VEERG_15_6_1_1__1_EmissionsFromPurchasedLime_Source()</f>
        <v>VEERG 2026: 15.6.1.1, Equation (1)</v>
      </c>
    </row>
    <row r="305" spans="4:13" ht="20.100000000000001" customHeight="1" x14ac:dyDescent="0.2">
      <c r="D305" s="140" t="s">
        <v>402</v>
      </c>
      <c r="E305" s="140" t="str" cm="1">
        <f t="array" aca="1" ref="E305" ca="1">Common_InputFunctions.Utility_DisplayFunctionName(I320)</f>
        <v>=Scope3_Equations.VEERG_15_6_1_1__1_EmissionsFromPurchasedLime</v>
      </c>
    </row>
    <row r="308" spans="4:13" ht="20.100000000000001" customHeight="1" x14ac:dyDescent="0.2">
      <c r="D308" s="77" t="s">
        <v>407</v>
      </c>
      <c r="E308" s="1" t="str" cm="1">
        <f t="array" ref="E308">Scope3_Equations.VEERG_15_6_1_1__1_EmissionsFromPurchasedLime_Variable()</f>
        <v>E</v>
      </c>
    </row>
    <row r="309" spans="4:13" ht="20.100000000000001" customHeight="1" x14ac:dyDescent="0.2">
      <c r="D309" s="77" t="s">
        <v>118</v>
      </c>
      <c r="E309" s="1" t="str" cm="1">
        <f t="array" ref="E309">Scope3_Equations.VEERG_15_6_1_1__1_EmissionsFromPurchasedLime_Unit()</f>
        <v>t CO2e</v>
      </c>
    </row>
    <row r="311" spans="4:13" ht="20.100000000000001" customHeight="1" x14ac:dyDescent="0.2">
      <c r="D311" s="156" t="str" cm="1">
        <f t="array" ref="D311:E312">_xlfn.CHOOSECOLS(Scope3_Equations.VEERG_15_6_1_1__1_EmissionsFromPurchasedLime_Arguments(),1,2)</f>
        <v>M_lime</v>
      </c>
      <c r="E311" s="156" t="str">
        <v>total quantity of lime applied to soils</v>
      </c>
      <c r="F311" s="156" t="str" cm="1">
        <f t="array" ref="F311:G312">_xlfn.CHOOSECOLS(Scope3_Equations.VEERG_15_6_1_1__1_EmissionsFromPurchasedLime_Arguments(),3,4)</f>
        <v>t</v>
      </c>
      <c r="G311" s="240" t="str">
        <v>Input</v>
      </c>
    </row>
    <row r="312" spans="4:13" ht="20.100000000000001" customHeight="1" x14ac:dyDescent="0.2">
      <c r="D312" s="156" t="str">
        <v>EF_l</v>
      </c>
      <c r="E312" s="156" t="str">
        <v>emission factor for purchased lime</v>
      </c>
      <c r="F312" s="156" t="str">
        <v>t CO2e/t</v>
      </c>
      <c r="G312" s="148" t="str">
        <v>Constant</v>
      </c>
    </row>
    <row r="314" spans="4:13" ht="20.100000000000001" customHeight="1" x14ac:dyDescent="0.2">
      <c r="E314" s="144" t="s">
        <v>128</v>
      </c>
      <c r="F314" s="80" t="s">
        <v>129</v>
      </c>
    </row>
    <row r="315" spans="4:13" ht="20.100000000000001" customHeight="1" x14ac:dyDescent="0.2">
      <c r="D315" s="1" t="s">
        <v>937</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20.100000000000001" customHeight="1" x14ac:dyDescent="0.2">
      <c r="D316" s="1" t="s">
        <v>938</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20.100000000000001" customHeight="1" x14ac:dyDescent="0.2">
      <c r="D317" s="1" t="s">
        <v>939</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20.100000000000001" customHeight="1" x14ac:dyDescent="0.2">
      <c r="D319" s="80" t="s">
        <v>790</v>
      </c>
      <c r="E319" s="241" t="s">
        <v>940</v>
      </c>
      <c r="F319" s="80" t="s">
        <v>941</v>
      </c>
      <c r="G319" s="80" t="s">
        <v>942</v>
      </c>
      <c r="H319" s="80" t="s">
        <v>943</v>
      </c>
      <c r="I319" s="144" t="s">
        <v>863</v>
      </c>
      <c r="J319" s="144" t="s">
        <v>944</v>
      </c>
      <c r="K319" s="80" t="s">
        <v>867</v>
      </c>
      <c r="L319" s="80" t="s">
        <v>868</v>
      </c>
      <c r="M319" s="80" t="s">
        <v>869</v>
      </c>
    </row>
    <row r="320" spans="4:13" ht="20.100000000000001" customHeight="1" x14ac:dyDescent="0.2">
      <c r="D320" s="15" t="str" cm="1">
        <f t="array" ref="D320:D329">IFERROR(INDEX(Table_Input_Lime[Product], _xlfn.SEQUENCE(10)), "")</f>
        <v>Lime product 1</v>
      </c>
      <c r="E320" s="15" cm="1">
        <f t="array" ref="E320:E329">IFERROR(INDEX(Table_Input_Lime[Total amount applied (t)], _xlfn.SEQUENCE(10)), 0)</f>
        <v>1000</v>
      </c>
      <c r="F320" s="15" cm="1">
        <f t="array" ref="F320:F329">IFERROR(INDEX(Table_Input_Lime[Percent Lime CaCO3], _xlfn.SEQUENCE(10)), 0)*E320</f>
        <v>800</v>
      </c>
      <c r="G320" s="15" cm="1">
        <f t="array" ref="G320:G329">IFERROR(INDEX(Table_Input_Lime[Percent Dolomite CaMg(CO3)2], _xlfn.SEQUENCE(10)), 0)*E320</f>
        <v>100</v>
      </c>
      <c r="H320" s="15" cm="1">
        <f t="array" ref="H320:H329">IFERROR(INDEX(Table_Input_Lime[Percent Gypsum], _xlfn.SEQUENCE(10)), 0)*E320</f>
        <v>100</v>
      </c>
      <c r="I320" s="242" cm="1">
        <f t="array" ref="I320">Scope3_Equations.VEERG_15_6_1_1__1_EmissionsFromPurchasedLime(F320,$E$315)+
Scope3_Equations.VEERG_15_6_1_1__1_EmissionsFromPurchasedLime(G320,$E$316)+
Scope3_Equations.VEERG_15_6_1_1__1_EmissionsFromPurchasedLime(H320,$E$317)</f>
        <v>5.1839999999999997E-2</v>
      </c>
      <c r="J320" s="242" cm="1">
        <f t="array" ref="J320">Scope3_Equations.VEERG_15_6_1_1__1_EmissionsFromPurchasedLime(F320,IF($F$315,$F$315,$E$315))+
Scope3_Equations.VEERG_15_6_1_1__1_EmissionsFromPurchasedLime(G320,IF($F$316,$F$316,$E$316))+
Scope3_Equations.VEERG_15_6_1_1__1_EmissionsFromPurchasedLime(H320,IF($F$317,$F$317,$E$317))</f>
        <v>4.3999999999999997E-2</v>
      </c>
      <c r="K320" s="34"/>
      <c r="L320" s="13"/>
      <c r="M320" s="34"/>
    </row>
    <row r="321" spans="1:41" ht="20.100000000000001" customHeight="1" x14ac:dyDescent="0.2">
      <c r="D321" s="15" t="str">
        <v>Lime product 2</v>
      </c>
      <c r="E321" s="15">
        <v>1000</v>
      </c>
      <c r="F321" s="15">
        <v>1000</v>
      </c>
      <c r="G321" s="15">
        <v>0</v>
      </c>
      <c r="H321" s="15">
        <v>0</v>
      </c>
      <c r="I321" s="242" cm="1">
        <f t="array" ref="I321">Scope3_Equations.VEERG_15_6_1_1__1_EmissionsFromPurchasedLime(F321,$E$315)+
Scope3_Equations.VEERG_15_6_1_1__1_EmissionsFromPurchasedLime(G321,$E$316)+
Scope3_Equations.VEERG_15_6_1_1__1_EmissionsFromPurchasedLime(H321,$E$317)</f>
        <v>4.8500000000000001E-2</v>
      </c>
      <c r="J321" s="242" cm="1">
        <f t="array" ref="J321">Scope3_Equations.VEERG_15_6_1_1__1_EmissionsFromPurchasedLime(F321,IF($F$315,$F$315,$E$315))+
Scope3_Equations.VEERG_15_6_1_1__1_EmissionsFromPurchasedLime(G321,IF($F$316,$F$316,$E$316))+
Scope3_Equations.VEERG_15_6_1_1__1_EmissionsFromPurchasedLime(H321,IF($F$317,$F$317,$E$317))</f>
        <v>0.04</v>
      </c>
      <c r="K321" s="34"/>
      <c r="L321" s="13"/>
      <c r="M321" s="34"/>
    </row>
    <row r="322" spans="1:41" ht="20.100000000000001" customHeight="1" x14ac:dyDescent="0.2">
      <c r="D322" s="15" t="str">
        <v>Lime product 3</v>
      </c>
      <c r="E322" s="15">
        <v>1000</v>
      </c>
      <c r="F322" s="15">
        <v>0</v>
      </c>
      <c r="G322" s="15">
        <v>0</v>
      </c>
      <c r="H322" s="15">
        <v>1000</v>
      </c>
      <c r="I322" s="242" cm="1">
        <f t="array" ref="I322">Scope3_Equations.VEERG_15_6_1_1__1_EmissionsFromPurchasedLime(F322,$E$315)+
Scope3_Equations.VEERG_15_6_1_1__1_EmissionsFromPurchasedLime(G322,$E$316)+
Scope3_Equations.VEERG_15_6_1_1__1_EmissionsFromPurchasedLime(H322,$E$317)</f>
        <v>6.5199999999999994E-2</v>
      </c>
      <c r="J322" s="242" cm="1">
        <f t="array" ref="J322">Scope3_Equations.VEERG_15_6_1_1__1_EmissionsFromPurchasedLime(F322,IF($F$315,$F$315,$E$315))+
Scope3_Equations.VEERG_15_6_1_1__1_EmissionsFromPurchasedLime(G322,IF($F$316,$F$316,$E$316))+
Scope3_Equations.VEERG_15_6_1_1__1_EmissionsFromPurchasedLime(H322,IF($F$317,$F$317,$E$317))</f>
        <v>6.0000000000000005E-2</v>
      </c>
      <c r="K322" s="34"/>
      <c r="L322" s="13"/>
      <c r="M322" s="34"/>
    </row>
    <row r="323" spans="1:41" ht="20.100000000000001" customHeight="1" x14ac:dyDescent="0.2">
      <c r="D323" s="15" t="str">
        <v/>
      </c>
      <c r="E323" s="15">
        <v>0</v>
      </c>
      <c r="F323" s="15">
        <v>0</v>
      </c>
      <c r="G323" s="15">
        <v>0</v>
      </c>
      <c r="H323" s="15">
        <v>0</v>
      </c>
      <c r="I323" s="242" cm="1">
        <f t="array" ref="I323">Scope3_Equations.VEERG_15_6_1_1__1_EmissionsFromPurchasedLime(F323,$E$315)+
Scope3_Equations.VEERG_15_6_1_1__1_EmissionsFromPurchasedLime(G323,$E$316)+
Scope3_Equations.VEERG_15_6_1_1__1_EmissionsFromPurchasedLime(H323,$E$317)</f>
        <v>0</v>
      </c>
      <c r="J323" s="242" cm="1">
        <f t="array" ref="J323">Scope3_Equations.VEERG_15_6_1_1__1_EmissionsFromPurchasedLime(F323,IF($F$315,$F$315,$E$315))+
Scope3_Equations.VEERG_15_6_1_1__1_EmissionsFromPurchasedLime(G323,IF($F$316,$F$316,$E$316))+
Scope3_Equations.VEERG_15_6_1_1__1_EmissionsFromPurchasedLime(H323,IF($F$317,$F$317,$E$317))</f>
        <v>0</v>
      </c>
      <c r="K323" s="34"/>
      <c r="L323" s="13"/>
      <c r="M323" s="34"/>
    </row>
    <row r="324" spans="1:41" ht="20.100000000000001" customHeight="1" x14ac:dyDescent="0.2">
      <c r="D324" s="15" t="str">
        <v/>
      </c>
      <c r="E324" s="15">
        <v>0</v>
      </c>
      <c r="F324" s="15">
        <v>0</v>
      </c>
      <c r="G324" s="15">
        <v>0</v>
      </c>
      <c r="H324" s="15">
        <v>0</v>
      </c>
      <c r="I324" s="242" cm="1">
        <f t="array" ref="I324">Scope3_Equations.VEERG_15_6_1_1__1_EmissionsFromPurchasedLime(F324,$E$315)+
Scope3_Equations.VEERG_15_6_1_1__1_EmissionsFromPurchasedLime(G324,$E$316)+
Scope3_Equations.VEERG_15_6_1_1__1_EmissionsFromPurchasedLime(H324,$E$317)</f>
        <v>0</v>
      </c>
      <c r="J324" s="242" cm="1">
        <f t="array" ref="J324">Scope3_Equations.VEERG_15_6_1_1__1_EmissionsFromPurchasedLime(F324,IF($F$315,$F$315,$E$315))+
Scope3_Equations.VEERG_15_6_1_1__1_EmissionsFromPurchasedLime(G324,IF($F$316,$F$316,$E$316))+
Scope3_Equations.VEERG_15_6_1_1__1_EmissionsFromPurchasedLime(H324,IF($F$317,$F$317,$E$317))</f>
        <v>0</v>
      </c>
      <c r="K324" s="34"/>
      <c r="L324" s="13"/>
      <c r="M324" s="34"/>
    </row>
    <row r="325" spans="1:41" ht="20.100000000000001" customHeight="1" x14ac:dyDescent="0.2">
      <c r="D325" s="15" t="str">
        <v/>
      </c>
      <c r="E325" s="15">
        <v>0</v>
      </c>
      <c r="F325" s="15">
        <v>0</v>
      </c>
      <c r="G325" s="15">
        <v>0</v>
      </c>
      <c r="H325" s="15">
        <v>0</v>
      </c>
      <c r="I325" s="242" cm="1">
        <f t="array" ref="I325">Scope3_Equations.VEERG_15_6_1_1__1_EmissionsFromPurchasedLime(F325,$E$315)+
Scope3_Equations.VEERG_15_6_1_1__1_EmissionsFromPurchasedLime(G325,$E$316)+
Scope3_Equations.VEERG_15_6_1_1__1_EmissionsFromPurchasedLime(H325,$E$317)</f>
        <v>0</v>
      </c>
      <c r="J325" s="242" cm="1">
        <f t="array" ref="J325">Scope3_Equations.VEERG_15_6_1_1__1_EmissionsFromPurchasedLime(F325,IF($F$315,$F$315,$E$315))+
Scope3_Equations.VEERG_15_6_1_1__1_EmissionsFromPurchasedLime(G325,IF($F$316,$F$316,$E$316))+
Scope3_Equations.VEERG_15_6_1_1__1_EmissionsFromPurchasedLime(H325,IF($F$317,$F$317,$E$317))</f>
        <v>0</v>
      </c>
      <c r="K325" s="34"/>
      <c r="L325" s="13"/>
      <c r="M325" s="34"/>
    </row>
    <row r="326" spans="1:41" ht="20.100000000000001" customHeight="1" x14ac:dyDescent="0.2">
      <c r="D326" s="15" t="str">
        <v/>
      </c>
      <c r="E326" s="15">
        <v>0</v>
      </c>
      <c r="F326" s="15">
        <v>0</v>
      </c>
      <c r="G326" s="15">
        <v>0</v>
      </c>
      <c r="H326" s="15">
        <v>0</v>
      </c>
      <c r="I326" s="242" cm="1">
        <f t="array" ref="I326">Scope3_Equations.VEERG_15_6_1_1__1_EmissionsFromPurchasedLime(F326,$E$315)+
Scope3_Equations.VEERG_15_6_1_1__1_EmissionsFromPurchasedLime(G326,$E$316)+
Scope3_Equations.VEERG_15_6_1_1__1_EmissionsFromPurchasedLime(H326,$E$317)</f>
        <v>0</v>
      </c>
      <c r="J326" s="242" cm="1">
        <f t="array" ref="J326">Scope3_Equations.VEERG_15_6_1_1__1_EmissionsFromPurchasedLime(F326,IF($F$315,$F$315,$E$315))+
Scope3_Equations.VEERG_15_6_1_1__1_EmissionsFromPurchasedLime(G326,IF($F$316,$F$316,$E$316))+
Scope3_Equations.VEERG_15_6_1_1__1_EmissionsFromPurchasedLime(H326,IF($F$317,$F$317,$E$317))</f>
        <v>0</v>
      </c>
      <c r="K326" s="34"/>
      <c r="L326" s="13"/>
      <c r="M326" s="34"/>
    </row>
    <row r="327" spans="1:41" ht="20.100000000000001" customHeight="1" x14ac:dyDescent="0.2">
      <c r="D327" s="15" t="str">
        <v/>
      </c>
      <c r="E327" s="15">
        <v>0</v>
      </c>
      <c r="F327" s="15">
        <v>0</v>
      </c>
      <c r="G327" s="15">
        <v>0</v>
      </c>
      <c r="H327" s="15">
        <v>0</v>
      </c>
      <c r="I327" s="242" cm="1">
        <f t="array" ref="I327">Scope3_Equations.VEERG_15_6_1_1__1_EmissionsFromPurchasedLime(F327,$E$315)+
Scope3_Equations.VEERG_15_6_1_1__1_EmissionsFromPurchasedLime(G327,$E$316)+
Scope3_Equations.VEERG_15_6_1_1__1_EmissionsFromPurchasedLime(H327,$E$317)</f>
        <v>0</v>
      </c>
      <c r="J327" s="242" cm="1">
        <f t="array" ref="J327">Scope3_Equations.VEERG_15_6_1_1__1_EmissionsFromPurchasedLime(F327,IF($F$315,$F$315,$E$315))+
Scope3_Equations.VEERG_15_6_1_1__1_EmissionsFromPurchasedLime(G327,IF($F$316,$F$316,$E$316))+
Scope3_Equations.VEERG_15_6_1_1__1_EmissionsFromPurchasedLime(H327,IF($F$317,$F$317,$E$317))</f>
        <v>0</v>
      </c>
      <c r="K327" s="34"/>
      <c r="L327" s="13"/>
      <c r="M327" s="34"/>
    </row>
    <row r="328" spans="1:41" ht="20.100000000000001" customHeight="1" x14ac:dyDescent="0.2">
      <c r="A328" s="81" t="str">
        <f>HYPERLINK("#A1", "▲ Back to top")</f>
        <v>▲ Back to top</v>
      </c>
      <c r="D328" s="15" t="str">
        <v/>
      </c>
      <c r="E328" s="15">
        <v>0</v>
      </c>
      <c r="F328" s="15">
        <v>0</v>
      </c>
      <c r="G328" s="15">
        <v>0</v>
      </c>
      <c r="H328" s="15">
        <v>0</v>
      </c>
      <c r="I328" s="242" cm="1">
        <f t="array" ref="I328">Scope3_Equations.VEERG_15_6_1_1__1_EmissionsFromPurchasedLime(F328,$E$315)+
Scope3_Equations.VEERG_15_6_1_1__1_EmissionsFromPurchasedLime(G328,$E$316)+
Scope3_Equations.VEERG_15_6_1_1__1_EmissionsFromPurchasedLime(H328,$E$317)</f>
        <v>0</v>
      </c>
      <c r="J328" s="242" cm="1">
        <f t="array" ref="J328">Scope3_Equations.VEERG_15_6_1_1__1_EmissionsFromPurchasedLime(F328,IF($F$315,$F$315,$E$315))+
Scope3_Equations.VEERG_15_6_1_1__1_EmissionsFromPurchasedLime(G328,IF($F$316,$F$316,$E$316))+
Scope3_Equations.VEERG_15_6_1_1__1_EmissionsFromPurchasedLime(H328,IF($F$317,$F$317,$E$317))</f>
        <v>0</v>
      </c>
      <c r="K328" s="34"/>
      <c r="L328" s="13"/>
      <c r="M328" s="34"/>
    </row>
    <row r="329" spans="1:41" ht="20.100000000000001" customHeight="1" x14ac:dyDescent="0.2">
      <c r="D329" s="15" t="str">
        <v/>
      </c>
      <c r="E329" s="15">
        <v>0</v>
      </c>
      <c r="F329" s="15">
        <v>0</v>
      </c>
      <c r="G329" s="15">
        <v>0</v>
      </c>
      <c r="H329" s="15">
        <v>0</v>
      </c>
      <c r="I329" s="242" cm="1">
        <f t="array" ref="I329">Scope3_Equations.VEERG_15_6_1_1__1_EmissionsFromPurchasedLime(F329,$E$315)+
Scope3_Equations.VEERG_15_6_1_1__1_EmissionsFromPurchasedLime(G329,$E$316)+
Scope3_Equations.VEERG_15_6_1_1__1_EmissionsFromPurchasedLime(H329,$E$317)</f>
        <v>0</v>
      </c>
      <c r="J329" s="242" cm="1">
        <f t="array" ref="J329">Scope3_Equations.VEERG_15_6_1_1__1_EmissionsFromPurchasedLime(F329,IF($F$315,$F$315,$E$315))+
Scope3_Equations.VEERG_15_6_1_1__1_EmissionsFromPurchasedLime(G329,IF($F$316,$F$316,$E$316))+
Scope3_Equations.VEERG_15_6_1_1__1_EmissionsFromPurchasedLime(H329,IF($F$317,$F$317,$E$317))</f>
        <v>0</v>
      </c>
      <c r="K329" s="34"/>
      <c r="L329" s="13"/>
      <c r="M329" s="34"/>
    </row>
    <row r="331" spans="1:41" ht="20.100000000000001" customHeight="1" x14ac:dyDescent="0.2">
      <c r="D331" s="244" t="s">
        <v>863</v>
      </c>
      <c r="E331" s="88">
        <f>SUM(I320:I329)</f>
        <v>0.16553999999999999</v>
      </c>
      <c r="F331" s="97" t="str">
        <f>$E$170</f>
        <v>t CO2e</v>
      </c>
    </row>
    <row r="332" spans="1:41" ht="20.100000000000001" customHeight="1" x14ac:dyDescent="0.2">
      <c r="D332" s="244" t="s">
        <v>866</v>
      </c>
      <c r="E332" s="88">
        <f>SUM(J320:J329)</f>
        <v>0.14399999999999999</v>
      </c>
      <c r="F332" s="97" t="str">
        <f>$E$170</f>
        <v>t CO2e</v>
      </c>
    </row>
    <row r="335" spans="1:41" ht="20.100000000000001" customHeight="1" x14ac:dyDescent="0.2">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c r="AN335" s="85"/>
      <c r="AO335" s="85"/>
    </row>
    <row r="336" spans="1:41" ht="20.100000000000001" customHeight="1" x14ac:dyDescent="0.2">
      <c r="D336" s="2" t="str" cm="1">
        <f t="array" ref="D336">Scope3_Equations.VEERG_15_7_1_1__1_EmissionsFromPurchasedServices_Title()</f>
        <v>Emissions of purchased services and contractor operations</v>
      </c>
    </row>
    <row r="337" spans="4:15" ht="20.100000000000001" customHeight="1" x14ac:dyDescent="0.2">
      <c r="D337" s="17" t="str" cm="1">
        <f t="array" ref="D337">Scope3_Equations.VEERG_15_7_1_1__1_EmissionsFromPurchasedServices_Source()</f>
        <v>VEERG 2026: 15.7.1.1, Equation (1)</v>
      </c>
    </row>
    <row r="338" spans="4:15" ht="20.100000000000001" customHeight="1" x14ac:dyDescent="0.2">
      <c r="D338" s="140" t="s">
        <v>402</v>
      </c>
      <c r="E338" s="140" t="str" cm="1">
        <f t="array" aca="1" ref="E338" ca="1">Common_InputFunctions.Utility_DisplayFunctionName(K351)</f>
        <v>=Scope3_Equations.VEERG_15_7_1_1__1_EmissionsFromPurchasedServices</v>
      </c>
    </row>
    <row r="340" spans="4:15" ht="20.100000000000001" customHeight="1" x14ac:dyDescent="0.2">
      <c r="H340" s="1" t="s">
        <v>945</v>
      </c>
    </row>
    <row r="341" spans="4:15" ht="20.100000000000001" customHeight="1" x14ac:dyDescent="0.2">
      <c r="D341" s="77" t="s">
        <v>407</v>
      </c>
      <c r="E341" s="1" t="str" cm="1">
        <f t="array" ref="E341">Scope3_Equations.VEERG_15_7_1_1__1_EmissionsFromPurchasedServices_Variable()</f>
        <v>E</v>
      </c>
    </row>
    <row r="342" spans="4:15" ht="20.100000000000001" customHeight="1" x14ac:dyDescent="0.2">
      <c r="D342" s="77" t="s">
        <v>118</v>
      </c>
      <c r="E342" s="1" t="str" cm="1">
        <f t="array" ref="E342">Scope3_Equations.VEERG_15_7_1_1__1_EmissionsFromPurchasedServices_Unit()</f>
        <v>t CO2e</v>
      </c>
    </row>
    <row r="344" spans="4:15" ht="20.100000000000001" customHeight="1" x14ac:dyDescent="0.2">
      <c r="D344" s="156" t="str" cm="1">
        <f t="array" ref="D344:E346">_xlfn.CHOOSECOLS(Scope3_Equations.VEERG_15_7_1_1__1_EmissionsFromPurchasedServices_Arguments(),1,2)</f>
        <v>A_p</v>
      </c>
      <c r="E344" s="153" t="str">
        <v>activity data of the service that was purchased</v>
      </c>
      <c r="F344" s="165"/>
      <c r="G344" s="156" t="str" cm="1">
        <f t="array" ref="G344:H346">_xlfn.CHOOSECOLS(Scope3_Equations.VEERG_15_7_1_1__1_EmissionsFromPurchasedServices_Arguments(),3,4)</f>
        <v>ha or h</v>
      </c>
      <c r="H344" s="240" t="str">
        <v>Input</v>
      </c>
    </row>
    <row r="345" spans="4:15" ht="20.100000000000001" customHeight="1" x14ac:dyDescent="0.2">
      <c r="D345" s="156" t="str">
        <v>EF_p</v>
      </c>
      <c r="E345" s="153" t="str">
        <v>life cycle emission factor for the purchased service</v>
      </c>
      <c r="F345" s="165"/>
      <c r="G345" s="156" t="str">
        <v>kg CO2e/ha or kg CO2e/h</v>
      </c>
      <c r="H345" s="148" t="str">
        <v>Constant</v>
      </c>
    </row>
    <row r="346" spans="4:15" ht="20.100000000000001" customHeight="1" x14ac:dyDescent="0.2">
      <c r="D346" s="156" t="str">
        <v>p</v>
      </c>
      <c r="E346" s="153" t="str">
        <v>service type</v>
      </c>
      <c r="F346" s="165"/>
      <c r="G346" s="156" t="str">
        <v/>
      </c>
      <c r="H346" s="240" t="str">
        <v>Input</v>
      </c>
    </row>
    <row r="348" spans="4:15" ht="20.100000000000001" customHeight="1" x14ac:dyDescent="0.2">
      <c r="D348" s="26" t="s">
        <v>946</v>
      </c>
    </row>
    <row r="350" spans="4:15" ht="20.100000000000001" customHeight="1" x14ac:dyDescent="0.2">
      <c r="D350" s="80" t="s">
        <v>800</v>
      </c>
      <c r="E350" s="80" t="s">
        <v>801</v>
      </c>
      <c r="F350" s="80" t="s">
        <v>802</v>
      </c>
      <c r="G350" s="80" t="s">
        <v>587</v>
      </c>
      <c r="H350" s="144" t="s">
        <v>947</v>
      </c>
      <c r="I350" s="144" t="s">
        <v>948</v>
      </c>
      <c r="J350" s="80" t="s">
        <v>949</v>
      </c>
      <c r="K350" s="144" t="s">
        <v>950</v>
      </c>
      <c r="L350" s="144" t="s">
        <v>951</v>
      </c>
      <c r="M350" s="80" t="s">
        <v>867</v>
      </c>
      <c r="N350" s="80" t="s">
        <v>868</v>
      </c>
      <c r="O350" s="80" t="s">
        <v>869</v>
      </c>
    </row>
    <row r="351" spans="4: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952</v>
      </c>
      <c r="I351" s="15" t="s">
        <v>952</v>
      </c>
      <c r="J351" s="76">
        <v>0.1</v>
      </c>
      <c r="K351" s="242" cm="1">
        <f t="array" ref="K351">Scope3_Equations.VEERG_15_7_1_1__1_EmissionsFromPurchasedServices(F351,J351)</f>
        <v>1</v>
      </c>
      <c r="L351" s="15" t="str">
        <f>"t CO2e / " &amp; G351</f>
        <v>t CO2e / Hour</v>
      </c>
      <c r="M351" s="34"/>
      <c r="N351" s="13"/>
      <c r="O351" s="34"/>
    </row>
    <row r="352" spans="4:15" ht="20.100000000000001" customHeight="1" x14ac:dyDescent="0.2">
      <c r="D352" s="15" t="str">
        <v>Harini's Harvesting Services Pty Ltd</v>
      </c>
      <c r="E352" s="15" t="str">
        <v>Wheat harvesting</v>
      </c>
      <c r="F352" s="15">
        <v>1000</v>
      </c>
      <c r="G352" s="15" t="str">
        <v>Hectare</v>
      </c>
      <c r="H352" s="15" t="s">
        <v>952</v>
      </c>
      <c r="I352" s="15" t="s">
        <v>952</v>
      </c>
      <c r="J352" s="76">
        <v>0.1</v>
      </c>
      <c r="K352" s="242" cm="1">
        <f t="array" ref="K352">Scope3_Equations.VEERG_15_7_1_1__1_EmissionsFromPurchasedServices(F352,J352)</f>
        <v>0.1</v>
      </c>
      <c r="L352" s="15" t="str">
        <f t="shared" ref="L352:L360" si="1">"t CO2e / " &amp; G352</f>
        <v>t CO2e / Hectare</v>
      </c>
      <c r="M352" s="34"/>
      <c r="N352" s="13"/>
      <c r="O352" s="34"/>
    </row>
    <row r="353" spans="1:41" ht="20.100000000000001" customHeight="1" x14ac:dyDescent="0.2">
      <c r="D353" s="15">
        <v>0</v>
      </c>
      <c r="E353" s="15">
        <v>0</v>
      </c>
      <c r="F353" s="15">
        <v>0</v>
      </c>
      <c r="G353" s="15">
        <v>0</v>
      </c>
      <c r="H353" s="15" t="s">
        <v>952</v>
      </c>
      <c r="I353" s="15" t="s">
        <v>952</v>
      </c>
      <c r="J353" s="76"/>
      <c r="K353" s="242" cm="1">
        <f t="array" ref="K353">Scope3_Equations.VEERG_15_7_1_1__1_EmissionsFromPurchasedServices(F353,J353)</f>
        <v>0</v>
      </c>
      <c r="L353" s="15" t="str">
        <f t="shared" si="1"/>
        <v>t CO2e / 0</v>
      </c>
      <c r="M353" s="34"/>
      <c r="N353" s="13"/>
      <c r="O353" s="34"/>
    </row>
    <row r="354" spans="1:41" ht="20.100000000000001" customHeight="1" x14ac:dyDescent="0.2">
      <c r="D354" s="15">
        <v>0</v>
      </c>
      <c r="E354" s="15">
        <v>0</v>
      </c>
      <c r="F354" s="15">
        <v>0</v>
      </c>
      <c r="G354" s="15">
        <v>0</v>
      </c>
      <c r="H354" s="15" t="s">
        <v>952</v>
      </c>
      <c r="I354" s="15" t="s">
        <v>952</v>
      </c>
      <c r="J354" s="76"/>
      <c r="K354" s="242" cm="1">
        <f t="array" ref="K354">Scope3_Equations.VEERG_15_7_1_1__1_EmissionsFromPurchasedServices(F354,J354)</f>
        <v>0</v>
      </c>
      <c r="L354" s="15" t="str">
        <f t="shared" si="1"/>
        <v>t CO2e / 0</v>
      </c>
      <c r="M354" s="34"/>
      <c r="N354" s="13"/>
      <c r="O354" s="34"/>
    </row>
    <row r="355" spans="1:41" ht="20.100000000000001" customHeight="1" x14ac:dyDescent="0.2">
      <c r="D355" s="15">
        <v>0</v>
      </c>
      <c r="E355" s="15">
        <v>0</v>
      </c>
      <c r="F355" s="15">
        <v>0</v>
      </c>
      <c r="G355" s="15">
        <v>0</v>
      </c>
      <c r="H355" s="15" t="s">
        <v>952</v>
      </c>
      <c r="I355" s="15" t="s">
        <v>952</v>
      </c>
      <c r="J355" s="76"/>
      <c r="K355" s="242" cm="1">
        <f t="array" ref="K355">Scope3_Equations.VEERG_15_7_1_1__1_EmissionsFromPurchasedServices(F355,J355)</f>
        <v>0</v>
      </c>
      <c r="L355" s="15" t="str">
        <f t="shared" si="1"/>
        <v>t CO2e / 0</v>
      </c>
      <c r="M355" s="34"/>
      <c r="N355" s="13"/>
      <c r="O355" s="34"/>
    </row>
    <row r="356" spans="1:41" ht="20.100000000000001" customHeight="1" x14ac:dyDescent="0.2">
      <c r="D356" s="15">
        <v>0</v>
      </c>
      <c r="E356" s="15">
        <v>0</v>
      </c>
      <c r="F356" s="15">
        <v>0</v>
      </c>
      <c r="G356" s="15">
        <v>0</v>
      </c>
      <c r="H356" s="15" t="s">
        <v>952</v>
      </c>
      <c r="I356" s="15" t="s">
        <v>952</v>
      </c>
      <c r="J356" s="76"/>
      <c r="K356" s="242" cm="1">
        <f t="array" ref="K356">Scope3_Equations.VEERG_15_7_1_1__1_EmissionsFromPurchasedServices(F356,J356)</f>
        <v>0</v>
      </c>
      <c r="L356" s="15" t="str">
        <f t="shared" si="1"/>
        <v>t CO2e / 0</v>
      </c>
      <c r="M356" s="34"/>
      <c r="N356" s="13"/>
      <c r="O356" s="34"/>
    </row>
    <row r="357" spans="1:41" ht="20.100000000000001" customHeight="1" x14ac:dyDescent="0.2">
      <c r="D357" s="15">
        <v>0</v>
      </c>
      <c r="E357" s="15">
        <v>0</v>
      </c>
      <c r="F357" s="15">
        <v>0</v>
      </c>
      <c r="G357" s="15">
        <v>0</v>
      </c>
      <c r="H357" s="15" t="s">
        <v>952</v>
      </c>
      <c r="I357" s="15" t="s">
        <v>952</v>
      </c>
      <c r="J357" s="76"/>
      <c r="K357" s="242" cm="1">
        <f t="array" ref="K357">Scope3_Equations.VEERG_15_7_1_1__1_EmissionsFromPurchasedServices(F357,J357)</f>
        <v>0</v>
      </c>
      <c r="L357" s="15" t="str">
        <f t="shared" si="1"/>
        <v>t CO2e / 0</v>
      </c>
      <c r="M357" s="34"/>
      <c r="N357" s="13"/>
      <c r="O357" s="34"/>
    </row>
    <row r="358" spans="1:41" ht="20.100000000000001" customHeight="1" x14ac:dyDescent="0.2">
      <c r="A358" s="81" t="str">
        <f>HYPERLINK("#A1", "▲ Back to top")</f>
        <v>▲ Back to top</v>
      </c>
      <c r="D358" s="15">
        <v>0</v>
      </c>
      <c r="E358" s="15">
        <v>0</v>
      </c>
      <c r="F358" s="15">
        <v>0</v>
      </c>
      <c r="G358" s="15">
        <v>0</v>
      </c>
      <c r="H358" s="15" t="s">
        <v>952</v>
      </c>
      <c r="I358" s="15" t="s">
        <v>952</v>
      </c>
      <c r="J358" s="76"/>
      <c r="K358" s="242" cm="1">
        <f t="array" ref="K358">Scope3_Equations.VEERG_15_7_1_1__1_EmissionsFromPurchasedServices(F358,J358)</f>
        <v>0</v>
      </c>
      <c r="L358" s="15" t="str">
        <f t="shared" si="1"/>
        <v>t CO2e / 0</v>
      </c>
      <c r="M358" s="34"/>
      <c r="N358" s="13"/>
      <c r="O358" s="34"/>
    </row>
    <row r="359" spans="1:41" ht="20.100000000000001" customHeight="1" x14ac:dyDescent="0.2">
      <c r="D359" s="15">
        <v>0</v>
      </c>
      <c r="E359" s="15">
        <v>0</v>
      </c>
      <c r="F359" s="15">
        <v>0</v>
      </c>
      <c r="G359" s="15">
        <v>0</v>
      </c>
      <c r="H359" s="15" t="s">
        <v>952</v>
      </c>
      <c r="I359" s="15" t="s">
        <v>952</v>
      </c>
      <c r="J359" s="76"/>
      <c r="K359" s="242" cm="1">
        <f t="array" ref="K359">Scope3_Equations.VEERG_15_7_1_1__1_EmissionsFromPurchasedServices(F359,J359)</f>
        <v>0</v>
      </c>
      <c r="L359" s="15" t="str">
        <f t="shared" si="1"/>
        <v>t CO2e / 0</v>
      </c>
      <c r="M359" s="34"/>
      <c r="N359" s="13"/>
      <c r="O359" s="34"/>
    </row>
    <row r="360" spans="1:41" ht="20.100000000000001" customHeight="1" x14ac:dyDescent="0.2">
      <c r="D360" s="15">
        <v>0</v>
      </c>
      <c r="E360" s="15">
        <v>0</v>
      </c>
      <c r="F360" s="15">
        <v>0</v>
      </c>
      <c r="G360" s="15">
        <v>0</v>
      </c>
      <c r="H360" s="15" t="s">
        <v>952</v>
      </c>
      <c r="I360" s="15" t="s">
        <v>952</v>
      </c>
      <c r="J360" s="76"/>
      <c r="K360" s="242" cm="1">
        <f t="array" ref="K360">Scope3_Equations.VEERG_15_7_1_1__1_EmissionsFromPurchasedServices(F360,J360)</f>
        <v>0</v>
      </c>
      <c r="L360" s="15" t="str">
        <f t="shared" si="1"/>
        <v>t CO2e / 0</v>
      </c>
      <c r="M360" s="34"/>
      <c r="N360" s="13"/>
      <c r="O360" s="34"/>
    </row>
    <row r="362" spans="1:41" ht="20.100000000000001" customHeight="1" x14ac:dyDescent="0.2">
      <c r="D362" s="244" t="s">
        <v>863</v>
      </c>
      <c r="E362" s="88" t="s">
        <v>952</v>
      </c>
      <c r="F362" s="97" t="str">
        <f>$E$170</f>
        <v>t CO2e</v>
      </c>
    </row>
    <row r="363" spans="1:41" ht="20.100000000000001" customHeight="1" x14ac:dyDescent="0.2">
      <c r="D363" s="244" t="s">
        <v>866</v>
      </c>
      <c r="E363" s="88">
        <f>SUM(K351:K360)</f>
        <v>1.1000000000000001</v>
      </c>
      <c r="F363" s="97" t="str">
        <f>$E$170</f>
        <v>t CO2e</v>
      </c>
    </row>
    <row r="366" spans="1:41" ht="20.100000000000001" customHeight="1" x14ac:dyDescent="0.2">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c r="AK366" s="85"/>
      <c r="AL366" s="85"/>
      <c r="AM366" s="85"/>
      <c r="AN366" s="85"/>
      <c r="AO366" s="85"/>
    </row>
    <row r="367" spans="1:41" ht="20.100000000000001" customHeight="1" x14ac:dyDescent="0.2">
      <c r="D367" s="2" t="str" cm="1">
        <f t="array" ref="D367">Scope3_Equations.VEERG_15_8_1_1__1_EmissionsFromPurchasedPackaging_Title()</f>
        <v>Embedded emissions from use of packaging materials</v>
      </c>
    </row>
    <row r="368" spans="1:41" ht="20.100000000000001" customHeight="1" x14ac:dyDescent="0.2">
      <c r="D368" s="17" t="str" cm="1">
        <f t="array" ref="D368">Scope3_Equations.VEERG_15_8_1_1__1_EmissionsFromPurchasedPackaging_Source()</f>
        <v>VEERG 2026: 15.8.1.1, Equation (1)</v>
      </c>
    </row>
    <row r="369" spans="4:13" ht="20.100000000000001" customHeight="1" x14ac:dyDescent="0.2">
      <c r="D369" s="26" t="str" cm="1">
        <f t="array" ref="D369">Scope3_Equations.VEERG_15_8_1_1__1_EmissionsFromPurchasedPackaging_Variation()</f>
        <v>VARIATION ON SOURCE: Changed unit of Q from 'units' to 'kg' as EF data is in kg.</v>
      </c>
    </row>
    <row r="370" spans="4:13" ht="20.100000000000001" customHeight="1" x14ac:dyDescent="0.2">
      <c r="D370" s="140" t="s">
        <v>402</v>
      </c>
      <c r="E370" s="140" t="str" cm="1">
        <f t="array" aca="1" ref="E370" ca="1">Common_InputFunctions.Utility_DisplayFunctionName(H382)</f>
        <v>=Scope3_Equations.VEERG_15_8_1_1__1_EmissionsFromPurchasedPackaging</v>
      </c>
    </row>
    <row r="374" spans="4:13" ht="20.100000000000001" customHeight="1" x14ac:dyDescent="0.2">
      <c r="D374" s="77" t="s">
        <v>407</v>
      </c>
      <c r="E374" s="1" t="str" cm="1">
        <f t="array" ref="E374">Scope3_Equations.VEERG_15_8_1_1__1_EmissionsFromPurchasedPackaging_Variable()</f>
        <v>E</v>
      </c>
    </row>
    <row r="375" spans="4:13" ht="20.100000000000001" customHeight="1" x14ac:dyDescent="0.2">
      <c r="D375" s="77" t="s">
        <v>118</v>
      </c>
      <c r="E375" s="9" t="str" cm="1">
        <f t="array" ref="E375">Scope3_Equations.VEERG_15_8_1_1__1_EmissionsFromPurchasedPackaging_Unit()</f>
        <v>t CO2e</v>
      </c>
    </row>
    <row r="377" spans="4:13" ht="20.100000000000001" customHeight="1" x14ac:dyDescent="0.2">
      <c r="D377" s="156" t="str" cm="1">
        <f t="array" ref="D377:E379">_xlfn.CHOOSECOLS(Scope3_Equations.VEERG_15_8_1_1__1_EmissionsFromPurchasedPackaging_Arguments(),1,2)</f>
        <v>Q_p</v>
      </c>
      <c r="E377" s="156" t="str">
        <v>units of packaging type p</v>
      </c>
      <c r="F377" s="156" t="str" cm="1">
        <f t="array" ref="F377:G379">_xlfn.CHOOSECOLS(Scope3_Equations.VEERG_15_8_1_1__1_EmissionsFromPurchasedPackaging_Arguments(),3,4)</f>
        <v>units</v>
      </c>
      <c r="G377" s="240" t="str">
        <v>Input</v>
      </c>
    </row>
    <row r="378" spans="4:13" ht="20.100000000000001" customHeight="1" x14ac:dyDescent="0.2">
      <c r="D378" s="156" t="str">
        <v>EF_p</v>
      </c>
      <c r="E378" s="156" t="str">
        <v>emission factor for packaging type p</v>
      </c>
      <c r="F378" s="156" t="str">
        <v>kg CO2e/unit</v>
      </c>
      <c r="G378" s="148" t="str">
        <v>Constant</v>
      </c>
    </row>
    <row r="379" spans="4:13" ht="20.100000000000001" customHeight="1" x14ac:dyDescent="0.2">
      <c r="D379" s="156" t="str">
        <v>p</v>
      </c>
      <c r="E379" s="156" t="str">
        <v>packaging type</v>
      </c>
      <c r="F379" s="156" t="str">
        <v/>
      </c>
      <c r="G379" s="240" t="str">
        <v>Input</v>
      </c>
    </row>
    <row r="381" spans="4:13" ht="20.100000000000001" customHeight="1" x14ac:dyDescent="0.2">
      <c r="D381" s="80" t="s">
        <v>857</v>
      </c>
      <c r="E381" s="241" t="s">
        <v>953</v>
      </c>
      <c r="F381" s="241" t="s">
        <v>954</v>
      </c>
      <c r="G381" s="144" t="s">
        <v>955</v>
      </c>
      <c r="H381" s="144" t="s">
        <v>863</v>
      </c>
      <c r="I381" s="80" t="s">
        <v>956</v>
      </c>
      <c r="J381" s="144" t="s">
        <v>866</v>
      </c>
      <c r="K381" s="80" t="s">
        <v>867</v>
      </c>
      <c r="L381" s="80" t="s">
        <v>868</v>
      </c>
      <c r="M381" s="80" t="s">
        <v>869</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42" cm="1">
        <f t="array" ref="H382">Scope3_Equations.VEERG_15_8_1_1__1_EmissionsFromPurchasedPackaging(F382,G382)</f>
        <v>0</v>
      </c>
      <c r="I382" s="76">
        <v>3</v>
      </c>
      <c r="J382" s="242" cm="1">
        <f t="array" ref="J382">Scope3_Equations.VEERG_15_8_1_1__1_EmissionsFromPurchasedPackaging(F382,IF(I382,I382,G382))</f>
        <v>0</v>
      </c>
      <c r="K382" s="34"/>
      <c r="L382" s="13"/>
      <c r="M382" s="34"/>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42" cm="1">
        <f t="array" ref="H383">Scope3_Equations.VEERG_15_8_1_1__1_EmissionsFromPurchasedPackaging(F383,G383)</f>
        <v>0</v>
      </c>
      <c r="I383" s="76"/>
      <c r="J383" s="242" cm="1">
        <f t="array" ref="J383">Scope3_Equations.VEERG_15_8_1_1__1_EmissionsFromPurchasedPackaging(F383,IF(I383,I383,G383))</f>
        <v>0</v>
      </c>
      <c r="K383" s="34"/>
      <c r="L383" s="13"/>
      <c r="M383" s="34"/>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42" cm="1">
        <f t="array" ref="H384">Scope3_Equations.VEERG_15_8_1_1__1_EmissionsFromPurchasedPackaging(F384,G384)</f>
        <v>0</v>
      </c>
      <c r="I384" s="76"/>
      <c r="J384" s="242" cm="1">
        <f t="array" ref="J384">Scope3_Equations.VEERG_15_8_1_1__1_EmissionsFromPurchasedPackaging(F384,IF(I384,I384,G384))</f>
        <v>0</v>
      </c>
      <c r="K384" s="34"/>
      <c r="L384" s="13"/>
      <c r="M384" s="34"/>
    </row>
    <row r="385" spans="1: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42" cm="1">
        <f t="array" ref="H385">Scope3_Equations.VEERG_15_8_1_1__1_EmissionsFromPurchasedPackaging(F385,G385)</f>
        <v>0</v>
      </c>
      <c r="I385" s="76"/>
      <c r="J385" s="242" cm="1">
        <f t="array" ref="J385">Scope3_Equations.VEERG_15_8_1_1__1_EmissionsFromPurchasedPackaging(F385,IF(I385,I385,G385))</f>
        <v>0</v>
      </c>
      <c r="K385" s="34"/>
      <c r="L385" s="13"/>
      <c r="M385" s="34"/>
    </row>
    <row r="386" spans="1: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42" cm="1">
        <f t="array" ref="H386">Scope3_Equations.VEERG_15_8_1_1__1_EmissionsFromPurchasedPackaging(F386,G386)</f>
        <v>0</v>
      </c>
      <c r="I386" s="76"/>
      <c r="J386" s="242" cm="1">
        <f t="array" ref="J386">Scope3_Equations.VEERG_15_8_1_1__1_EmissionsFromPurchasedPackaging(F386,IF(I386,I386,G386))</f>
        <v>0</v>
      </c>
      <c r="K386" s="34"/>
      <c r="L386" s="13"/>
      <c r="M386" s="34"/>
    </row>
    <row r="387" spans="1: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42" cm="1">
        <f t="array" ref="H387">Scope3_Equations.VEERG_15_8_1_1__1_EmissionsFromPurchasedPackaging(F387,G387)</f>
        <v>0</v>
      </c>
      <c r="I387" s="76"/>
      <c r="J387" s="242" cm="1">
        <f t="array" ref="J387">Scope3_Equations.VEERG_15_8_1_1__1_EmissionsFromPurchasedPackaging(F387,IF(I387,I387,G387))</f>
        <v>0</v>
      </c>
      <c r="K387" s="34"/>
      <c r="L387" s="13"/>
      <c r="M387" s="34"/>
    </row>
    <row r="388" spans="1:41" ht="20.100000000000001" customHeight="1" x14ac:dyDescent="0.2">
      <c r="A388" s="81" t="str">
        <f>HYPERLINK("#A1", "▲ Back to top")</f>
        <v>▲ Back to top</v>
      </c>
      <c r="D388" s="15"/>
      <c r="E388" s="15"/>
      <c r="F388" s="15"/>
      <c r="G388" s="15" cm="1">
        <f t="array" ref="G388">Common_InputFunctions.Utility_LookupValueInTableNumber(E388,Table_SourceData_Scope3_Packaging[Product],Table_SourceData_Scope3_Packaging[Emissions intensity])</f>
        <v>0</v>
      </c>
      <c r="H388" s="242" cm="1">
        <f t="array" ref="H388">Scope3_Equations.VEERG_15_8_1_1__1_EmissionsFromPurchasedPackaging(F388,G388)</f>
        <v>0</v>
      </c>
      <c r="I388" s="76"/>
      <c r="J388" s="242" cm="1">
        <f t="array" ref="J388">Scope3_Equations.VEERG_15_8_1_1__1_EmissionsFromPurchasedPackaging(F388,IF(I388,I388,G388))</f>
        <v>0</v>
      </c>
      <c r="K388" s="34"/>
      <c r="L388" s="13"/>
      <c r="M388" s="34"/>
    </row>
    <row r="389" spans="1: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42" cm="1">
        <f t="array" ref="H389">Scope3_Equations.VEERG_15_8_1_1__1_EmissionsFromPurchasedPackaging(F389,G389)</f>
        <v>0</v>
      </c>
      <c r="I389" s="76"/>
      <c r="J389" s="242" cm="1">
        <f t="array" ref="J389">Scope3_Equations.VEERG_15_8_1_1__1_EmissionsFromPurchasedPackaging(F389,IF(I389,I389,G389))</f>
        <v>0</v>
      </c>
      <c r="K389" s="34"/>
      <c r="L389" s="13"/>
      <c r="M389" s="34"/>
    </row>
    <row r="390" spans="1: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42" cm="1">
        <f t="array" ref="H390">Scope3_Equations.VEERG_15_8_1_1__1_EmissionsFromPurchasedPackaging(F390,G390)</f>
        <v>0</v>
      </c>
      <c r="I390" s="76"/>
      <c r="J390" s="242" cm="1">
        <f t="array" ref="J390">Scope3_Equations.VEERG_15_8_1_1__1_EmissionsFromPurchasedPackaging(F390,IF(I390,I390,G390))</f>
        <v>0</v>
      </c>
      <c r="K390" s="34"/>
      <c r="L390" s="13"/>
      <c r="M390" s="34"/>
    </row>
    <row r="391" spans="1: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42" cm="1">
        <f t="array" ref="H391">Scope3_Equations.VEERG_15_8_1_1__1_EmissionsFromPurchasedPackaging(F391,G391)</f>
        <v>0</v>
      </c>
      <c r="I391" s="76"/>
      <c r="J391" s="242" cm="1">
        <f t="array" ref="J391">Scope3_Equations.VEERG_15_8_1_1__1_EmissionsFromPurchasedPackaging(F391,IF(I391,I391,G391))</f>
        <v>0</v>
      </c>
      <c r="K391" s="34"/>
      <c r="L391" s="13"/>
      <c r="M391" s="34"/>
    </row>
    <row r="393" spans="1:41" ht="20.100000000000001" customHeight="1" x14ac:dyDescent="0.2">
      <c r="D393" s="244" t="s">
        <v>863</v>
      </c>
      <c r="E393" s="88">
        <f>SUM(H382:H391)</f>
        <v>0</v>
      </c>
      <c r="F393" s="97" t="str">
        <f>$E$170</f>
        <v>t CO2e</v>
      </c>
    </row>
    <row r="394" spans="1:41" ht="20.100000000000001" customHeight="1" x14ac:dyDescent="0.2">
      <c r="D394" s="244" t="s">
        <v>866</v>
      </c>
      <c r="E394" s="88">
        <f>SUM(J382:J391)</f>
        <v>0</v>
      </c>
      <c r="F394" s="97" t="str">
        <f>$E$170</f>
        <v>t CO2e</v>
      </c>
    </row>
    <row r="397" spans="1:41" ht="20.100000000000001" customHeight="1" x14ac:dyDescent="0.2">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row>
    <row r="398" spans="1:41" ht="20.100000000000001" customHeight="1" x14ac:dyDescent="0.2">
      <c r="D398" s="2" t="str" cm="1">
        <f t="array" ref="D398">Scope3_Equations.VEERG_15_9_1_1__1_EmissionsFromPurchasedGrowMedia_Title()</f>
        <v>Embedded emissions from use of grow media products</v>
      </c>
    </row>
    <row r="399" spans="1:41" ht="20.100000000000001" customHeight="1" x14ac:dyDescent="0.2">
      <c r="D399" s="17" t="str" cm="1">
        <f t="array" ref="D399">Scope3_Equations.VEERG_15_9_1_1__1_EmissionsFromPurchasedGrowMedia_Source()</f>
        <v>VEERG 2026: 15.9.1.1, Equation (1)</v>
      </c>
    </row>
    <row r="400" spans="1:41" ht="20.100000000000001" customHeight="1" x14ac:dyDescent="0.2">
      <c r="D400" s="140" t="s">
        <v>402</v>
      </c>
      <c r="E400" s="140" t="str" cm="1">
        <f t="array" aca="1" ref="E400" ca="1">Common_InputFunctions.Utility_DisplayFunctionName(J414)</f>
        <v>=Scope3_Equations.VEERG_15_9_1_1__1_EmissionsFromPurchasedGrowMedia</v>
      </c>
    </row>
    <row r="403" spans="4:14" ht="20.100000000000001" customHeight="1" x14ac:dyDescent="0.2">
      <c r="G403" s="140"/>
    </row>
    <row r="404" spans="4:14" ht="20.100000000000001" customHeight="1" x14ac:dyDescent="0.2">
      <c r="D404" s="77" t="s">
        <v>407</v>
      </c>
      <c r="E404" s="1" t="str" cm="1">
        <f t="array" ref="E404">Scope3_Equations.VEERG_15_9_1_1__1_EmissionsFromPurchasedGrowMedia_Variable()</f>
        <v>E</v>
      </c>
    </row>
    <row r="405" spans="4:14" ht="20.100000000000001" customHeight="1" x14ac:dyDescent="0.2">
      <c r="D405" s="77" t="s">
        <v>118</v>
      </c>
      <c r="E405" s="1" t="str" cm="1">
        <f t="array" ref="E405">Scope3_Equations.VEERG_15_9_1_1__1_EmissionsFromPurchasedGrowMedia_Unit()</f>
        <v>t CO2e</v>
      </c>
    </row>
    <row r="407" spans="4:14" ht="20.100000000000001" customHeight="1" x14ac:dyDescent="0.2">
      <c r="D407" s="156" t="str" cm="1">
        <f t="array" ref="D407:E409">_xlfn.CHOOSECOLS(Scope3_Equations.VEERG_15_9_1_1__1_EmissionsFromPurchasedGrowMedia_Arguments(),1,2)</f>
        <v>Q_g</v>
      </c>
      <c r="E407" s="156" t="str">
        <v>total quantity of grow media type g</v>
      </c>
      <c r="F407" s="156" t="str" cm="1">
        <f t="array" ref="F407:G409">_xlfn.CHOOSECOLS(Scope3_Equations.VEERG_15_9_1_1__1_EmissionsFromPurchasedGrowMedia_Arguments(),3,4)</f>
        <v>kg or m3</v>
      </c>
      <c r="G407" s="240" t="str">
        <v>Input</v>
      </c>
    </row>
    <row r="408" spans="4:14" ht="20.100000000000001" customHeight="1" x14ac:dyDescent="0.2">
      <c r="D408" s="156" t="str">
        <v>EF_g</v>
      </c>
      <c r="E408" s="156" t="str">
        <v>emission factor for grow media type g</v>
      </c>
      <c r="F408" s="156" t="str">
        <v>kg CO2e/kg or kg CO2e/m3</v>
      </c>
      <c r="G408" s="148" t="str">
        <v>Constant</v>
      </c>
    </row>
    <row r="409" spans="4:14" ht="20.100000000000001" customHeight="1" x14ac:dyDescent="0.2">
      <c r="D409" s="156" t="str">
        <v>g</v>
      </c>
      <c r="E409" s="156" t="str">
        <v>grow media type</v>
      </c>
      <c r="F409" s="156" t="str">
        <v/>
      </c>
      <c r="G409" s="240" t="str">
        <v>Input</v>
      </c>
    </row>
    <row r="411" spans="4:14" ht="20.100000000000001" customHeight="1" x14ac:dyDescent="0.2">
      <c r="D411" s="26" t="s">
        <v>946</v>
      </c>
    </row>
    <row r="413" spans="4:14" ht="20.100000000000001" customHeight="1" x14ac:dyDescent="0.2">
      <c r="D413" s="80" t="s">
        <v>957</v>
      </c>
      <c r="E413" s="80" t="s">
        <v>802</v>
      </c>
      <c r="F413" s="80" t="s">
        <v>587</v>
      </c>
      <c r="G413" s="144" t="s">
        <v>947</v>
      </c>
      <c r="H413" s="144" t="s">
        <v>948</v>
      </c>
      <c r="I413" s="80" t="s">
        <v>949</v>
      </c>
      <c r="J413" s="144" t="s">
        <v>950</v>
      </c>
      <c r="K413" s="144" t="s">
        <v>951</v>
      </c>
      <c r="L413" s="80" t="s">
        <v>867</v>
      </c>
      <c r="M413" s="80" t="s">
        <v>868</v>
      </c>
      <c r="N413" s="80" t="s">
        <v>869</v>
      </c>
    </row>
    <row r="414" spans="4:14" ht="20.100000000000001" customHeight="1" x14ac:dyDescent="0.2">
      <c r="D414" s="15"/>
      <c r="E414" s="15"/>
      <c r="F414" s="15"/>
      <c r="G414" s="15" t="s">
        <v>952</v>
      </c>
      <c r="H414" s="15" t="s">
        <v>952</v>
      </c>
      <c r="I414" s="76">
        <v>4</v>
      </c>
      <c r="J414" s="242" cm="1">
        <f t="array" ref="J414">Scope3_Equations.VEERG_15_9_1_1__1_EmissionsFromPurchasedGrowMedia(E414,I414)</f>
        <v>0</v>
      </c>
      <c r="K414" s="15" t="str">
        <f>"t CO2e / " &amp; F414</f>
        <v xml:space="preserve">t CO2e / </v>
      </c>
      <c r="L414" s="34"/>
      <c r="M414" s="13"/>
      <c r="N414" s="34"/>
    </row>
    <row r="415" spans="4:14" ht="20.100000000000001" customHeight="1" x14ac:dyDescent="0.2">
      <c r="D415" s="15"/>
      <c r="E415" s="15"/>
      <c r="F415" s="15"/>
      <c r="G415" s="15" t="s">
        <v>952</v>
      </c>
      <c r="H415" s="15" t="s">
        <v>952</v>
      </c>
      <c r="I415" s="76">
        <v>2</v>
      </c>
      <c r="J415" s="242" cm="1">
        <f t="array" ref="J415">Scope3_Equations.VEERG_15_9_1_1__1_EmissionsFromPurchasedGrowMedia(E415,I415)</f>
        <v>0</v>
      </c>
      <c r="K415" s="15" t="str">
        <f t="shared" ref="K415:K423" si="2">"t CO2e / " &amp; F415</f>
        <v xml:space="preserve">t CO2e / </v>
      </c>
      <c r="L415" s="34"/>
      <c r="M415" s="13"/>
      <c r="N415" s="34"/>
    </row>
    <row r="416" spans="4:14" ht="20.100000000000001" customHeight="1" x14ac:dyDescent="0.2">
      <c r="D416" s="15"/>
      <c r="E416" s="15"/>
      <c r="F416" s="15"/>
      <c r="G416" s="15" t="s">
        <v>952</v>
      </c>
      <c r="H416" s="15" t="s">
        <v>952</v>
      </c>
      <c r="I416" s="76"/>
      <c r="J416" s="242" cm="1">
        <f t="array" ref="J416">Scope3_Equations.VEERG_15_9_1_1__1_EmissionsFromPurchasedGrowMedia(E416,I416)</f>
        <v>0</v>
      </c>
      <c r="K416" s="15" t="str">
        <f t="shared" si="2"/>
        <v xml:space="preserve">t CO2e / </v>
      </c>
      <c r="L416" s="34"/>
      <c r="M416" s="13"/>
      <c r="N416" s="34"/>
    </row>
    <row r="417" spans="1:41" ht="20.100000000000001" customHeight="1" x14ac:dyDescent="0.2">
      <c r="D417" s="15"/>
      <c r="E417" s="15"/>
      <c r="F417" s="15"/>
      <c r="G417" s="15" t="s">
        <v>952</v>
      </c>
      <c r="H417" s="15" t="s">
        <v>952</v>
      </c>
      <c r="I417" s="76"/>
      <c r="J417" s="242" cm="1">
        <f t="array" ref="J417">Scope3_Equations.VEERG_15_9_1_1__1_EmissionsFromPurchasedGrowMedia(E417,I417)</f>
        <v>0</v>
      </c>
      <c r="K417" s="15" t="str">
        <f t="shared" si="2"/>
        <v xml:space="preserve">t CO2e / </v>
      </c>
      <c r="L417" s="34"/>
      <c r="M417" s="13"/>
      <c r="N417" s="34"/>
    </row>
    <row r="418" spans="1:41" ht="20.100000000000001" customHeight="1" x14ac:dyDescent="0.2">
      <c r="A418" s="81" t="str">
        <f>HYPERLINK("#A1", "▲ Back to top")</f>
        <v>▲ Back to top</v>
      </c>
      <c r="D418" s="15"/>
      <c r="E418" s="15"/>
      <c r="F418" s="15"/>
      <c r="G418" s="15" t="s">
        <v>952</v>
      </c>
      <c r="H418" s="15" t="s">
        <v>952</v>
      </c>
      <c r="I418" s="76"/>
      <c r="J418" s="242" cm="1">
        <f t="array" ref="J418">Scope3_Equations.VEERG_15_9_1_1__1_EmissionsFromPurchasedGrowMedia(E418,I418)</f>
        <v>0</v>
      </c>
      <c r="K418" s="15" t="str">
        <f t="shared" si="2"/>
        <v xml:space="preserve">t CO2e / </v>
      </c>
      <c r="L418" s="34"/>
      <c r="M418" s="13"/>
      <c r="N418" s="34"/>
    </row>
    <row r="419" spans="1:41" ht="20.100000000000001" customHeight="1" x14ac:dyDescent="0.2">
      <c r="D419" s="15"/>
      <c r="E419" s="15"/>
      <c r="F419" s="15"/>
      <c r="G419" s="15" t="s">
        <v>952</v>
      </c>
      <c r="H419" s="15" t="s">
        <v>952</v>
      </c>
      <c r="I419" s="76"/>
      <c r="J419" s="242" cm="1">
        <f t="array" ref="J419">Scope3_Equations.VEERG_15_9_1_1__1_EmissionsFromPurchasedGrowMedia(E419,I419)</f>
        <v>0</v>
      </c>
      <c r="K419" s="15" t="str">
        <f t="shared" si="2"/>
        <v xml:space="preserve">t CO2e / </v>
      </c>
      <c r="L419" s="34"/>
      <c r="M419" s="13"/>
      <c r="N419" s="34"/>
    </row>
    <row r="420" spans="1:41" ht="20.100000000000001" customHeight="1" x14ac:dyDescent="0.2">
      <c r="D420" s="15"/>
      <c r="E420" s="15"/>
      <c r="F420" s="15"/>
      <c r="G420" s="15" t="s">
        <v>952</v>
      </c>
      <c r="H420" s="15" t="s">
        <v>952</v>
      </c>
      <c r="I420" s="76"/>
      <c r="J420" s="242" cm="1">
        <f t="array" ref="J420">Scope3_Equations.VEERG_15_9_1_1__1_EmissionsFromPurchasedGrowMedia(E420,I420)</f>
        <v>0</v>
      </c>
      <c r="K420" s="15" t="str">
        <f t="shared" si="2"/>
        <v xml:space="preserve">t CO2e / </v>
      </c>
      <c r="L420" s="34"/>
      <c r="M420" s="13"/>
      <c r="N420" s="34"/>
    </row>
    <row r="421" spans="1:41" ht="20.100000000000001" customHeight="1" x14ac:dyDescent="0.2">
      <c r="D421" s="15"/>
      <c r="E421" s="15"/>
      <c r="F421" s="15"/>
      <c r="G421" s="15" t="s">
        <v>952</v>
      </c>
      <c r="H421" s="15" t="s">
        <v>952</v>
      </c>
      <c r="I421" s="76"/>
      <c r="J421" s="242" cm="1">
        <f t="array" ref="J421">Scope3_Equations.VEERG_15_9_1_1__1_EmissionsFromPurchasedGrowMedia(E421,I421)</f>
        <v>0</v>
      </c>
      <c r="K421" s="15" t="str">
        <f t="shared" si="2"/>
        <v xml:space="preserve">t CO2e / </v>
      </c>
      <c r="L421" s="34"/>
      <c r="M421" s="13"/>
      <c r="N421" s="34"/>
    </row>
    <row r="422" spans="1:41" ht="20.100000000000001" customHeight="1" x14ac:dyDescent="0.2">
      <c r="D422" s="15"/>
      <c r="E422" s="15"/>
      <c r="F422" s="15"/>
      <c r="G422" s="15" t="s">
        <v>952</v>
      </c>
      <c r="H422" s="15" t="s">
        <v>952</v>
      </c>
      <c r="I422" s="76"/>
      <c r="J422" s="242" cm="1">
        <f t="array" ref="J422">Scope3_Equations.VEERG_15_9_1_1__1_EmissionsFromPurchasedGrowMedia(E422,I422)</f>
        <v>0</v>
      </c>
      <c r="K422" s="15" t="str">
        <f t="shared" si="2"/>
        <v xml:space="preserve">t CO2e / </v>
      </c>
      <c r="L422" s="34"/>
      <c r="M422" s="13"/>
      <c r="N422" s="34"/>
    </row>
    <row r="423" spans="1:41" ht="20.100000000000001" customHeight="1" x14ac:dyDescent="0.2">
      <c r="D423" s="15"/>
      <c r="E423" s="15"/>
      <c r="F423" s="15"/>
      <c r="G423" s="15" t="s">
        <v>952</v>
      </c>
      <c r="H423" s="15" t="s">
        <v>952</v>
      </c>
      <c r="I423" s="76"/>
      <c r="J423" s="242" cm="1">
        <f t="array" ref="J423">Scope3_Equations.VEERG_15_9_1_1__1_EmissionsFromPurchasedGrowMedia(E423,I423)</f>
        <v>0</v>
      </c>
      <c r="K423" s="15" t="str">
        <f t="shared" si="2"/>
        <v xml:space="preserve">t CO2e / </v>
      </c>
      <c r="L423" s="34"/>
      <c r="M423" s="13"/>
      <c r="N423" s="34"/>
    </row>
    <row r="425" spans="1:41" ht="20.100000000000001" customHeight="1" x14ac:dyDescent="0.2">
      <c r="D425" s="244" t="s">
        <v>863</v>
      </c>
      <c r="E425" s="88" t="s">
        <v>952</v>
      </c>
      <c r="F425" s="97" t="str">
        <f>$E$170</f>
        <v>t CO2e</v>
      </c>
    </row>
    <row r="426" spans="1:41" ht="20.100000000000001" customHeight="1" x14ac:dyDescent="0.2">
      <c r="D426" s="244" t="s">
        <v>866</v>
      </c>
      <c r="E426" s="88">
        <f>SUM(J414:J423)</f>
        <v>0</v>
      </c>
      <c r="F426" s="97" t="str">
        <f>$E$170</f>
        <v>t CO2e</v>
      </c>
    </row>
    <row r="429" spans="1:41" ht="20.100000000000001" customHeight="1" x14ac:dyDescent="0.2">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c r="AN429" s="85"/>
      <c r="AO429" s="85"/>
    </row>
    <row r="430" spans="1:41" ht="20.100000000000001" customHeight="1" x14ac:dyDescent="0.2">
      <c r="D430" s="2" t="str" cm="1">
        <f t="array" ref="D430">Scope3_Equations.VEERG_15_10_1_1__1_OtherPurchasedGoodsAndServices_Title()</f>
        <v>Other purchased goods and services generic estimate</v>
      </c>
    </row>
    <row r="431" spans="1:41" ht="20.100000000000001" customHeight="1" x14ac:dyDescent="0.2">
      <c r="D431" s="17" t="str" cm="1">
        <f t="array" ref="D431">Scope3_Equations.VEERG_15_10_1_1__1_OtherPurchasedGoodsAndServices_Source()</f>
        <v>VEERG 2026: 15.10, generic placeholder equation</v>
      </c>
    </row>
    <row r="432" spans="1:41" ht="20.100000000000001" customHeight="1" x14ac:dyDescent="0.2">
      <c r="D432" s="26" t="s">
        <v>958</v>
      </c>
    </row>
    <row r="433" spans="1:13" ht="20.100000000000001" customHeight="1" x14ac:dyDescent="0.2">
      <c r="D433" s="140" t="s">
        <v>402</v>
      </c>
      <c r="E433" s="140" t="str" cm="1">
        <f t="array" aca="1" ref="E433" ca="1">Common_InputFunctions.Utility_DisplayFunctionName(H445)</f>
        <v>=Scope3_Equations.VEERG_15_10_1_1__1_OtherPurchasedGoodsAndServices</v>
      </c>
    </row>
    <row r="436" spans="1:13" ht="20.100000000000001" customHeight="1" x14ac:dyDescent="0.2">
      <c r="D436" s="77" t="s">
        <v>407</v>
      </c>
      <c r="E436" s="1" t="str" cm="1">
        <f t="array" ref="E436">Scope3_Equations.VEERG_15_10_1_1__1_OtherPurchasedGoodsAndServices_Variable()</f>
        <v>emissions</v>
      </c>
    </row>
    <row r="437" spans="1:13" ht="20.100000000000001" customHeight="1" x14ac:dyDescent="0.2">
      <c r="D437" s="77" t="s">
        <v>118</v>
      </c>
      <c r="E437" s="9" t="str" cm="1">
        <f t="array" ref="E437">Scope3_Equations.VEERG_15_10_1_1__1_OtherPurchasedGoodsAndServices_Unit()</f>
        <v>t CO2e</v>
      </c>
    </row>
    <row r="439" spans="1:13" ht="20.100000000000001" customHeight="1" x14ac:dyDescent="0.2">
      <c r="D439" s="156" t="str" cm="1">
        <f t="array" ref="D439:E440">_xlfn.CHOOSECOLS(Scope3_Equations.VEERG_15_10_1_1__1_OtherPurchasedGoodsAndServices_Arguments(),1,2)</f>
        <v>activity_data</v>
      </c>
      <c r="E439" s="153" t="str">
        <v>measured activity for the purchased good or service</v>
      </c>
      <c r="F439" s="165"/>
      <c r="G439" s="156" t="str" cm="1">
        <f t="array" ref="G439:H440">_xlfn.CHOOSECOLS(Scope3_Equations.VEERG_15_10_1_1__1_OtherPurchasedGoodsAndServices_Arguments(),3,4)</f>
        <v>varies</v>
      </c>
      <c r="H439" s="240" t="str">
        <v>Input</v>
      </c>
    </row>
    <row r="440" spans="1:13" ht="20.100000000000001" customHeight="1" x14ac:dyDescent="0.2">
      <c r="D440" s="156" t="str">
        <v>emission_factor</v>
      </c>
      <c r="E440" s="153" t="str">
        <v>lifecycle emissions per unit of activity</v>
      </c>
      <c r="F440" s="165"/>
      <c r="G440" s="156" t="str">
        <v>varies</v>
      </c>
      <c r="H440" s="148" t="str">
        <v>Constant</v>
      </c>
    </row>
    <row r="442" spans="1:13" ht="20.100000000000001" customHeight="1" x14ac:dyDescent="0.2">
      <c r="D442" s="235" t="s">
        <v>959</v>
      </c>
    </row>
    <row r="444" spans="1:13" ht="20.100000000000001" customHeight="1" x14ac:dyDescent="0.2">
      <c r="D444" s="80" t="s">
        <v>857</v>
      </c>
      <c r="E444" s="241" t="s">
        <v>960</v>
      </c>
      <c r="F444" s="241" t="s">
        <v>961</v>
      </c>
      <c r="G444" s="144" t="s">
        <v>119</v>
      </c>
      <c r="H444" s="144" t="s">
        <v>863</v>
      </c>
      <c r="I444" s="80" t="s">
        <v>120</v>
      </c>
      <c r="J444" s="144" t="s">
        <v>866</v>
      </c>
      <c r="K444" s="80" t="s">
        <v>867</v>
      </c>
      <c r="L444" s="80" t="s">
        <v>868</v>
      </c>
      <c r="M444" s="80" t="s">
        <v>869</v>
      </c>
    </row>
    <row r="445" spans="1: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42" cm="1">
        <f t="array" ref="H445">Scope3_Equations.VEERG_15_10_1_1__1_OtherPurchasedGoodsAndServices(F445,G445*10^-3)</f>
        <v>9.0700000000000003E-2</v>
      </c>
      <c r="I445" s="76">
        <v>0.9</v>
      </c>
      <c r="J445" s="242" cm="1">
        <f t="array" ref="J445">Scope3_Equations.VEERG_15_10_1_1__1_OtherPurchasedGoodsAndServices(F445,IF(I445,I445,G445)*10^-3)</f>
        <v>9.0000000000000011E-2</v>
      </c>
      <c r="K445" s="34"/>
      <c r="L445" s="13"/>
      <c r="M445" s="34"/>
    </row>
    <row r="446" spans="1: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42" cm="1">
        <f t="array" ref="H446">Scope3_Equations.VEERG_15_10_1_1__1_OtherPurchasedGoodsAndServices(F446,G446*10^-3)</f>
        <v>7.22E-2</v>
      </c>
      <c r="I446" s="76">
        <v>0.7</v>
      </c>
      <c r="J446" s="242" cm="1">
        <f t="array" ref="J446">Scope3_Equations.VEERG_15_10_1_1__1_OtherPurchasedGoodsAndServices(F446,IF(I446,I446,G446)*10^-3)</f>
        <v>6.9999999999999993E-2</v>
      </c>
      <c r="K446" s="34"/>
      <c r="L446" s="13"/>
      <c r="M446" s="34"/>
    </row>
    <row r="447" spans="1: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42" cm="1">
        <f t="array" ref="H447">Scope3_Equations.VEERG_15_10_1_1__1_OtherPurchasedGoodsAndServices(F447,G447*10^-3)</f>
        <v>8.0399999999999999E-2</v>
      </c>
      <c r="I447" s="76">
        <v>0.8</v>
      </c>
      <c r="J447" s="242" cm="1">
        <f t="array" ref="J447">Scope3_Equations.VEERG_15_10_1_1__1_OtherPurchasedGoodsAndServices(F447,IF(I447,I447,G447)*10^-3)</f>
        <v>0.08</v>
      </c>
      <c r="K447" s="34"/>
      <c r="L447" s="13"/>
      <c r="M447" s="34"/>
    </row>
    <row r="448" spans="1:13" ht="20.100000000000001" customHeight="1" x14ac:dyDescent="0.2">
      <c r="A448" s="81" t="str">
        <f>HYPERLINK("#A1", "▲ Back to top")</f>
        <v>▲ Back to top</v>
      </c>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42" cm="1">
        <f t="array" ref="H448">Scope3_Equations.VEERG_15_10_1_1__1_OtherPurchasedGoodsAndServices(F448,G448*10^-3)</f>
        <v>8.0399999999999999E-2</v>
      </c>
      <c r="I448" s="76">
        <v>0.8</v>
      </c>
      <c r="J448" s="242" cm="1">
        <f t="array" ref="J448">Scope3_Equations.VEERG_15_10_1_1__1_OtherPurchasedGoodsAndServices(F448,IF(I448,I448,G448)*10^-3)</f>
        <v>0.08</v>
      </c>
      <c r="K448" s="34"/>
      <c r="L448" s="13"/>
      <c r="M448" s="34"/>
    </row>
    <row r="449" spans="4: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42" cm="1">
        <f t="array" ref="H449">Scope3_Equations.VEERG_15_10_1_1__1_OtherPurchasedGoodsAndServices(F449,G449*10^-3)</f>
        <v>9.0700000000000003E-2</v>
      </c>
      <c r="I449" s="76">
        <v>0.9</v>
      </c>
      <c r="J449" s="242" cm="1">
        <f t="array" ref="J449">Scope3_Equations.VEERG_15_10_1_1__1_OtherPurchasedGoodsAndServices(F449,IF(I449,I449,G449)*10^-3)</f>
        <v>9.0000000000000011E-2</v>
      </c>
      <c r="K449" s="34"/>
      <c r="L449" s="13"/>
      <c r="M449" s="34"/>
    </row>
    <row r="450" spans="4: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42" cm="1">
        <f t="array" ref="H450">Scope3_Equations.VEERG_15_10_1_1__1_OtherPurchasedGoodsAndServices(F450,G450*10^-3)</f>
        <v>9.0700000000000003E-2</v>
      </c>
      <c r="I450" s="76">
        <v>0.9</v>
      </c>
      <c r="J450" s="242" cm="1">
        <f t="array" ref="J450">Scope3_Equations.VEERG_15_10_1_1__1_OtherPurchasedGoodsAndServices(F450,IF(I450,I450,G450)*10^-3)</f>
        <v>9.0000000000000011E-2</v>
      </c>
      <c r="K450" s="34"/>
      <c r="L450" s="13"/>
      <c r="M450" s="34"/>
    </row>
    <row r="451" spans="4: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42" cm="1">
        <f t="array" ref="H451">Scope3_Equations.VEERG_15_10_1_1__1_OtherPurchasedGoodsAndServices(F451,G451*10^-3)</f>
        <v>0</v>
      </c>
      <c r="I451" s="76"/>
      <c r="J451" s="242" cm="1">
        <f t="array" ref="J451">Scope3_Equations.VEERG_15_10_1_1__1_OtherPurchasedGoodsAndServices(F451,IF(I451,I451,G451)*10^-3)</f>
        <v>0</v>
      </c>
      <c r="K451" s="34"/>
      <c r="L451" s="13"/>
      <c r="M451" s="34"/>
    </row>
    <row r="452" spans="4: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42" cm="1">
        <f t="array" ref="H452">Scope3_Equations.VEERG_15_10_1_1__1_OtherPurchasedGoodsAndServices(F452,G452*10^-3)</f>
        <v>0</v>
      </c>
      <c r="I452" s="76"/>
      <c r="J452" s="242" cm="1">
        <f t="array" ref="J452">Scope3_Equations.VEERG_15_10_1_1__1_OtherPurchasedGoodsAndServices(F452,IF(I452,I452,G452)*10^-3)</f>
        <v>0</v>
      </c>
      <c r="K452" s="34"/>
      <c r="L452" s="13"/>
      <c r="M452" s="34"/>
    </row>
    <row r="453" spans="4: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42" cm="1">
        <f t="array" ref="H453">Scope3_Equations.VEERG_15_10_1_1__1_OtherPurchasedGoodsAndServices(F453,G453*10^-3)</f>
        <v>0</v>
      </c>
      <c r="I453" s="76"/>
      <c r="J453" s="242" cm="1">
        <f t="array" ref="J453">Scope3_Equations.VEERG_15_10_1_1__1_OtherPurchasedGoodsAndServices(F453,IF(I453,I453,G453)*10^-3)</f>
        <v>0</v>
      </c>
      <c r="K453" s="34"/>
      <c r="L453" s="13"/>
      <c r="M453" s="34"/>
    </row>
    <row r="454" spans="4: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42" cm="1">
        <f t="array" ref="H454">Scope3_Equations.VEERG_15_10_1_1__1_OtherPurchasedGoodsAndServices(F454,G454*10^-3)</f>
        <v>0</v>
      </c>
      <c r="I454" s="76"/>
      <c r="J454" s="242" cm="1">
        <f t="array" ref="J454">Scope3_Equations.VEERG_15_10_1_1__1_OtherPurchasedGoodsAndServices(F454,IF(I454,I454,G454)*10^-3)</f>
        <v>0</v>
      </c>
      <c r="K454" s="34"/>
      <c r="L454" s="13"/>
      <c r="M454" s="34"/>
    </row>
    <row r="456" spans="4:13" ht="20.100000000000001" customHeight="1" x14ac:dyDescent="0.2">
      <c r="D456" s="244" t="s">
        <v>863</v>
      </c>
      <c r="E456" s="88">
        <f>SUM(H445:H454)</f>
        <v>0.50509999999999999</v>
      </c>
      <c r="F456" s="97" t="str">
        <f>$E$170</f>
        <v>t CO2e</v>
      </c>
    </row>
    <row r="457" spans="4:13" ht="20.100000000000001" customHeight="1" x14ac:dyDescent="0.2">
      <c r="D457" s="244" t="s">
        <v>866</v>
      </c>
      <c r="E457" s="88">
        <f>SUM(J445:J454)</f>
        <v>0.5</v>
      </c>
      <c r="F457" s="97" t="str">
        <f>$E$170</f>
        <v>t CO2e</v>
      </c>
    </row>
    <row r="460" spans="4:13" ht="20.100000000000001" customHeight="1" x14ac:dyDescent="0.2">
      <c r="D460" s="235" t="s">
        <v>962</v>
      </c>
    </row>
    <row r="462" spans="4:13" ht="20.100000000000001" customHeight="1" x14ac:dyDescent="0.2">
      <c r="D462" s="80" t="s">
        <v>857</v>
      </c>
      <c r="E462" s="241" t="s">
        <v>960</v>
      </c>
      <c r="F462" s="241" t="s">
        <v>963</v>
      </c>
      <c r="G462" s="144" t="s">
        <v>964</v>
      </c>
      <c r="H462" s="144" t="s">
        <v>863</v>
      </c>
      <c r="I462" s="80" t="s">
        <v>965</v>
      </c>
      <c r="J462" s="144" t="s">
        <v>866</v>
      </c>
      <c r="K462" s="80" t="s">
        <v>867</v>
      </c>
      <c r="L462" s="80" t="s">
        <v>868</v>
      </c>
      <c r="M462" s="80" t="s">
        <v>869</v>
      </c>
    </row>
    <row r="463" spans="4:13" ht="20.100000000000001" customHeight="1" x14ac:dyDescent="0.2">
      <c r="D463" s="15"/>
      <c r="E463" s="15"/>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0</v>
      </c>
      <c r="H463" s="242" cm="1">
        <f t="array" ref="H463">Scope3_Equations.VEERG_15_10_1_1__1_OtherPurchasedGoodsAndServices(F463,G463*10^-3)</f>
        <v>0</v>
      </c>
      <c r="I463" s="76">
        <v>0.05</v>
      </c>
      <c r="J463" s="242" cm="1">
        <f t="array" ref="J463">Scope3_Equations.VEERG_15_10_1_1__1_OtherPurchasedGoodsAndServices(F463,IF(I463,I463,G463)*10^-3)</f>
        <v>5.0000000000000001E-3</v>
      </c>
      <c r="K463" s="34"/>
      <c r="L463" s="13"/>
      <c r="M463" s="34"/>
    </row>
    <row r="464" spans="4:13" ht="20.100000000000001" customHeight="1" x14ac:dyDescent="0.2">
      <c r="D464" s="15"/>
      <c r="E464" s="15"/>
      <c r="F464" s="15">
        <v>100</v>
      </c>
      <c r="G464" s="15" cm="1">
        <f t="array" ref="G464">Common_InputFunctions.Utility_LookupValueInTableNumber(E464,Table_SourceData_Scope3_ChemicalsPharmacy[Product],Table_SourceData_Scope3_ChemicalsPharmacy[Emissions intensity])</f>
        <v>0</v>
      </c>
      <c r="H464" s="242" cm="1">
        <f t="array" ref="H464">Scope3_Equations.VEERG_15_10_1_1__1_OtherPurchasedGoodsAndServices(F464,G464*10^-3)</f>
        <v>0</v>
      </c>
      <c r="I464" s="76">
        <v>0.01</v>
      </c>
      <c r="J464" s="242" cm="1">
        <f t="array" ref="J464">Scope3_Equations.VEERG_15_10_1_1__1_OtherPurchasedGoodsAndServices(F464,IF(I464,I464,G464)*10^-3)</f>
        <v>1E-3</v>
      </c>
      <c r="K464" s="34"/>
      <c r="L464" s="13"/>
      <c r="M464" s="34"/>
    </row>
    <row r="465" spans="1:13" ht="20.100000000000001" customHeight="1" x14ac:dyDescent="0.2">
      <c r="D465" s="15"/>
      <c r="E465" s="15"/>
      <c r="F465" s="15">
        <v>100</v>
      </c>
      <c r="G465" s="15" cm="1">
        <f t="array" ref="G465">Common_InputFunctions.Utility_LookupValueInTableNumber(E465,Table_SourceData_Scope3_ChemicalsPharmacy[Product],Table_SourceData_Scope3_ChemicalsPharmacy[Emissions intensity])</f>
        <v>0</v>
      </c>
      <c r="H465" s="242" cm="1">
        <f t="array" ref="H465">Scope3_Equations.VEERG_15_10_1_1__1_OtherPurchasedGoodsAndServices(F465,G465*10^-3)</f>
        <v>0</v>
      </c>
      <c r="I465" s="76">
        <v>0.01</v>
      </c>
      <c r="J465" s="242" cm="1">
        <f t="array" ref="J465">Scope3_Equations.VEERG_15_10_1_1__1_OtherPurchasedGoodsAndServices(F465,IF(I465,I465,G465)*10^-3)</f>
        <v>1E-3</v>
      </c>
      <c r="K465" s="34"/>
      <c r="L465" s="13"/>
      <c r="M465" s="34"/>
    </row>
    <row r="466" spans="1:13" ht="20.100000000000001" customHeight="1" x14ac:dyDescent="0.2">
      <c r="D466" s="15"/>
      <c r="E466" s="15"/>
      <c r="F466" s="15">
        <v>100</v>
      </c>
      <c r="G466" s="15" cm="1">
        <f t="array" ref="G466">Common_InputFunctions.Utility_LookupValueInTableNumber(E466,Table_SourceData_Scope3_ChemicalsPharmacy[Product],Table_SourceData_Scope3_ChemicalsPharmacy[Emissions intensity])</f>
        <v>0</v>
      </c>
      <c r="H466" s="242" cm="1">
        <f t="array" ref="H466">Scope3_Equations.VEERG_15_10_1_1__1_OtherPurchasedGoodsAndServices(F466,G466*10^-3)</f>
        <v>0</v>
      </c>
      <c r="I466" s="76">
        <v>4.0000000000000001E-3</v>
      </c>
      <c r="J466" s="242" cm="1">
        <f t="array" ref="J466">Scope3_Equations.VEERG_15_10_1_1__1_OtherPurchasedGoodsAndServices(F466,IF(I466,I466,G466)*10^-3)</f>
        <v>3.9999999999999996E-4</v>
      </c>
      <c r="K466" s="34"/>
      <c r="L466" s="13"/>
      <c r="M466" s="34"/>
    </row>
    <row r="467" spans="1:13" ht="20.100000000000001" customHeight="1" x14ac:dyDescent="0.2">
      <c r="D467" s="15"/>
      <c r="E467" s="15"/>
      <c r="F467" s="15">
        <v>100</v>
      </c>
      <c r="G467" s="15" cm="1">
        <f t="array" ref="G467">Common_InputFunctions.Utility_LookupValueInTableNumber(E467,Table_SourceData_Scope3_ChemicalsPharmacy[Product],Table_SourceData_Scope3_ChemicalsPharmacy[Emissions intensity])</f>
        <v>0</v>
      </c>
      <c r="H467" s="242" cm="1">
        <f t="array" ref="H467">Scope3_Equations.VEERG_15_10_1_1__1_OtherPurchasedGoodsAndServices(F467,G467*10^-3)</f>
        <v>0</v>
      </c>
      <c r="I467" s="76">
        <v>0.05</v>
      </c>
      <c r="J467" s="242" cm="1">
        <f t="array" ref="J467">Scope3_Equations.VEERG_15_10_1_1__1_OtherPurchasedGoodsAndServices(F467,IF(I467,I467,G467)*10^-3)</f>
        <v>5.0000000000000001E-3</v>
      </c>
      <c r="K467" s="34"/>
      <c r="L467" s="13"/>
      <c r="M467" s="34"/>
    </row>
    <row r="468" spans="1:13" ht="20.100000000000001" customHeight="1" x14ac:dyDescent="0.2">
      <c r="D468" s="15"/>
      <c r="E468" s="15"/>
      <c r="F468" s="15">
        <v>100</v>
      </c>
      <c r="G468" s="15" cm="1">
        <f t="array" ref="G468">Common_InputFunctions.Utility_LookupValueInTableNumber(E468,Table_SourceData_Scope3_ChemicalsPharmacy[Product],Table_SourceData_Scope3_ChemicalsPharmacy[Emissions intensity])</f>
        <v>0</v>
      </c>
      <c r="H468" s="242" cm="1">
        <f t="array" ref="H468">Scope3_Equations.VEERG_15_10_1_1__1_OtherPurchasedGoodsAndServices(F468,G468*10^-3)</f>
        <v>0</v>
      </c>
      <c r="I468" s="76">
        <v>0.01</v>
      </c>
      <c r="J468" s="242" cm="1">
        <f t="array" ref="J468">Scope3_Equations.VEERG_15_10_1_1__1_OtherPurchasedGoodsAndServices(F468,IF(I468,I468,G468)*10^-3)</f>
        <v>1E-3</v>
      </c>
      <c r="K468" s="34"/>
      <c r="L468" s="13"/>
      <c r="M468" s="34"/>
    </row>
    <row r="469" spans="1:13" ht="20.100000000000001" customHeight="1" x14ac:dyDescent="0.2">
      <c r="D469" s="15"/>
      <c r="E469" s="15"/>
      <c r="F469" s="15">
        <v>0</v>
      </c>
      <c r="G469" s="15" cm="1">
        <f t="array" ref="G469">Common_InputFunctions.Utility_LookupValueInTableNumber(E469,Table_SourceData_Scope3_ChemicalsPharmacy[Product],Table_SourceData_Scope3_ChemicalsPharmacy[Emissions intensity])</f>
        <v>0</v>
      </c>
      <c r="H469" s="242" cm="1">
        <f t="array" ref="H469">Scope3_Equations.VEERG_15_10_1_1__1_OtherPurchasedGoodsAndServices(F469,G469*10^-3)</f>
        <v>0</v>
      </c>
      <c r="I469" s="76"/>
      <c r="J469" s="242" cm="1">
        <f t="array" ref="J469">Scope3_Equations.VEERG_15_10_1_1__1_OtherPurchasedGoodsAndServices(F469,IF(I469,I469,G469)*10^-3)</f>
        <v>0</v>
      </c>
      <c r="K469" s="34"/>
      <c r="L469" s="13"/>
      <c r="M469" s="34"/>
    </row>
    <row r="470" spans="1:13" ht="20.100000000000001" customHeight="1" x14ac:dyDescent="0.2">
      <c r="D470" s="15"/>
      <c r="E470" s="15"/>
      <c r="F470" s="15">
        <v>0</v>
      </c>
      <c r="G470" s="15" cm="1">
        <f t="array" ref="G470">Common_InputFunctions.Utility_LookupValueInTableNumber(E470,Table_SourceData_Scope3_ChemicalsPharmacy[Product],Table_SourceData_Scope3_ChemicalsPharmacy[Emissions intensity])</f>
        <v>0</v>
      </c>
      <c r="H470" s="242" cm="1">
        <f t="array" ref="H470">Scope3_Equations.VEERG_15_10_1_1__1_OtherPurchasedGoodsAndServices(F470,G470*10^-3)</f>
        <v>0</v>
      </c>
      <c r="I470" s="76"/>
      <c r="J470" s="242" cm="1">
        <f t="array" ref="J470">Scope3_Equations.VEERG_15_10_1_1__1_OtherPurchasedGoodsAndServices(F470,IF(I470,I470,G470)*10^-3)</f>
        <v>0</v>
      </c>
      <c r="K470" s="34"/>
      <c r="L470" s="13"/>
      <c r="M470" s="34"/>
    </row>
    <row r="471" spans="1:13" ht="20.100000000000001" customHeight="1" x14ac:dyDescent="0.2">
      <c r="D471" s="15"/>
      <c r="E471" s="15"/>
      <c r="F471" s="15">
        <v>0</v>
      </c>
      <c r="G471" s="15" cm="1">
        <f t="array" ref="G471">Common_InputFunctions.Utility_LookupValueInTableNumber(E471,Table_SourceData_Scope3_ChemicalsPharmacy[Product],Table_SourceData_Scope3_ChemicalsPharmacy[Emissions intensity])</f>
        <v>0</v>
      </c>
      <c r="H471" s="242" cm="1">
        <f t="array" ref="H471">Scope3_Equations.VEERG_15_10_1_1__1_OtherPurchasedGoodsAndServices(F471,G471*10^-3)</f>
        <v>0</v>
      </c>
      <c r="I471" s="76"/>
      <c r="J471" s="242" cm="1">
        <f t="array" ref="J471">Scope3_Equations.VEERG_15_10_1_1__1_OtherPurchasedGoodsAndServices(F471,IF(I471,I471,G471)*10^-3)</f>
        <v>0</v>
      </c>
      <c r="K471" s="34"/>
      <c r="L471" s="13"/>
      <c r="M471" s="34"/>
    </row>
    <row r="472" spans="1:13" ht="20.100000000000001" customHeight="1" x14ac:dyDescent="0.2">
      <c r="D472" s="15"/>
      <c r="E472" s="15"/>
      <c r="F472" s="15">
        <v>0</v>
      </c>
      <c r="G472" s="15" cm="1">
        <f t="array" ref="G472">Common_InputFunctions.Utility_LookupValueInTableNumber(E472,Table_SourceData_Scope3_ChemicalsPharmacy[Product],Table_SourceData_Scope3_ChemicalsPharmacy[Emissions intensity])</f>
        <v>0</v>
      </c>
      <c r="H472" s="242" cm="1">
        <f t="array" ref="H472">Scope3_Equations.VEERG_15_10_1_1__1_OtherPurchasedGoodsAndServices(F472,G472*10^-3)</f>
        <v>0</v>
      </c>
      <c r="I472" s="76"/>
      <c r="J472" s="242" cm="1">
        <f t="array" ref="J472">Scope3_Equations.VEERG_15_10_1_1__1_OtherPurchasedGoodsAndServices(F472,IF(I472,I472,G472)*10^-3)</f>
        <v>0</v>
      </c>
      <c r="K472" s="34"/>
      <c r="L472" s="13"/>
      <c r="M472" s="34"/>
    </row>
    <row r="474" spans="1:13" ht="20.100000000000001" customHeight="1" x14ac:dyDescent="0.2">
      <c r="D474" s="244" t="s">
        <v>863</v>
      </c>
      <c r="E474" s="88">
        <f>SUM(H463:H472)</f>
        <v>0</v>
      </c>
      <c r="F474" s="97" t="str">
        <f>$E$170</f>
        <v>t CO2e</v>
      </c>
    </row>
    <row r="475" spans="1:13" ht="20.100000000000001" customHeight="1" x14ac:dyDescent="0.2">
      <c r="D475" s="244" t="s">
        <v>866</v>
      </c>
      <c r="E475" s="88">
        <f>SUM(J463:J472)</f>
        <v>1.3400000000000002E-2</v>
      </c>
      <c r="F475" s="97" t="str">
        <f>$E$170</f>
        <v>t CO2e</v>
      </c>
    </row>
    <row r="478" spans="1:13" ht="20.100000000000001" customHeight="1" x14ac:dyDescent="0.2">
      <c r="A478" s="81" t="str">
        <f>HYPERLINK("#A1", "▲ Back to top")</f>
        <v>▲ Back to top</v>
      </c>
      <c r="D478" s="235" t="s">
        <v>840</v>
      </c>
    </row>
    <row r="480" spans="1:13" ht="20.100000000000001" customHeight="1" x14ac:dyDescent="0.2">
      <c r="D480" s="80" t="s">
        <v>790</v>
      </c>
      <c r="E480" s="80" t="s">
        <v>966</v>
      </c>
      <c r="F480" s="144" t="s">
        <v>964</v>
      </c>
      <c r="G480" s="144" t="s">
        <v>863</v>
      </c>
      <c r="H480" s="80" t="s">
        <v>965</v>
      </c>
      <c r="I480" s="144" t="s">
        <v>866</v>
      </c>
      <c r="J480" s="80" t="s">
        <v>867</v>
      </c>
      <c r="K480" s="80" t="s">
        <v>868</v>
      </c>
      <c r="L480" s="80" t="s">
        <v>869</v>
      </c>
    </row>
    <row r="481" spans="4:12" ht="20.100000000000001" customHeight="1" x14ac:dyDescent="0.2">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42" cm="1">
        <f t="array" ref="G481">Scope3_Equations.VEERG_15_10_1_1__1_OtherPurchasedGoodsAndServices(E481,F481*10^-3)</f>
        <v>0.1195</v>
      </c>
      <c r="H481" s="76">
        <v>0.2</v>
      </c>
      <c r="I481" s="242" cm="1">
        <f t="array" ref="I481">Scope3_Equations.VEERG_15_10_1_1__1_OtherPurchasedGoodsAndServices(E481,IF(H481,H481,F481)*10^-3)</f>
        <v>0.1</v>
      </c>
      <c r="J481" s="34"/>
      <c r="K481" s="13"/>
      <c r="L481" s="34"/>
    </row>
    <row r="482" spans="4:12" ht="20.100000000000001" customHeight="1" x14ac:dyDescent="0.2">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42" cm="1">
        <f t="array" ref="G482">Scope3_Equations.VEERG_15_10_1_1__1_OtherPurchasedGoodsAndServices(E482,F482*10^-3)</f>
        <v>0.1086</v>
      </c>
      <c r="H482" s="76"/>
      <c r="I482" s="242" cm="1">
        <f t="array" ref="I482">Scope3_Equations.VEERG_15_10_1_1__1_OtherPurchasedGoodsAndServices(E482,IF(H482,H482,F482)*10^-3)</f>
        <v>0.1086</v>
      </c>
      <c r="J482" s="34"/>
      <c r="K482" s="13"/>
      <c r="L482" s="34"/>
    </row>
    <row r="483" spans="4:12" ht="20.100000000000001" customHeight="1" x14ac:dyDescent="0.2">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42" cm="1">
        <f t="array" ref="G483">Scope3_Equations.VEERG_15_10_1_1__1_OtherPurchasedGoodsAndServices(E483,F483*10^-3)</f>
        <v>0.189</v>
      </c>
      <c r="H483" s="76">
        <v>0.2</v>
      </c>
      <c r="I483" s="242" cm="1">
        <f t="array" ref="I483">Scope3_Equations.VEERG_15_10_1_1__1_OtherPurchasedGoodsAndServices(E483,IF(H483,H483,F483)*10^-3)</f>
        <v>0.14000000000000001</v>
      </c>
      <c r="J483" s="34"/>
      <c r="K483" s="13"/>
      <c r="L483" s="34"/>
    </row>
    <row r="484" spans="4:12" ht="20.100000000000001" customHeight="1" x14ac:dyDescent="0.2">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42" cm="1">
        <f t="array" ref="G484">Scope3_Equations.VEERG_15_10_1_1__1_OtherPurchasedGoodsAndServices(E484,F484*10^-3)</f>
        <v>0.18560000000000001</v>
      </c>
      <c r="H484" s="76"/>
      <c r="I484" s="242" cm="1">
        <f t="array" ref="I484">Scope3_Equations.VEERG_15_10_1_1__1_OtherPurchasedGoodsAndServices(E484,IF(H484,H484,F484)*10^-3)</f>
        <v>0.18560000000000001</v>
      </c>
      <c r="J484" s="34"/>
      <c r="K484" s="13"/>
      <c r="L484" s="34"/>
    </row>
    <row r="485" spans="4:12" ht="20.100000000000001" customHeight="1" x14ac:dyDescent="0.2">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42" cm="1">
        <f t="array" ref="G485">Scope3_Equations.VEERG_15_10_1_1__1_OtherPurchasedGoodsAndServices(E485,F485*10^-3)</f>
        <v>0.2412</v>
      </c>
      <c r="H485" s="76">
        <v>0.2</v>
      </c>
      <c r="I485" s="242" cm="1">
        <f t="array" ref="I485">Scope3_Equations.VEERG_15_10_1_1__1_OtherPurchasedGoodsAndServices(E485,IF(H485,H485,F485)*10^-3)</f>
        <v>0.18000000000000002</v>
      </c>
      <c r="J485" s="34"/>
      <c r="K485" s="13"/>
      <c r="L485" s="34"/>
    </row>
    <row r="487" spans="4:12" ht="20.100000000000001" customHeight="1" x14ac:dyDescent="0.2">
      <c r="D487" s="244" t="s">
        <v>863</v>
      </c>
      <c r="E487" s="88">
        <f>SUM(G481:G485)</f>
        <v>0.84389999999999998</v>
      </c>
      <c r="F487" s="97" t="str">
        <f>$E$170</f>
        <v>t CO2e</v>
      </c>
    </row>
    <row r="488" spans="4:12" ht="20.100000000000001" customHeight="1" x14ac:dyDescent="0.2">
      <c r="D488" s="244" t="s">
        <v>866</v>
      </c>
      <c r="E488" s="88">
        <f>SUM(I481:I485)</f>
        <v>0.71420000000000006</v>
      </c>
      <c r="F488" s="97" t="str">
        <f>$E$170</f>
        <v>t CO2e</v>
      </c>
    </row>
    <row r="491" spans="4:12" ht="20.100000000000001" customHeight="1" x14ac:dyDescent="0.2">
      <c r="D491" s="235" t="s">
        <v>967</v>
      </c>
    </row>
    <row r="493" spans="4:12" ht="20.100000000000001" customHeight="1" x14ac:dyDescent="0.2">
      <c r="D493" s="80" t="s">
        <v>790</v>
      </c>
      <c r="E493" s="80" t="s">
        <v>966</v>
      </c>
      <c r="F493" s="144" t="s">
        <v>964</v>
      </c>
      <c r="G493" s="144" t="s">
        <v>863</v>
      </c>
      <c r="H493" s="80" t="s">
        <v>965</v>
      </c>
      <c r="I493" s="144" t="s">
        <v>866</v>
      </c>
      <c r="J493" s="80" t="s">
        <v>867</v>
      </c>
      <c r="K493" s="80" t="s">
        <v>868</v>
      </c>
      <c r="L493" s="80" t="s">
        <v>869</v>
      </c>
    </row>
    <row r="494" spans="4:12" ht="20.100000000000001" customHeight="1" x14ac:dyDescent="0.2">
      <c r="D494" s="15"/>
      <c r="E494" s="15">
        <f>IFERROR(X_Cell_FarmInputs_Misc_AnimalEarTagsLarge, 0)</f>
        <v>0</v>
      </c>
      <c r="F494" s="15" cm="1">
        <f t="array" ref="F494">Common_InputFunctions.Utility_LookupValueInTableNumber(D494,Table_SourceData_Scope3_Other[Product],Table_SourceData_Scope3_Other[Emissions intensity])</f>
        <v>0</v>
      </c>
      <c r="G494" s="242" cm="1">
        <f t="array" ref="G494">Scope3_Equations.VEERG_15_10_1_1__1_OtherPurchasedGoodsAndServices(E494,F494*10^-3)</f>
        <v>0</v>
      </c>
      <c r="H494" s="76">
        <v>0.2</v>
      </c>
      <c r="I494" s="242" cm="1">
        <f t="array" ref="I494">Scope3_Equations.VEERG_15_10_1_1__1_OtherPurchasedGoodsAndServices(E494,IF(H494,H494,F494)*10^-3)</f>
        <v>0</v>
      </c>
      <c r="J494" s="34"/>
      <c r="K494" s="13"/>
      <c r="L494" s="34"/>
    </row>
    <row r="495" spans="4:12" ht="20.100000000000001" customHeight="1" x14ac:dyDescent="0.2">
      <c r="D495" s="15"/>
      <c r="E495" s="15">
        <f>IFERROR(X_Cell_FarmInputs_Misc_AnimalEarTagsSmall, 0)</f>
        <v>0</v>
      </c>
      <c r="F495" s="15" cm="1">
        <f t="array" ref="F495">Common_InputFunctions.Utility_LookupValueInTableNumber(D495,Table_SourceData_Scope3_Other[Product],Table_SourceData_Scope3_Other[Emissions intensity])</f>
        <v>0</v>
      </c>
      <c r="G495" s="242" cm="1">
        <f t="array" ref="G495">Scope3_Equations.VEERG_15_10_1_1__1_OtherPurchasedGoodsAndServices(E495,F495*10^-3)</f>
        <v>0</v>
      </c>
      <c r="H495" s="76"/>
      <c r="I495" s="242" cm="1">
        <f t="array" ref="I495">Scope3_Equations.VEERG_15_10_1_1__1_OtherPurchasedGoodsAndServices(E495,IF(H495,H495,F495)*10^-3)</f>
        <v>0</v>
      </c>
      <c r="J495" s="34"/>
      <c r="K495" s="13"/>
      <c r="L495" s="34"/>
    </row>
    <row r="496" spans="4: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42" cm="1">
        <f t="array" ref="G496">Scope3_Equations.VEERG_15_10_1_1__1_OtherPurchasedGoodsAndServices(E496,F496*10^-3)</f>
        <v>0</v>
      </c>
      <c r="H496" s="76">
        <v>0.2</v>
      </c>
      <c r="I496" s="242" cm="1">
        <f t="array" ref="I496">Scope3_Equations.VEERG_15_10_1_1__1_OtherPurchasedGoodsAndServices(E496,IF(H496,H496,F496)*10^-3)</f>
        <v>0</v>
      </c>
      <c r="J496" s="34"/>
      <c r="K496" s="13"/>
      <c r="L496" s="34"/>
    </row>
    <row r="498" spans="1:14" ht="20.100000000000001" customHeight="1" x14ac:dyDescent="0.2">
      <c r="D498" s="244" t="s">
        <v>863</v>
      </c>
      <c r="E498" s="88">
        <f>SUM(G494:G496)</f>
        <v>0</v>
      </c>
      <c r="F498" s="97" t="str">
        <f>$E$170</f>
        <v>t CO2e</v>
      </c>
    </row>
    <row r="499" spans="1:14" ht="20.100000000000001" customHeight="1" x14ac:dyDescent="0.2">
      <c r="D499" s="244" t="s">
        <v>866</v>
      </c>
      <c r="E499" s="88">
        <f>SUM(I494:I496)</f>
        <v>0</v>
      </c>
      <c r="F499" s="97" t="str">
        <f>$E$170</f>
        <v>t CO2e</v>
      </c>
    </row>
    <row r="502" spans="1:14" ht="20.100000000000001" customHeight="1" x14ac:dyDescent="0.2">
      <c r="D502" s="235" t="s">
        <v>968</v>
      </c>
    </row>
    <row r="504" spans="1:14" ht="20.100000000000001" customHeight="1" x14ac:dyDescent="0.2">
      <c r="D504" s="80" t="s">
        <v>790</v>
      </c>
      <c r="E504" s="80" t="s">
        <v>678</v>
      </c>
      <c r="F504" s="80" t="s">
        <v>587</v>
      </c>
      <c r="G504" s="144" t="s">
        <v>947</v>
      </c>
      <c r="H504" s="144" t="s">
        <v>948</v>
      </c>
      <c r="I504" s="80" t="s">
        <v>949</v>
      </c>
      <c r="J504" s="80" t="s">
        <v>969</v>
      </c>
      <c r="K504" s="144" t="s">
        <v>950</v>
      </c>
      <c r="L504" s="80" t="s">
        <v>867</v>
      </c>
      <c r="M504" s="80" t="s">
        <v>868</v>
      </c>
      <c r="N504" s="80" t="s">
        <v>869</v>
      </c>
    </row>
    <row r="505" spans="1: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952</v>
      </c>
      <c r="H505" s="15" t="s">
        <v>952</v>
      </c>
      <c r="I505" s="76">
        <v>4</v>
      </c>
      <c r="J505" s="13" t="s">
        <v>970</v>
      </c>
      <c r="K505" s="242" cm="1">
        <f t="array" ref="K505">Scope3_Equations.VEERG_15_10_1_1__1_OtherPurchasedGoodsAndServices(E505,IF(J505="kg / amount unit", I505*10^-3, I505))</f>
        <v>4000</v>
      </c>
      <c r="L505" s="34"/>
      <c r="M505" s="13"/>
      <c r="N505" s="34"/>
    </row>
    <row r="506" spans="1:14" ht="20.100000000000001" customHeight="1" x14ac:dyDescent="0.2">
      <c r="D506" s="15">
        <v>0</v>
      </c>
      <c r="E506" s="15">
        <v>0</v>
      </c>
      <c r="F506" s="15">
        <v>0</v>
      </c>
      <c r="G506" s="15" t="s">
        <v>952</v>
      </c>
      <c r="H506" s="15" t="s">
        <v>952</v>
      </c>
      <c r="I506" s="76">
        <v>2</v>
      </c>
      <c r="J506" s="13" t="s">
        <v>970</v>
      </c>
      <c r="K506" s="242" cm="1">
        <f t="array" ref="K506">Scope3_Equations.VEERG_15_10_1_1__1_OtherPurchasedGoodsAndServices(E506,IF(J506="kg / amount unit", I506*10^-3, I506))</f>
        <v>0</v>
      </c>
      <c r="L506" s="34"/>
      <c r="M506" s="13"/>
      <c r="N506" s="34"/>
    </row>
    <row r="507" spans="1:14" ht="20.100000000000001" customHeight="1" x14ac:dyDescent="0.2">
      <c r="D507" s="15">
        <v>0</v>
      </c>
      <c r="E507" s="15">
        <v>0</v>
      </c>
      <c r="F507" s="15">
        <v>0</v>
      </c>
      <c r="G507" s="15" t="s">
        <v>952</v>
      </c>
      <c r="H507" s="15" t="s">
        <v>952</v>
      </c>
      <c r="I507" s="76"/>
      <c r="J507" s="13"/>
      <c r="K507" s="242" cm="1">
        <f t="array" ref="K507">Scope3_Equations.VEERG_15_10_1_1__1_OtherPurchasedGoodsAndServices(E507,IF(J507="kg / amount unit", I507*10^-3, I507))</f>
        <v>0</v>
      </c>
      <c r="L507" s="34"/>
      <c r="M507" s="13"/>
      <c r="N507" s="34"/>
    </row>
    <row r="508" spans="1:14" ht="20.100000000000001" customHeight="1" x14ac:dyDescent="0.2">
      <c r="A508" s="81" t="str">
        <f>HYPERLINK("#A1", "▲ Back to top")</f>
        <v>▲ Back to top</v>
      </c>
      <c r="D508" s="15">
        <v>0</v>
      </c>
      <c r="E508" s="15">
        <v>0</v>
      </c>
      <c r="F508" s="15">
        <v>0</v>
      </c>
      <c r="G508" s="15" t="s">
        <v>952</v>
      </c>
      <c r="H508" s="15" t="s">
        <v>952</v>
      </c>
      <c r="I508" s="76"/>
      <c r="J508" s="13"/>
      <c r="K508" s="242" cm="1">
        <f t="array" ref="K508">Scope3_Equations.VEERG_15_10_1_1__1_OtherPurchasedGoodsAndServices(E508,IF(J508="kg / amount unit", I508*10^-3, I508))</f>
        <v>0</v>
      </c>
      <c r="L508" s="34"/>
      <c r="M508" s="13"/>
      <c r="N508" s="34"/>
    </row>
    <row r="509" spans="1:14" ht="20.100000000000001" customHeight="1" x14ac:dyDescent="0.2">
      <c r="D509" s="15">
        <v>0</v>
      </c>
      <c r="E509" s="15">
        <v>0</v>
      </c>
      <c r="F509" s="15">
        <v>0</v>
      </c>
      <c r="G509" s="15" t="s">
        <v>952</v>
      </c>
      <c r="H509" s="15" t="s">
        <v>952</v>
      </c>
      <c r="I509" s="76"/>
      <c r="J509" s="13"/>
      <c r="K509" s="242" cm="1">
        <f t="array" ref="K509">Scope3_Equations.VEERG_15_10_1_1__1_OtherPurchasedGoodsAndServices(E509,IF(J509="kg / amount unit", I509*10^-3, I509))</f>
        <v>0</v>
      </c>
      <c r="L509" s="34"/>
      <c r="M509" s="13"/>
      <c r="N509" s="34"/>
    </row>
    <row r="510" spans="1:14" ht="20.100000000000001" customHeight="1" x14ac:dyDescent="0.2">
      <c r="D510" s="15">
        <v>0</v>
      </c>
      <c r="E510" s="15">
        <v>0</v>
      </c>
      <c r="F510" s="15">
        <v>0</v>
      </c>
      <c r="G510" s="15" t="s">
        <v>952</v>
      </c>
      <c r="H510" s="15" t="s">
        <v>952</v>
      </c>
      <c r="I510" s="76"/>
      <c r="J510" s="13"/>
      <c r="K510" s="242" cm="1">
        <f t="array" ref="K510">Scope3_Equations.VEERG_15_10_1_1__1_OtherPurchasedGoodsAndServices(E510,IF(J510="kg / amount unit", I510*10^-3, I510))</f>
        <v>0</v>
      </c>
      <c r="L510" s="34"/>
      <c r="M510" s="13"/>
      <c r="N510" s="34"/>
    </row>
    <row r="511" spans="1:14" ht="20.100000000000001" customHeight="1" x14ac:dyDescent="0.2">
      <c r="D511" s="15">
        <v>0</v>
      </c>
      <c r="E511" s="15">
        <v>0</v>
      </c>
      <c r="F511" s="15">
        <v>0</v>
      </c>
      <c r="G511" s="15" t="s">
        <v>952</v>
      </c>
      <c r="H511" s="15" t="s">
        <v>952</v>
      </c>
      <c r="I511" s="76"/>
      <c r="J511" s="13"/>
      <c r="K511" s="242" cm="1">
        <f t="array" ref="K511">Scope3_Equations.VEERG_15_10_1_1__1_OtherPurchasedGoodsAndServices(E511,IF(J511="kg / amount unit", I511*10^-3, I511))</f>
        <v>0</v>
      </c>
      <c r="L511" s="34"/>
      <c r="M511" s="13"/>
      <c r="N511" s="34"/>
    </row>
    <row r="512" spans="1:14" ht="20.100000000000001" customHeight="1" x14ac:dyDescent="0.2">
      <c r="D512" s="15">
        <v>0</v>
      </c>
      <c r="E512" s="15">
        <v>0</v>
      </c>
      <c r="F512" s="15">
        <v>0</v>
      </c>
      <c r="G512" s="15" t="s">
        <v>952</v>
      </c>
      <c r="H512" s="15" t="s">
        <v>952</v>
      </c>
      <c r="I512" s="76"/>
      <c r="J512" s="13"/>
      <c r="K512" s="242" cm="1">
        <f t="array" ref="K512">Scope3_Equations.VEERG_15_10_1_1__1_OtherPurchasedGoodsAndServices(E512,IF(J512="kg / amount unit", I512*10^-3, I512))</f>
        <v>0</v>
      </c>
      <c r="L512" s="34"/>
      <c r="M512" s="13"/>
      <c r="N512" s="34"/>
    </row>
    <row r="513" spans="3:41" ht="20.100000000000001" customHeight="1" x14ac:dyDescent="0.2">
      <c r="D513" s="15">
        <v>0</v>
      </c>
      <c r="E513" s="15">
        <v>0</v>
      </c>
      <c r="F513" s="15">
        <v>0</v>
      </c>
      <c r="G513" s="15" t="s">
        <v>952</v>
      </c>
      <c r="H513" s="15" t="s">
        <v>952</v>
      </c>
      <c r="I513" s="76"/>
      <c r="J513" s="13"/>
      <c r="K513" s="242" cm="1">
        <f t="array" ref="K513">Scope3_Equations.VEERG_15_10_1_1__1_OtherPurchasedGoodsAndServices(E513,IF(J513="kg / amount unit", I513*10^-3, I513))</f>
        <v>0</v>
      </c>
      <c r="L513" s="34"/>
      <c r="M513" s="13"/>
      <c r="N513" s="34"/>
    </row>
    <row r="514" spans="3:41" ht="20.100000000000001" customHeight="1" x14ac:dyDescent="0.2">
      <c r="D514" s="15">
        <v>0</v>
      </c>
      <c r="E514" s="15">
        <v>0</v>
      </c>
      <c r="F514" s="15">
        <v>0</v>
      </c>
      <c r="G514" s="15" t="s">
        <v>952</v>
      </c>
      <c r="H514" s="15" t="s">
        <v>952</v>
      </c>
      <c r="I514" s="76"/>
      <c r="J514" s="13"/>
      <c r="K514" s="242" cm="1">
        <f t="array" ref="K514">Scope3_Equations.VEERG_15_10_1_1__1_OtherPurchasedGoodsAndServices(E514,IF(J514="kg / amount unit", I514*10^-3, I514))</f>
        <v>0</v>
      </c>
      <c r="L514" s="34"/>
      <c r="M514" s="13"/>
      <c r="N514" s="34"/>
    </row>
    <row r="516" spans="3:41" ht="20.100000000000001" customHeight="1" x14ac:dyDescent="0.2">
      <c r="D516" s="244" t="s">
        <v>863</v>
      </c>
      <c r="E516" s="88" t="s">
        <v>952</v>
      </c>
      <c r="F516" s="97" t="str">
        <f>$E$170</f>
        <v>t CO2e</v>
      </c>
    </row>
    <row r="517" spans="3:41" ht="20.100000000000001" customHeight="1" x14ac:dyDescent="0.2">
      <c r="D517" s="244" t="s">
        <v>866</v>
      </c>
      <c r="E517" s="88">
        <f>SUM(K505:K514)</f>
        <v>4000</v>
      </c>
      <c r="F517" s="97" t="str">
        <f>$E$170</f>
        <v>t CO2e</v>
      </c>
    </row>
    <row r="520" spans="3:41" ht="20.100000000000001" customHeight="1" x14ac:dyDescent="0.2">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c r="AK520" s="85"/>
      <c r="AL520" s="85"/>
      <c r="AM520" s="85"/>
      <c r="AN520" s="85"/>
      <c r="AO520" s="85"/>
    </row>
    <row r="521" spans="3:41" ht="20.100000000000001" customHeight="1" x14ac:dyDescent="0.2">
      <c r="D521" s="2" t="str" cm="1">
        <f t="array" ref="D521">Scope3_Equations.VEERG_15_11_1_1__1_TotalUpstreamEmissionsFromFuel_Title()</f>
        <v>Total upstream emissions from scope 1 fuel consumption</v>
      </c>
    </row>
    <row r="522" spans="3:41" ht="20.100000000000001" customHeight="1" x14ac:dyDescent="0.2">
      <c r="D522" s="17" t="str" cm="1">
        <f t="array" ref="D522">Scope3_Equations.VEERG_15_11_1_1__1_TotalUpstreamEmissionsFromFuel_Source()</f>
        <v>VEERG 2026: 15.11.1.1, Equation (1)</v>
      </c>
    </row>
    <row r="523" spans="3:41" ht="20.100000000000001" customHeight="1" x14ac:dyDescent="0.2">
      <c r="D523" s="140" t="s">
        <v>402</v>
      </c>
      <c r="E523" s="140" t="str">
        <f ca="1">Common_InputFunctions.Utility_DisplayFunctionName(VEERG_15_11_1_1__1_TotalUpstreamEmissionsFromFuel_Result)</f>
        <v>=Scope3_Equations.VEERG_15_11_1_1__1_TotalUpstreamEmissionsFromFuel</v>
      </c>
    </row>
    <row r="527" spans="3:41" ht="20.100000000000001" customHeight="1" x14ac:dyDescent="0.2">
      <c r="D527" s="77" t="s">
        <v>407</v>
      </c>
      <c r="E527" s="1" t="str" cm="1">
        <f t="array" ref="E527">Scope3_Equations.VEERG_15_11_1_1__1_TotalUpstreamEmissionsFromFuel_Variable()</f>
        <v>E</v>
      </c>
    </row>
    <row r="528" spans="3:41" ht="20.100000000000001" customHeight="1" x14ac:dyDescent="0.2">
      <c r="D528" s="77" t="s">
        <v>118</v>
      </c>
      <c r="E528" s="9" t="str" cm="1">
        <f t="array" ref="E528">Scope3_Equations.VEERG_15_11_1_1__1_TotalUpstreamEmissionsFromFuel_Unit()</f>
        <v>t CO2e</v>
      </c>
    </row>
    <row r="530" spans="1:41" ht="20.100000000000001" customHeight="1" x14ac:dyDescent="0.2">
      <c r="D530" s="156" t="str" cm="1">
        <f t="array" ref="D530:E531">_xlfn.CHOOSECOLS(Scope3_Equations.VEERG_15_11_1_1__1_TotalUpstreamEmissionsFromFuel_Arguments(),1,2)</f>
        <v>E_WTTtransq</v>
      </c>
      <c r="E530" s="153" t="str">
        <v>upstream emissions from scope 1 transport fuel use</v>
      </c>
      <c r="F530" s="165"/>
      <c r="G530" s="156" t="str" cm="1">
        <f t="array" ref="G530:H531">_xlfn.CHOOSECOLS(Scope3_Equations.VEERG_15_11_1_1__1_TotalUpstreamEmissionsFromFuel_Arguments(),3,4)</f>
        <v>t CO2e</v>
      </c>
      <c r="H530" s="148" t="str">
        <v>Calculated by 15.11.1.1 (2)</v>
      </c>
      <c r="I530" s="156">
        <f>VEERG_8_1_1_1__1_FuelCombustionTransport_Result</f>
        <v>20.5016</v>
      </c>
    </row>
    <row r="531" spans="1:41" ht="20.100000000000001" customHeight="1" x14ac:dyDescent="0.2">
      <c r="D531" s="156" t="str">
        <v>E_WTTSCq</v>
      </c>
      <c r="E531" s="153" t="str">
        <v>upstream emissions from scope 1 stationary combustion fuel use</v>
      </c>
      <c r="F531" s="165"/>
      <c r="G531" s="156" t="str">
        <v>t CO2e</v>
      </c>
      <c r="H531" s="148" t="str">
        <v>Calculated by 15.11.1.1 (3)</v>
      </c>
      <c r="I531" s="156">
        <f>VEERG_8_2_1_1__1_FuelCombustionStationary_Result</f>
        <v>6.2923999999999998</v>
      </c>
    </row>
    <row r="533" spans="1:41" ht="20.100000000000001" customHeight="1" x14ac:dyDescent="0.2">
      <c r="D533" s="244" t="s">
        <v>971</v>
      </c>
      <c r="E533" s="88" cm="1">
        <f t="array" ref="E533">Scope3_Equations.VEERG_15_11_1_1__1_TotalUpstreamEmissionsFromFuel(I530,I531)</f>
        <v>26.794</v>
      </c>
      <c r="F533" s="97" t="str">
        <f>$E$170</f>
        <v>t CO2e</v>
      </c>
    </row>
    <row r="535" spans="1:41" ht="20.100000000000001" customHeight="1" x14ac:dyDescent="0.2">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c r="AN535" s="85"/>
      <c r="AO535" s="85"/>
    </row>
    <row r="536" spans="1:41" ht="20.100000000000001" customHeight="1" x14ac:dyDescent="0.2">
      <c r="D536" s="2" t="str" cm="1">
        <f t="array" ref="D536">Scope3_Equations.VEERG_15_12_1_1__1_UpstreamPurchasedElectricityLocationBased_Title()</f>
        <v>Scope 3 emissions from purchased electricity location based</v>
      </c>
    </row>
    <row r="537" spans="1:41" ht="20.100000000000001" customHeight="1" x14ac:dyDescent="0.2">
      <c r="D537" s="17" t="str" cm="1">
        <f t="array" ref="D537">Scope3_Equations.VEERG_15_12_1_1__1_UpstreamPurchasedElectricityLocationBased_Source()</f>
        <v>VEERG 2026: 15.12.1.1, Equation (1)</v>
      </c>
    </row>
    <row r="538" spans="1:41" ht="20.100000000000001" customHeight="1" x14ac:dyDescent="0.2">
      <c r="A538" s="81" t="str">
        <f>HYPERLINK("#A1", "▲ Back to top")</f>
        <v>▲ Back to top</v>
      </c>
      <c r="D538" s="140" t="s">
        <v>402</v>
      </c>
      <c r="E538" s="140" t="str">
        <f ca="1">Common_InputFunctions.Utility_DisplayFunctionName(VEERG_15_12_1_1__1_UpstreamPurchasedElectricityLocationBased_Result)</f>
        <v>=Scope3_Equations.VEERG_15_12_1_1__1_UpstreamPurchasedElectricityLocationBased</v>
      </c>
    </row>
    <row r="541" spans="1:41" ht="20.100000000000001" customHeight="1" x14ac:dyDescent="0.2">
      <c r="D541" s="77" t="s">
        <v>407</v>
      </c>
      <c r="E541" s="1" t="str" cm="1">
        <f t="array" ref="E541">Scope3_Equations.VEERG_15_12_1_1__1_UpstreamPurchasedElectricityLocationBased_Variable()</f>
        <v>E_3elec</v>
      </c>
    </row>
    <row r="542" spans="1:41" ht="20.100000000000001" customHeight="1" x14ac:dyDescent="0.2">
      <c r="D542" s="77" t="s">
        <v>118</v>
      </c>
      <c r="E542" s="1" t="str" cm="1">
        <f t="array" ref="E542">Scope3_Equations.VEERG_15_12_1_1__1_UpstreamPurchasedElectricityLocationBased_Unit()</f>
        <v>t CO2e</v>
      </c>
    </row>
    <row r="544" spans="1:41" ht="20.100000000000001" customHeight="1" x14ac:dyDescent="0.2">
      <c r="D544" s="156" t="str" cm="1">
        <f t="array" ref="D544:E546">_xlfn.CHOOSECOLS(Scope3_Equations.VEERG_15_12_1_1__1_UpstreamPurchasedElectricityLocationBased_Arguments(),1,2)</f>
        <v>Q_elec</v>
      </c>
      <c r="E544" s="156" t="str">
        <v>amount of electricity purchased from the grid</v>
      </c>
      <c r="F544" s="156"/>
      <c r="G544" s="156" t="str" cm="1">
        <f t="array" ref="G544:H546">_xlfn.CHOOSECOLS(Scope3_Equations.VEERG_15_12_1_1__1_UpstreamPurchasedElectricityLocationBased_Arguments(),3,4)</f>
        <v>kWh</v>
      </c>
      <c r="H544" s="240" t="str">
        <v>Input</v>
      </c>
      <c r="I544" s="153">
        <f>X_Cell_Electricity_Location_AmountPurchasedInkWh</f>
        <v>30000</v>
      </c>
      <c r="J544" s="165"/>
    </row>
    <row r="545" spans="3:41" ht="20.100000000000001" customHeight="1" x14ac:dyDescent="0.2">
      <c r="D545" s="156" t="str">
        <v>EF_3elec</v>
      </c>
      <c r="E545" s="156" t="str">
        <v>scope 3 emission factor for purchased electricity</v>
      </c>
      <c r="F545" s="156"/>
      <c r="G545" s="156" t="str">
        <v>kg CO2e/kWh</v>
      </c>
      <c r="H545" s="148" t="str">
        <v>Constant</v>
      </c>
      <c r="I545" s="153" cm="1">
        <f t="array" ref="I545">Common_InputFunctions.Utility_LookupValueInTableNumber(I546,Table_SourceData_ElectricityEFs[State, Territory or grid description],Table_SourceData_ElectricityEFs[Scope 3 Emission Factors (kg CO2-e/kWh)])</f>
        <v>0.09</v>
      </c>
      <c r="J545" s="165"/>
    </row>
    <row r="546" spans="3:41" ht="20.100000000000001" customHeight="1" x14ac:dyDescent="0.2">
      <c r="D546" s="156" t="str">
        <v>g</v>
      </c>
      <c r="E546" s="153" t="str">
        <v>grid electricity was purchased from</v>
      </c>
      <c r="F546" s="165"/>
      <c r="G546" s="156" t="str">
        <v/>
      </c>
      <c r="H546" s="240" t="str">
        <v>Input</v>
      </c>
      <c r="I546" s="153" t="str">
        <f>X_Cell_Electricity_Location_GridElectricityPurchasedFrom</f>
        <v>Western Australia - North Western Interconnected System (NWIS)</v>
      </c>
      <c r="J546" s="165"/>
    </row>
    <row r="548" spans="3:41" ht="20.100000000000001" customHeight="1" x14ac:dyDescent="0.2">
      <c r="D548" s="244" t="s">
        <v>972</v>
      </c>
      <c r="E548" s="88" cm="1">
        <f t="array" ref="E548">Scope3_Equations.VEERG_15_12_1_1__1_UpstreamPurchasedElectricityLocationBased(I544,I545)</f>
        <v>2.7</v>
      </c>
      <c r="F548" s="97" t="str">
        <f>$E$170</f>
        <v>t CO2e</v>
      </c>
    </row>
    <row r="551" spans="3:41" ht="20.100000000000001" customHeight="1" x14ac:dyDescent="0.2">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c r="AN551" s="85"/>
      <c r="AO551" s="85"/>
    </row>
    <row r="552" spans="3:41" ht="20.100000000000001" customHeight="1" x14ac:dyDescent="0.2">
      <c r="D552" s="2" t="str" cm="1">
        <f t="array" ref="D552">Scope3_Equations.VEERG_15_12_1_2__1_UpstreamPurchasedElectricityMarketBased_Title()</f>
        <v>Scope 3 emissions from purchased electricity market based</v>
      </c>
    </row>
    <row r="553" spans="3:41" ht="20.100000000000001" customHeight="1" x14ac:dyDescent="0.2">
      <c r="D553" s="17" t="str" cm="1">
        <f t="array" ref="D553">Scope3_Equations.VEERG_15_12_1_2__1_UpstreamPurchasedElectricityMarketBased_Source()</f>
        <v>VEERG 2026: 15.12.1.2, Equation (1)</v>
      </c>
    </row>
    <row r="554" spans="3:41" ht="20.100000000000001" customHeight="1" x14ac:dyDescent="0.2">
      <c r="D554" s="26"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ht="20.100000000000001" customHeight="1" x14ac:dyDescent="0.2">
      <c r="D555" s="140" t="s">
        <v>402</v>
      </c>
      <c r="E555" s="140" t="str">
        <f ca="1">Common_InputFunctions.Utility_DisplayFunctionName(VEERG_15_12_1_2__1_UpstreamPurchasedElectricityMarketBasedVariation_Result)</f>
        <v>=Scope3_Equations.VEERG_15_12_1_2__1_UpstreamPurchasedElectricityMarketBasedVariation</v>
      </c>
    </row>
    <row r="559" spans="3:41" ht="20.100000000000001" customHeight="1" x14ac:dyDescent="0.2">
      <c r="D559" s="77" t="s">
        <v>407</v>
      </c>
      <c r="E559" s="1" t="str" cm="1">
        <f t="array" ref="E559">Scope3_Equations.VEERG_15_12_1_2__1_UpstreamPurchasedElectricityMarketBased_Variable()</f>
        <v>E_3elec</v>
      </c>
    </row>
    <row r="560" spans="3:41" ht="20.100000000000001" customHeight="1" x14ac:dyDescent="0.2">
      <c r="D560" s="77" t="s">
        <v>118</v>
      </c>
      <c r="E560" s="1" t="str" cm="1">
        <f t="array" ref="E560">Scope3_Equations.VEERG_15_12_1_2__1_UpstreamPurchasedElectricityMarketBased_Unit()</f>
        <v>t CO2e</v>
      </c>
    </row>
    <row r="562" spans="1:41" ht="20.100000000000001" customHeight="1" x14ac:dyDescent="0.2">
      <c r="D562" s="156" t="str" cm="1">
        <f t="array" ref="D562:E568">_xlfn.CHOOSECOLS(Scope3_Equations.VEERG_15_12_1_2__1_UpstreamPurchasedElectricityMarketBased_Arguments(),1,2)</f>
        <v>Q_elec</v>
      </c>
      <c r="E562" s="153" t="str">
        <v>amount of electricity purchased from the grid</v>
      </c>
      <c r="F562" s="165"/>
      <c r="G562" s="156" t="str" cm="1">
        <f t="array" ref="G562:H568">_xlfn.CHOOSECOLS(Scope3_Equations.VEERG_15_12_1_2__1_UpstreamPurchasedElectricityMarketBased_Arguments(),3,4)</f>
        <v>kWh</v>
      </c>
      <c r="H562" s="240" t="str">
        <v>Input</v>
      </c>
      <c r="I562" s="245">
        <f>X_Cell_Electricity_Market_AmountPurchasedExcludingGreenPower</f>
        <v>30000</v>
      </c>
    </row>
    <row r="563" spans="1:41" ht="20.100000000000001" customHeight="1" x14ac:dyDescent="0.2">
      <c r="D563" s="156" t="str">
        <v>RPP</v>
      </c>
      <c r="E563" s="153" t="str">
        <v>renewable power percentage under LRET for the applicable period</v>
      </c>
      <c r="F563" s="165"/>
      <c r="G563" s="156" t="str">
        <v>fraction</v>
      </c>
      <c r="H563" s="240" t="str">
        <v>Input</v>
      </c>
      <c r="I563" s="177">
        <f>X_Cell_Electricity_Market_RenewablePowerPercentage</f>
        <v>0.1</v>
      </c>
    </row>
    <row r="564" spans="1:41" ht="20.100000000000001" customHeight="1" x14ac:dyDescent="0.2">
      <c r="D564" s="156" t="str">
        <v>JRPP</v>
      </c>
      <c r="E564" s="153" t="str">
        <v>jurisdictional renewable power percentage for the applicable period</v>
      </c>
      <c r="F564" s="165"/>
      <c r="G564" s="156" t="str">
        <v>fraction</v>
      </c>
      <c r="H564" s="240" t="str">
        <v>Input</v>
      </c>
      <c r="I564" s="177">
        <f>X_Cell_Electricity_Market_JurisdictionalRenewablePowerPercentage</f>
        <v>0.1</v>
      </c>
    </row>
    <row r="565" spans="1:41" ht="20.100000000000001" customHeight="1" x14ac:dyDescent="0.2">
      <c r="D565" s="156" t="str">
        <v>REC_surrendered</v>
      </c>
      <c r="E565" s="153" t="str">
        <v>eligible renewable energy certificates voluntarily surrendered</v>
      </c>
      <c r="F565" s="165"/>
      <c r="G565" s="156" t="str">
        <v>MWh</v>
      </c>
      <c r="H565" s="240" t="str">
        <v>Input</v>
      </c>
      <c r="I565" s="156">
        <f>(X_Cell_Electricity_Market_AmountPurchasedGreenPower*10^-3)+X_Cell_TotalElegibleVoluntarilySurrenderedRECs</f>
        <v>15</v>
      </c>
    </row>
    <row r="566" spans="1:41" ht="20.100000000000001" customHeight="1" x14ac:dyDescent="0.2">
      <c r="D566" s="156" t="str">
        <v>REC_onsite</v>
      </c>
      <c r="E566" s="153" t="str">
        <v>eligible renewable energy certificates issued for onsite generated electricity</v>
      </c>
      <c r="F566" s="165"/>
      <c r="G566" s="156" t="str">
        <v>MWh</v>
      </c>
      <c r="H566" s="240" t="str">
        <v>Input</v>
      </c>
      <c r="I566" s="156">
        <f>X_Cell_TotalElegibleRECsForElectricityProducedOnSite</f>
        <v>0</v>
      </c>
    </row>
    <row r="567" spans="1:41" ht="20.100000000000001" customHeight="1" x14ac:dyDescent="0.2">
      <c r="D567" s="156" t="str">
        <v>EF_RMF3elec</v>
      </c>
      <c r="E567" s="153" t="str">
        <v>scope 3 residual mix emission factor for electricity</v>
      </c>
      <c r="F567" s="165"/>
      <c r="G567" s="156" t="str">
        <v>kg CO2e/kWh</v>
      </c>
      <c r="H567" s="148" t="str">
        <v>Constant</v>
      </c>
      <c r="I567" s="156" cm="1">
        <f t="array" ref="I567">Table_SourceData_ElectricityEFsMarketBased[Scope 3 EF (kg CO2-e/kWh)]</f>
        <v>0.1</v>
      </c>
    </row>
    <row r="568" spans="1:41" ht="20.100000000000001" customHeight="1" x14ac:dyDescent="0.2">
      <c r="A568" s="81" t="str">
        <f>HYPERLINK("#A1", "▲ Back to top")</f>
        <v>▲ Back to top</v>
      </c>
      <c r="D568" s="156" t="str">
        <v>i</v>
      </c>
      <c r="E568" s="153" t="str">
        <v>state</v>
      </c>
      <c r="F568" s="165"/>
      <c r="G568" s="156" t="str">
        <v/>
      </c>
      <c r="H568" s="240" t="str">
        <v>Input</v>
      </c>
      <c r="I568" s="156" t="str">
        <f>X_Cell_Site_State</f>
        <v>Western Australia</v>
      </c>
    </row>
    <row r="570" spans="1:41" ht="20.100000000000001" customHeight="1" x14ac:dyDescent="0.2">
      <c r="D570" s="244" t="s">
        <v>972</v>
      </c>
      <c r="E570" s="88" cm="1">
        <f t="array" ref="E570">Scope3_Equations.VEERG_15_12_1_2__1_UpstreamPurchasedElectricityMarketBasedVariation(I562,I563,I564,I565,I566,I567)</f>
        <v>0.9</v>
      </c>
      <c r="F570" s="97" t="str">
        <f>$E$170</f>
        <v>t CO2e</v>
      </c>
    </row>
    <row r="573" spans="1:41" ht="20.100000000000001" customHeight="1" x14ac:dyDescent="0.2">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c r="AN573" s="85"/>
      <c r="AO573" s="85"/>
    </row>
    <row r="574" spans="1:41" ht="20.100000000000001" customHeight="1" x14ac:dyDescent="0.2">
      <c r="D574" s="2" t="str" cm="1">
        <f t="array" ref="D574">Scope3_Equations.VEERG_15_13_1_1__1_EmissionsFromManureSentOffSite_Title()</f>
        <v>Emissions from manure sent off site applied to soils in another farming system or enterprise</v>
      </c>
    </row>
    <row r="575" spans="1:41" ht="20.100000000000001" customHeight="1" x14ac:dyDescent="0.2">
      <c r="D575" s="17" t="str" cm="1">
        <f t="array" ref="D575">Scope3_Equations.VEERG_15_13_1_1__1_EmissionsFromManureSentOffSite_Source()</f>
        <v>VEERG 2026: 15.13.1.1, Equation (1)</v>
      </c>
    </row>
    <row r="576" spans="1:41" ht="20.100000000000001" customHeight="1" x14ac:dyDescent="0.2">
      <c r="D576" s="140" t="s">
        <v>402</v>
      </c>
      <c r="E576" s="140" t="str" cm="1">
        <f t="array" aca="1" ref="E576" ca="1">Common_InputFunctions.Utility_DisplayFunctionName(E588)</f>
        <v>=Scope3_Equations.VEERG_15_13_1_1__1_EmissionsFromManureSentOffSite</v>
      </c>
    </row>
    <row r="579" spans="4:18" ht="20.100000000000001" customHeight="1" x14ac:dyDescent="0.2">
      <c r="D579" s="77" t="s">
        <v>407</v>
      </c>
      <c r="E579" s="1" t="str" cm="1">
        <f t="array" ref="E579">Scope3_Equations.VEERG_15_13_1_1__1_EmissionsFromManureSentOffSite_Variable()</f>
        <v>E</v>
      </c>
    </row>
    <row r="580" spans="4:18" ht="20.100000000000001" customHeight="1" x14ac:dyDescent="0.2">
      <c r="D580" s="77" t="s">
        <v>118</v>
      </c>
      <c r="E580" s="9" t="str" cm="1">
        <f t="array" ref="E580">Scope3_Equations.VEERG_15_13_1_1__1_EmissionsFromManureSentOffSite_Unit()</f>
        <v>t N2O</v>
      </c>
    </row>
    <row r="582" spans="4:18" ht="20.100000000000001" customHeight="1" x14ac:dyDescent="0.2">
      <c r="D582" s="25" t="s">
        <v>128</v>
      </c>
      <c r="L582" s="25" t="s">
        <v>129</v>
      </c>
    </row>
    <row r="584" spans="4:18" ht="20.100000000000001" customHeight="1" x14ac:dyDescent="0.2">
      <c r="D584" s="156" t="str" cm="1">
        <f t="array" ref="D584:E586">_xlfn.CHOOSECOLS(Scope3_Equations.VEERG_15_13_1_1__1_EmissionsFromManureSentOffSite_Arguments(),1,2)</f>
        <v>E_N2O</v>
      </c>
      <c r="E584" s="153" t="str">
        <v>direct nitrous oxide emissions from application of manure to soils outside of scope 1 boundary</v>
      </c>
      <c r="F584" s="164"/>
      <c r="G584" s="165"/>
      <c r="H584" s="156" t="str" cm="1">
        <f t="array" ref="H584:I586">_xlfn.CHOOSECOLS(Scope3_Equations.VEERG_15_13_1_1__1_EmissionsFromManureSentOffSite_Arguments(),3,4)</f>
        <v>t N2O</v>
      </c>
      <c r="I584" s="148" t="str">
        <v>Calculated</v>
      </c>
      <c r="J584" s="156">
        <f>IFERROR(VEERG_5_2_1_1__1_OrganicFertiliserApplicationN2OEmissions_Result_Method1, 0)</f>
        <v>0</v>
      </c>
      <c r="L584" s="156" t="str" cm="1">
        <f t="array" ref="L584:M586">_xlfn.CHOOSECOLS(Scope3_Equations.VEERG_15_13_1_1__1_EmissionsFromManureSentOffSite_Arguments(),1,2)</f>
        <v>E_N2O</v>
      </c>
      <c r="M584" s="153" t="str">
        <v>direct nitrous oxide emissions from application of manure to soils outside of scope 1 boundary</v>
      </c>
      <c r="N584" s="164"/>
      <c r="O584" s="165"/>
      <c r="P584" s="156" t="str" cm="1">
        <f t="array" ref="P584:Q586">_xlfn.CHOOSECOLS(Scope3_Equations.VEERG_15_13_1_1__1_EmissionsFromManureSentOffSite_Arguments(),3,4)</f>
        <v>t N2O</v>
      </c>
      <c r="Q584" s="148" t="str">
        <v>Calculated</v>
      </c>
      <c r="R584" s="156">
        <f>IFERROR(VEERG_5_2_1_1__1_OrganicFertiliserApplicationN2OEmissions_Result_Method2, 0)</f>
        <v>0</v>
      </c>
    </row>
    <row r="585" spans="4:18" ht="20.100000000000001" customHeight="1" x14ac:dyDescent="0.2">
      <c r="D585" s="156" t="str">
        <v>E_ad</v>
      </c>
      <c r="E585" s="153" t="str">
        <v>nitrous oxide emissions from atmospheric deposition of manure to soils</v>
      </c>
      <c r="F585" s="164"/>
      <c r="G585" s="165"/>
      <c r="H585" s="156" t="str">
        <v>t N2O</v>
      </c>
      <c r="I585" s="148" t="str">
        <v>Calculated</v>
      </c>
      <c r="J585" s="156">
        <f>IFERROR(VEERG_5_4_1_3__1_OrganicFertiliserAtmosphericDepositionN2OEmissions_Result_Method1, 0)</f>
        <v>1.6400999999999999E-2</v>
      </c>
      <c r="L585" s="156" t="str">
        <v>E_ad</v>
      </c>
      <c r="M585" s="153" t="str">
        <v>nitrous oxide emissions from atmospheric deposition of manure to soils</v>
      </c>
      <c r="N585" s="164"/>
      <c r="O585" s="165"/>
      <c r="P585" s="156" t="str">
        <v>t N2O</v>
      </c>
      <c r="Q585" s="148" t="str">
        <v>Calculated</v>
      </c>
      <c r="R585" s="156">
        <f>IFERROR(VEERG_5_4_1_3__1_OrganicFertiliserAtmosphericDepositionN2OEmissions_Result_Method2, 0)</f>
        <v>0</v>
      </c>
    </row>
    <row r="586" spans="4:18" ht="20.100000000000001" customHeight="1" x14ac:dyDescent="0.2">
      <c r="D586" s="156" t="str">
        <v>E_leach</v>
      </c>
      <c r="E586" s="153" t="str">
        <v>nitrous oxide emissions from nitrogen leaching and runoff of manure to soils</v>
      </c>
      <c r="F586" s="164"/>
      <c r="G586" s="165"/>
      <c r="H586" s="156" t="str">
        <v>t N2O</v>
      </c>
      <c r="I586" s="148" t="str">
        <v>Calculated</v>
      </c>
      <c r="J586" s="156">
        <f>IFERROR(VEERG_5_5_1_1__1_FertiliserLeachingAndRunoffN2OEmissions_Result_Method1, 0)</f>
        <v>0.78791740368000007</v>
      </c>
      <c r="L586" s="156" t="str">
        <v>E_leach</v>
      </c>
      <c r="M586" s="153" t="str">
        <v>nitrous oxide emissions from nitrogen leaching and runoff of manure to soils</v>
      </c>
      <c r="N586" s="164"/>
      <c r="O586" s="165"/>
      <c r="P586" s="156" t="str">
        <v>t N2O</v>
      </c>
      <c r="Q586" s="148" t="str">
        <v>Calculated</v>
      </c>
      <c r="R586" s="156">
        <f>IFERROR(VEERG_5_5_1_1__1_FertiliserLeachingAndRunoffN2OEmissions_Result_Method2, 0)</f>
        <v>0</v>
      </c>
    </row>
    <row r="588" spans="4:18" ht="20.100000000000001" customHeight="1" x14ac:dyDescent="0.2">
      <c r="D588" s="244" t="s">
        <v>972</v>
      </c>
      <c r="E588" s="88" cm="1">
        <f t="array" ref="E588">Scope3_Equations.VEERG_15_13_1_1__1_EmissionsFromManureSentOffSite(J584,J585,J586)</f>
        <v>0.80431840368000007</v>
      </c>
      <c r="F588" s="97" t="str">
        <f>$E$580</f>
        <v>t N2O</v>
      </c>
      <c r="L588" s="244" t="s">
        <v>972</v>
      </c>
      <c r="M588" s="88" cm="1">
        <f t="array" ref="M588">Scope3_Equations.VEERG_15_13_1_1__1_EmissionsFromManureSentOffSite(R584,R585,R586)</f>
        <v>0</v>
      </c>
      <c r="N588" s="97" t="str">
        <f>$E$580</f>
        <v>t N2O</v>
      </c>
    </row>
    <row r="590" spans="4:18" ht="20.100000000000001" customHeight="1" x14ac:dyDescent="0.2">
      <c r="D590" s="145" t="str" cm="1">
        <f t="array" ref="D590:E591">Common_Equations.Common_ConvertN2OToCO2e_Arguments()</f>
        <v>EN2O</v>
      </c>
      <c r="E590" s="146" t="str">
        <v>Nitrous oxide emissions (t N2O)</v>
      </c>
      <c r="F590" s="155"/>
      <c r="G590" s="15">
        <f>E588</f>
        <v>0.80431840368000007</v>
      </c>
      <c r="L590" s="145" t="str" cm="1">
        <f t="array" ref="L590:M591">Common_Equations.Common_ConvertN2OToCO2e_Arguments()</f>
        <v>EN2O</v>
      </c>
      <c r="M590" s="146" t="str">
        <v>Nitrous oxide emissions (t N2O)</v>
      </c>
      <c r="N590" s="155"/>
      <c r="O590" s="15">
        <f>M588</f>
        <v>0</v>
      </c>
    </row>
    <row r="591" spans="4:18" ht="20.100000000000001" customHeight="1" x14ac:dyDescent="0.2">
      <c r="D591" s="145" t="str">
        <v>GWPN2O</v>
      </c>
      <c r="E591" s="146" t="str">
        <v>Global warming potential for nitrous oxide (t CO2-e / t N2O)</v>
      </c>
      <c r="F591" s="155"/>
      <c r="G591" s="15">
        <f>Common_InputFunctions.Utility_LookupValueInTableNumber("N2O",Table_GWPData[Gas],Table_GWPData[CO2-e factor])</f>
        <v>265</v>
      </c>
      <c r="L591" s="145" t="str">
        <v>GWPN2O</v>
      </c>
      <c r="M591" s="146" t="str">
        <v>Global warming potential for nitrous oxide (t CO2-e / t N2O)</v>
      </c>
      <c r="N591" s="155"/>
      <c r="O591" s="15">
        <f>Common_InputFunctions.Utility_LookupValueInTableNumber("N2O",Table_GWPData[Gas],Table_GWPData[CO2-e factor])</f>
        <v>265</v>
      </c>
    </row>
    <row r="593" spans="1:41" ht="20.100000000000001" customHeight="1" x14ac:dyDescent="0.2">
      <c r="D593" s="85" t="s">
        <v>431</v>
      </c>
      <c r="E593" s="85" cm="1">
        <f t="array" ref="E593">Common_Equations.Common_ConvertN2OToCO2e(G590,G591)</f>
        <v>213.14437697520003</v>
      </c>
      <c r="F593" s="91" t="str" cm="1">
        <f t="array" ref="F593">Common_Equations.Common_ConvertN2OToCO2e_Unit()</f>
        <v>t CO2e</v>
      </c>
      <c r="L593" s="85" t="s">
        <v>431</v>
      </c>
      <c r="M593" s="85" cm="1">
        <f t="array" ref="M593">Common_Equations.Common_ConvertN2OToCO2e(O590,O591)</f>
        <v>0</v>
      </c>
      <c r="N593" s="91" t="str" cm="1">
        <f t="array" ref="N593">Common_Equations.Common_ConvertN2OToCO2e_Unit()</f>
        <v>t CO2e</v>
      </c>
    </row>
    <row r="596" spans="1:41" ht="20.100000000000001" customHeight="1" x14ac:dyDescent="0.2">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c r="AK596" s="85"/>
      <c r="AL596" s="85"/>
      <c r="AM596" s="85"/>
      <c r="AN596" s="85"/>
      <c r="AO596" s="85"/>
    </row>
    <row r="597" spans="1:41" ht="20.100000000000001" customHeight="1" x14ac:dyDescent="0.2">
      <c r="D597" s="2" t="str" cm="1">
        <f t="array" ref="D597">Scope3_Equations.VEERG_15_13_1_3__1_EmissionsFromSolidWasteTreatmentFacility_Title()</f>
        <v>Emissions from solid waste sent to a treatment facility</v>
      </c>
    </row>
    <row r="598" spans="1:41" ht="20.100000000000001" customHeight="1" x14ac:dyDescent="0.2">
      <c r="A598" s="81" t="str">
        <f>HYPERLINK("#A1", "▲ Back to top")</f>
        <v>▲ Back to top</v>
      </c>
      <c r="D598" s="17" t="str" cm="1">
        <f t="array" ref="D598">Scope3_Equations.VEERG_15_13_1_3__1_EmissionsFromSolidWasteTreatmentFacility_Source()</f>
        <v>VEERG 2026: 15.13.1.3</v>
      </c>
    </row>
    <row r="600" spans="1:41" ht="20.100000000000001" customHeight="1" x14ac:dyDescent="0.2">
      <c r="D600" s="77" t="s">
        <v>407</v>
      </c>
      <c r="E600" s="1" t="str" cm="1">
        <f t="array" ref="E600">Scope3_Equations.VEERG_15_13_1_3__1_EmissionsFromSolidWasteTreatmentFacility_Variable()</f>
        <v>E</v>
      </c>
    </row>
    <row r="601" spans="1:41" ht="20.100000000000001" customHeight="1" x14ac:dyDescent="0.2">
      <c r="D601" s="77" t="s">
        <v>118</v>
      </c>
      <c r="E601" s="9" t="str" cm="1">
        <f t="array" ref="E601">Scope3_Equations.VEERG_15_13_1_3__1_EmissionsFromSolidWasteTreatmentFacility_Unit()</f>
        <v>t CO2e</v>
      </c>
    </row>
    <row r="603" spans="1:41" ht="20.100000000000001" customHeight="1" x14ac:dyDescent="0.2">
      <c r="D603" s="244" t="s">
        <v>972</v>
      </c>
      <c r="E603" s="88">
        <f>VEERG_10_1_1_1__1_EmissionsFromWasteManagement_Scope3_Result_Method1</f>
        <v>441.15000000000003</v>
      </c>
      <c r="F603" s="97" t="str">
        <f>E601</f>
        <v>t CO2e</v>
      </c>
    </row>
    <row r="606" spans="1:41" ht="20.100000000000001" customHeight="1" x14ac:dyDescent="0.2">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c r="AK606" s="85"/>
      <c r="AL606" s="85"/>
      <c r="AM606" s="85"/>
      <c r="AN606" s="85"/>
      <c r="AO606" s="85"/>
    </row>
    <row r="607" spans="1:41" ht="20.100000000000001" customHeight="1" x14ac:dyDescent="0.2">
      <c r="D607" s="2" t="str" cm="1">
        <f t="array" ref="D607">Scope3_Equations.VEERG_15_14_1_1__1_EmbeddedEmissionsFromUpstreamFreight_Title()</f>
        <v>Embedded emissions from upstream freight</v>
      </c>
    </row>
    <row r="608" spans="1:41" ht="20.100000000000001" customHeight="1" x14ac:dyDescent="0.2">
      <c r="D608" s="17" t="str" cm="1">
        <f t="array" ref="D608">Scope3_Equations.VEERG_15_14_1_1__1_EmbeddedEmissionsFromUpstreamFreight_Source()</f>
        <v>VEERG 2026: 15.14.1.1, Equation (1)</v>
      </c>
    </row>
    <row r="609" spans="4:13" ht="20.100000000000001" customHeight="1" x14ac:dyDescent="0.2">
      <c r="D609" s="140" t="s">
        <v>402</v>
      </c>
      <c r="E609" s="140" t="str" cm="1">
        <f t="array" aca="1" ref="E609" ca="1">Common_InputFunctions.Utility_DisplayFunctionName(J624)</f>
        <v>=Scope3_Equations.VEERG_15_14_1_1__1_EmbeddedEmissionsFromUpstreamFreight</v>
      </c>
    </row>
    <row r="613" spans="4:13" ht="20.100000000000001" customHeight="1" x14ac:dyDescent="0.2">
      <c r="D613" s="77" t="s">
        <v>407</v>
      </c>
      <c r="E613" s="1" t="str" cm="1">
        <f t="array" ref="E613">Scope3_Equations.VEERG_15_14_1_1__1_EmbeddedEmissionsFromUpstreamFreight_Variable()</f>
        <v>E</v>
      </c>
    </row>
    <row r="614" spans="4:13" ht="20.100000000000001" customHeight="1" x14ac:dyDescent="0.2">
      <c r="D614" s="77" t="s">
        <v>118</v>
      </c>
      <c r="E614" s="9" t="str" cm="1">
        <f t="array" ref="E614">Scope3_Equations.VEERG_15_14_1_1__1_EmbeddedEmissionsFromUpstreamFreight_Unit()</f>
        <v>t CO2e</v>
      </c>
    </row>
    <row r="616" spans="4:13" ht="20.100000000000001" customHeight="1" x14ac:dyDescent="0.2">
      <c r="D616" s="156" t="str" cm="1">
        <f t="array" ref="D616:E619">_xlfn.CHOOSECOLS(Scope3_Equations.VEERG_15_14_1_1__1_EmbeddedEmissionsFromUpstreamFreight_Arguments(),1,2)</f>
        <v>W_f</v>
      </c>
      <c r="E616" s="153" t="str">
        <v>total mass of goods transported per freight type f</v>
      </c>
      <c r="F616" s="165"/>
      <c r="G616" s="156" t="str" cm="1">
        <f t="array" ref="G616:H619">_xlfn.CHOOSECOLS(Scope3_Equations.VEERG_15_14_1_1__1_EmbeddedEmissionsFromUpstreamFreight_Arguments(),3,4)</f>
        <v>t</v>
      </c>
      <c r="H616" s="240" t="str">
        <v>Input</v>
      </c>
    </row>
    <row r="617" spans="4:13" ht="20.100000000000001" customHeight="1" x14ac:dyDescent="0.2">
      <c r="D617" s="156" t="str">
        <v>D_f</v>
      </c>
      <c r="E617" s="153" t="str">
        <v>total distance transported per freight type f</v>
      </c>
      <c r="F617" s="165"/>
      <c r="G617" s="156" t="str">
        <v>km</v>
      </c>
      <c r="H617" s="240" t="str">
        <v>Input</v>
      </c>
    </row>
    <row r="618" spans="4:13" ht="20.100000000000001" customHeight="1" x14ac:dyDescent="0.2">
      <c r="D618" s="156" t="str">
        <v>EF_f</v>
      </c>
      <c r="E618" s="153" t="str">
        <v>emission factor for freight type f</v>
      </c>
      <c r="F618" s="165"/>
      <c r="G618" s="156" t="str">
        <v>t CO2e/(t km)</v>
      </c>
      <c r="H618" s="148" t="str">
        <v>Constant</v>
      </c>
    </row>
    <row r="619" spans="4:13" ht="20.100000000000001" customHeight="1" x14ac:dyDescent="0.2">
      <c r="D619" s="156" t="str">
        <v>f</v>
      </c>
      <c r="E619" s="153" t="str">
        <v>freight type</v>
      </c>
      <c r="F619" s="165"/>
      <c r="G619" s="156" t="str">
        <v/>
      </c>
      <c r="H619" s="240" t="str">
        <v>Input</v>
      </c>
    </row>
    <row r="621" spans="4:13" ht="20.100000000000001" customHeight="1" x14ac:dyDescent="0.2">
      <c r="D621" s="235" t="s">
        <v>842</v>
      </c>
    </row>
    <row r="623" spans="4:13" ht="20.100000000000001" customHeight="1" x14ac:dyDescent="0.2">
      <c r="D623" s="80" t="s">
        <v>973</v>
      </c>
      <c r="E623" s="80" t="s">
        <v>974</v>
      </c>
      <c r="F623" s="80" t="s">
        <v>975</v>
      </c>
      <c r="G623" s="144" t="s">
        <v>976</v>
      </c>
      <c r="H623" s="144" t="s">
        <v>863</v>
      </c>
      <c r="I623" s="80" t="s">
        <v>913</v>
      </c>
      <c r="J623" s="144" t="s">
        <v>866</v>
      </c>
      <c r="K623" s="80" t="s">
        <v>867</v>
      </c>
      <c r="L623" s="80" t="s">
        <v>868</v>
      </c>
      <c r="M623" s="80" t="s">
        <v>869</v>
      </c>
    </row>
    <row r="624" spans="4: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952</v>
      </c>
      <c r="H624" s="15" t="s">
        <v>952</v>
      </c>
      <c r="I624" s="76">
        <v>0.01</v>
      </c>
      <c r="J624" s="15" cm="1">
        <f t="array" ref="J624">Scope3_Equations.VEERG_15_14_1_1__1_EmbeddedEmissionsFromUpstreamFreight(E624,F624,I624)</f>
        <v>5127.2</v>
      </c>
      <c r="K624" s="34"/>
      <c r="L624" s="13"/>
      <c r="M624" s="34"/>
    </row>
    <row r="625" spans="1:13" ht="20.100000000000001" customHeight="1" x14ac:dyDescent="0.2">
      <c r="D625" s="15" t="str">
        <v>Fertiliser supplier to farm</v>
      </c>
      <c r="E625" s="15">
        <v>10</v>
      </c>
      <c r="F625" s="15">
        <v>390</v>
      </c>
      <c r="G625" s="15" t="s">
        <v>952</v>
      </c>
      <c r="H625" s="15" t="s">
        <v>952</v>
      </c>
      <c r="I625" s="76">
        <v>0.01</v>
      </c>
      <c r="J625" s="15" cm="1">
        <f t="array" ref="J625">Scope3_Equations.VEERG_15_14_1_1__1_EmbeddedEmissionsFromUpstreamFreight(E625,F625,I625)</f>
        <v>39</v>
      </c>
      <c r="K625" s="34"/>
      <c r="L625" s="13"/>
      <c r="M625" s="34"/>
    </row>
    <row r="626" spans="1:13" ht="20.100000000000001" customHeight="1" x14ac:dyDescent="0.2">
      <c r="D626" s="15">
        <v>0</v>
      </c>
      <c r="E626" s="15">
        <v>0</v>
      </c>
      <c r="F626" s="15">
        <v>0</v>
      </c>
      <c r="G626" s="15" t="s">
        <v>952</v>
      </c>
      <c r="H626" s="15" t="s">
        <v>952</v>
      </c>
      <c r="I626" s="76"/>
      <c r="J626" s="15" cm="1">
        <f t="array" ref="J626">Scope3_Equations.VEERG_15_14_1_1__1_EmbeddedEmissionsFromUpstreamFreight(E626,F626,I626)</f>
        <v>0</v>
      </c>
      <c r="K626" s="34"/>
      <c r="L626" s="13"/>
      <c r="M626" s="34"/>
    </row>
    <row r="627" spans="1:13" ht="20.100000000000001" customHeight="1" x14ac:dyDescent="0.2">
      <c r="D627" s="15">
        <v>0</v>
      </c>
      <c r="E627" s="15">
        <v>0</v>
      </c>
      <c r="F627" s="15">
        <v>0</v>
      </c>
      <c r="G627" s="15" t="s">
        <v>952</v>
      </c>
      <c r="H627" s="15" t="s">
        <v>952</v>
      </c>
      <c r="I627" s="76"/>
      <c r="J627" s="15" cm="1">
        <f t="array" ref="J627">Scope3_Equations.VEERG_15_14_1_1__1_EmbeddedEmissionsFromUpstreamFreight(E627,F627,I627)</f>
        <v>0</v>
      </c>
      <c r="K627" s="34"/>
      <c r="L627" s="13"/>
      <c r="M627" s="34"/>
    </row>
    <row r="628" spans="1:13" ht="20.100000000000001" customHeight="1" x14ac:dyDescent="0.2">
      <c r="A628" s="81" t="str">
        <f>HYPERLINK("#A1", "▲ Back to top")</f>
        <v>▲ Back to top</v>
      </c>
      <c r="D628" s="15">
        <v>0</v>
      </c>
      <c r="E628" s="15">
        <v>0</v>
      </c>
      <c r="F628" s="15">
        <v>0</v>
      </c>
      <c r="G628" s="15" t="s">
        <v>952</v>
      </c>
      <c r="H628" s="15" t="s">
        <v>952</v>
      </c>
      <c r="I628" s="76"/>
      <c r="J628" s="15" cm="1">
        <f t="array" ref="J628">Scope3_Equations.VEERG_15_14_1_1__1_EmbeddedEmissionsFromUpstreamFreight(E628,F628,I628)</f>
        <v>0</v>
      </c>
      <c r="K628" s="34"/>
      <c r="L628" s="13"/>
      <c r="M628" s="34"/>
    </row>
    <row r="629" spans="1:13" ht="20.100000000000001" customHeight="1" x14ac:dyDescent="0.2">
      <c r="D629" s="15">
        <v>0</v>
      </c>
      <c r="E629" s="15">
        <v>0</v>
      </c>
      <c r="F629" s="15">
        <v>0</v>
      </c>
      <c r="G629" s="15" t="s">
        <v>952</v>
      </c>
      <c r="H629" s="15" t="s">
        <v>952</v>
      </c>
      <c r="I629" s="76"/>
      <c r="J629" s="15" cm="1">
        <f t="array" ref="J629">Scope3_Equations.VEERG_15_14_1_1__1_EmbeddedEmissionsFromUpstreamFreight(E629,F629,I629)</f>
        <v>0</v>
      </c>
      <c r="K629" s="34"/>
      <c r="L629" s="13"/>
      <c r="M629" s="34"/>
    </row>
    <row r="630" spans="1:13" ht="20.100000000000001" customHeight="1" x14ac:dyDescent="0.2">
      <c r="D630" s="15">
        <v>0</v>
      </c>
      <c r="E630" s="15">
        <v>0</v>
      </c>
      <c r="F630" s="15">
        <v>0</v>
      </c>
      <c r="G630" s="15" t="s">
        <v>952</v>
      </c>
      <c r="H630" s="15" t="s">
        <v>952</v>
      </c>
      <c r="I630" s="76"/>
      <c r="J630" s="15" cm="1">
        <f t="array" ref="J630">Scope3_Equations.VEERG_15_14_1_1__1_EmbeddedEmissionsFromUpstreamFreight(E630,F630,I630)</f>
        <v>0</v>
      </c>
      <c r="K630" s="34"/>
      <c r="L630" s="13"/>
      <c r="M630" s="34"/>
    </row>
    <row r="631" spans="1:13" ht="20.100000000000001" customHeight="1" x14ac:dyDescent="0.2">
      <c r="D631" s="15">
        <v>0</v>
      </c>
      <c r="E631" s="15">
        <v>0</v>
      </c>
      <c r="F631" s="15">
        <v>0</v>
      </c>
      <c r="G631" s="15" t="s">
        <v>952</v>
      </c>
      <c r="H631" s="15" t="s">
        <v>952</v>
      </c>
      <c r="I631" s="76"/>
      <c r="J631" s="15" cm="1">
        <f t="array" ref="J631">Scope3_Equations.VEERG_15_14_1_1__1_EmbeddedEmissionsFromUpstreamFreight(E631,F631,I631)</f>
        <v>0</v>
      </c>
      <c r="K631" s="34"/>
      <c r="L631" s="13"/>
      <c r="M631" s="34"/>
    </row>
    <row r="632" spans="1:13" ht="20.100000000000001" customHeight="1" x14ac:dyDescent="0.2">
      <c r="D632" s="15">
        <v>0</v>
      </c>
      <c r="E632" s="15">
        <v>0</v>
      </c>
      <c r="F632" s="15">
        <v>0</v>
      </c>
      <c r="G632" s="15" t="s">
        <v>952</v>
      </c>
      <c r="H632" s="15" t="s">
        <v>952</v>
      </c>
      <c r="I632" s="76"/>
      <c r="J632" s="15" cm="1">
        <f t="array" ref="J632">Scope3_Equations.VEERG_15_14_1_1__1_EmbeddedEmissionsFromUpstreamFreight(E632,F632,I632)</f>
        <v>0</v>
      </c>
      <c r="K632" s="34"/>
      <c r="L632" s="13"/>
      <c r="M632" s="34"/>
    </row>
    <row r="633" spans="1:13" ht="20.100000000000001" customHeight="1" x14ac:dyDescent="0.2">
      <c r="D633" s="15">
        <v>0</v>
      </c>
      <c r="E633" s="15">
        <v>0</v>
      </c>
      <c r="F633" s="15">
        <v>0</v>
      </c>
      <c r="G633" s="15" t="s">
        <v>952</v>
      </c>
      <c r="H633" s="15" t="s">
        <v>952</v>
      </c>
      <c r="I633" s="76"/>
      <c r="J633" s="15" cm="1">
        <f t="array" ref="J633">Scope3_Equations.VEERG_15_14_1_1__1_EmbeddedEmissionsFromUpstreamFreight(E633,F633,I633)</f>
        <v>0</v>
      </c>
      <c r="K633" s="34"/>
      <c r="L633" s="13"/>
      <c r="M633" s="34"/>
    </row>
    <row r="635" spans="1:13" ht="20.100000000000001" customHeight="1" x14ac:dyDescent="0.2">
      <c r="D635" s="90" t="s">
        <v>977</v>
      </c>
      <c r="E635" s="85" t="s">
        <v>952</v>
      </c>
      <c r="F635" s="91" t="str">
        <f>$E$105</f>
        <v>t CO2e</v>
      </c>
    </row>
    <row r="636" spans="1:13" ht="20.100000000000001" customHeight="1" x14ac:dyDescent="0.2">
      <c r="D636" s="90" t="s">
        <v>978</v>
      </c>
      <c r="E636" s="85">
        <f>SUM(J624:J633)</f>
        <v>5166.2</v>
      </c>
      <c r="F636" s="91" t="str">
        <f>$E$105</f>
        <v>t CO2e</v>
      </c>
    </row>
    <row r="639" spans="1:13" ht="20.100000000000001" customHeight="1" x14ac:dyDescent="0.2">
      <c r="D639" s="235" t="s">
        <v>852</v>
      </c>
    </row>
    <row r="641" spans="4:13" ht="20.100000000000001" customHeight="1" x14ac:dyDescent="0.2">
      <c r="D641" s="80" t="s">
        <v>973</v>
      </c>
      <c r="E641" s="80" t="s">
        <v>974</v>
      </c>
      <c r="F641" s="80" t="s">
        <v>975</v>
      </c>
      <c r="G641" s="144" t="s">
        <v>976</v>
      </c>
      <c r="H641" s="144" t="s">
        <v>863</v>
      </c>
      <c r="I641" s="80" t="s">
        <v>913</v>
      </c>
      <c r="J641" s="144" t="s">
        <v>866</v>
      </c>
      <c r="K641" s="80" t="s">
        <v>867</v>
      </c>
      <c r="L641" s="80" t="s">
        <v>868</v>
      </c>
      <c r="M641" s="80" t="s">
        <v>869</v>
      </c>
    </row>
    <row r="642" spans="4: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952</v>
      </c>
      <c r="H642" s="15" t="s">
        <v>952</v>
      </c>
      <c r="I642" s="76">
        <v>0.01</v>
      </c>
      <c r="J642" s="15" cm="1">
        <f t="array" ref="J642">Scope3_Equations.VEERG_15_14_1_1__1_EmbeddedEmissionsFromUpstreamFreight(E642,F642,I642)</f>
        <v>676</v>
      </c>
      <c r="K642" s="34"/>
      <c r="L642" s="13"/>
      <c r="M642" s="34"/>
    </row>
    <row r="643" spans="4:13" ht="20.100000000000001" customHeight="1" x14ac:dyDescent="0.2">
      <c r="D643" s="15">
        <v>0</v>
      </c>
      <c r="E643" s="15">
        <v>0</v>
      </c>
      <c r="F643" s="15">
        <v>0</v>
      </c>
      <c r="G643" s="15" t="s">
        <v>952</v>
      </c>
      <c r="H643" s="15" t="s">
        <v>952</v>
      </c>
      <c r="I643" s="76"/>
      <c r="J643" s="15" cm="1">
        <f t="array" ref="J643">Scope3_Equations.VEERG_15_14_1_1__1_EmbeddedEmissionsFromUpstreamFreight(E643,F643,I643)</f>
        <v>0</v>
      </c>
      <c r="K643" s="34"/>
      <c r="L643" s="13"/>
      <c r="M643" s="34"/>
    </row>
    <row r="644" spans="4:13" ht="20.100000000000001" customHeight="1" x14ac:dyDescent="0.2">
      <c r="D644" s="15">
        <v>0</v>
      </c>
      <c r="E644" s="15">
        <v>0</v>
      </c>
      <c r="F644" s="15">
        <v>0</v>
      </c>
      <c r="G644" s="15" t="s">
        <v>952</v>
      </c>
      <c r="H644" s="15" t="s">
        <v>952</v>
      </c>
      <c r="I644" s="76"/>
      <c r="J644" s="15" cm="1">
        <f t="array" ref="J644">Scope3_Equations.VEERG_15_14_1_1__1_EmbeddedEmissionsFromUpstreamFreight(E644,F644,I644)</f>
        <v>0</v>
      </c>
      <c r="K644" s="34"/>
      <c r="L644" s="13"/>
      <c r="M644" s="34"/>
    </row>
    <row r="645" spans="4:13" ht="20.100000000000001" customHeight="1" x14ac:dyDescent="0.2">
      <c r="D645" s="15">
        <v>0</v>
      </c>
      <c r="E645" s="15">
        <v>0</v>
      </c>
      <c r="F645" s="15">
        <v>0</v>
      </c>
      <c r="G645" s="15" t="s">
        <v>952</v>
      </c>
      <c r="H645" s="15" t="s">
        <v>952</v>
      </c>
      <c r="I645" s="76"/>
      <c r="J645" s="15" cm="1">
        <f t="array" ref="J645">Scope3_Equations.VEERG_15_14_1_1__1_EmbeddedEmissionsFromUpstreamFreight(E645,F645,I645)</f>
        <v>0</v>
      </c>
      <c r="K645" s="34"/>
      <c r="L645" s="13"/>
      <c r="M645" s="34"/>
    </row>
    <row r="646" spans="4:13" ht="20.100000000000001" customHeight="1" x14ac:dyDescent="0.2">
      <c r="D646" s="15">
        <v>0</v>
      </c>
      <c r="E646" s="15">
        <v>0</v>
      </c>
      <c r="F646" s="15">
        <v>0</v>
      </c>
      <c r="G646" s="15" t="s">
        <v>952</v>
      </c>
      <c r="H646" s="15" t="s">
        <v>952</v>
      </c>
      <c r="I646" s="76"/>
      <c r="J646" s="15" cm="1">
        <f t="array" ref="J646">Scope3_Equations.VEERG_15_14_1_1__1_EmbeddedEmissionsFromUpstreamFreight(E646,F646,I646)</f>
        <v>0</v>
      </c>
      <c r="K646" s="34"/>
      <c r="L646" s="13"/>
      <c r="M646" s="34"/>
    </row>
    <row r="647" spans="4:13" ht="20.100000000000001" customHeight="1" x14ac:dyDescent="0.2">
      <c r="D647" s="15">
        <v>0</v>
      </c>
      <c r="E647" s="15">
        <v>0</v>
      </c>
      <c r="F647" s="15">
        <v>0</v>
      </c>
      <c r="G647" s="15" t="s">
        <v>952</v>
      </c>
      <c r="H647" s="15" t="s">
        <v>952</v>
      </c>
      <c r="I647" s="76"/>
      <c r="J647" s="15" cm="1">
        <f t="array" ref="J647">Scope3_Equations.VEERG_15_14_1_1__1_EmbeddedEmissionsFromUpstreamFreight(E647,F647,I647)</f>
        <v>0</v>
      </c>
      <c r="K647" s="34"/>
      <c r="L647" s="13"/>
      <c r="M647" s="34"/>
    </row>
    <row r="648" spans="4:13" ht="20.100000000000001" customHeight="1" x14ac:dyDescent="0.2">
      <c r="D648" s="15">
        <v>0</v>
      </c>
      <c r="E648" s="15">
        <v>0</v>
      </c>
      <c r="F648" s="15">
        <v>0</v>
      </c>
      <c r="G648" s="15" t="s">
        <v>952</v>
      </c>
      <c r="H648" s="15" t="s">
        <v>952</v>
      </c>
      <c r="I648" s="76"/>
      <c r="J648" s="15" cm="1">
        <f t="array" ref="J648">Scope3_Equations.VEERG_15_14_1_1__1_EmbeddedEmissionsFromUpstreamFreight(E648,F648,I648)</f>
        <v>0</v>
      </c>
      <c r="K648" s="34"/>
      <c r="L648" s="13"/>
      <c r="M648" s="34"/>
    </row>
    <row r="649" spans="4:13" ht="20.100000000000001" customHeight="1" x14ac:dyDescent="0.2">
      <c r="D649" s="15">
        <v>0</v>
      </c>
      <c r="E649" s="15">
        <v>0</v>
      </c>
      <c r="F649" s="15">
        <v>0</v>
      </c>
      <c r="G649" s="15" t="s">
        <v>952</v>
      </c>
      <c r="H649" s="15" t="s">
        <v>952</v>
      </c>
      <c r="I649" s="76"/>
      <c r="J649" s="15" cm="1">
        <f t="array" ref="J649">Scope3_Equations.VEERG_15_14_1_1__1_EmbeddedEmissionsFromUpstreamFreight(E649,F649,I649)</f>
        <v>0</v>
      </c>
      <c r="K649" s="34"/>
      <c r="L649" s="13"/>
      <c r="M649" s="34"/>
    </row>
    <row r="650" spans="4:13" ht="20.100000000000001" customHeight="1" x14ac:dyDescent="0.2">
      <c r="D650" s="15">
        <v>0</v>
      </c>
      <c r="E650" s="15">
        <v>0</v>
      </c>
      <c r="F650" s="15">
        <v>0</v>
      </c>
      <c r="G650" s="15" t="s">
        <v>952</v>
      </c>
      <c r="H650" s="15" t="s">
        <v>952</v>
      </c>
      <c r="I650" s="76"/>
      <c r="J650" s="15" cm="1">
        <f t="array" ref="J650">Scope3_Equations.VEERG_15_14_1_1__1_EmbeddedEmissionsFromUpstreamFreight(E650,F650,I650)</f>
        <v>0</v>
      </c>
      <c r="K650" s="34"/>
      <c r="L650" s="13"/>
      <c r="M650" s="34"/>
    </row>
    <row r="651" spans="4:13" ht="20.100000000000001" customHeight="1" x14ac:dyDescent="0.2">
      <c r="D651" s="15">
        <v>0</v>
      </c>
      <c r="E651" s="15">
        <v>0</v>
      </c>
      <c r="F651" s="15">
        <v>0</v>
      </c>
      <c r="G651" s="15" t="s">
        <v>952</v>
      </c>
      <c r="H651" s="15" t="s">
        <v>952</v>
      </c>
      <c r="I651" s="76"/>
      <c r="J651" s="15" cm="1">
        <f t="array" ref="J651">Scope3_Equations.VEERG_15_14_1_1__1_EmbeddedEmissionsFromUpstreamFreight(E651,F651,I651)</f>
        <v>0</v>
      </c>
      <c r="K651" s="34"/>
      <c r="L651" s="13"/>
      <c r="M651" s="34"/>
    </row>
    <row r="653" spans="4:13" ht="20.100000000000001" customHeight="1" x14ac:dyDescent="0.2">
      <c r="D653" s="90" t="s">
        <v>979</v>
      </c>
      <c r="E653" s="85" t="s">
        <v>952</v>
      </c>
      <c r="F653" s="91" t="str">
        <f>$E$105</f>
        <v>t CO2e</v>
      </c>
    </row>
    <row r="654" spans="4:13" ht="20.100000000000001" customHeight="1" x14ac:dyDescent="0.2">
      <c r="D654" s="90" t="s">
        <v>980</v>
      </c>
      <c r="E654" s="85">
        <f>SUM(J642:J651)</f>
        <v>676</v>
      </c>
      <c r="F654" s="91" t="str">
        <f>$E$105</f>
        <v>t CO2e</v>
      </c>
    </row>
    <row r="656" spans="4:13" ht="20.100000000000001" customHeight="1" x14ac:dyDescent="0.2">
      <c r="D656" s="87" t="s">
        <v>863</v>
      </c>
      <c r="E656" s="88" t="s">
        <v>952</v>
      </c>
      <c r="F656" s="97" t="str">
        <f>$E$105</f>
        <v>t CO2e</v>
      </c>
    </row>
    <row r="657" spans="4:6" ht="20.100000000000001" customHeight="1" x14ac:dyDescent="0.2">
      <c r="D657" s="87" t="s">
        <v>866</v>
      </c>
      <c r="E657" s="88">
        <f>VEERG_15_14_1_1__1_EmbeddedEmissionsFromUpstreamFreight_Incoming_Result_Method2+VEERG_15_14_1_1__1_EmbeddedEmissionsFromUpstreamFreight_Outgoing_Result_Method2</f>
        <v>5842.2</v>
      </c>
      <c r="F657" s="97" t="str">
        <f>$E$105</f>
        <v>t CO2e</v>
      </c>
    </row>
  </sheetData>
  <dataValidations count="2">
    <dataValidation type="list" allowBlank="1" showInputMessage="1" showErrorMessage="1" sqref="J505:J514" xr:uid="{4DE665BF-9E38-4542-B4DA-D9FF8749B22C}">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09A35866-2C68-4D0E-897C-6718D75E6D0E}">
      <formula1>INDIRECT("Table_SourceData_DataScores_Scope3[Data source]")</formula1>
    </dataValidation>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B7030-6A3C-498D-9DB1-1839A8E0BCE7}">
  <sheetPr>
    <tabColor theme="2" tint="-0.499984740745262"/>
  </sheetPr>
  <dimension ref="A1:AI23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758</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tr" cm="1">
        <f t="array" ref="D5">Agresidue_SourceData.CropPurposeAndYield_Title()</f>
        <v>Crop purpose and yield</v>
      </c>
    </row>
    <row r="7" spans="1:35" ht="20.100000000000001" customHeight="1" x14ac:dyDescent="0.2">
      <c r="D7" s="230" t="s">
        <v>759</v>
      </c>
      <c r="E7" s="230" t="s">
        <v>760</v>
      </c>
      <c r="F7" s="230" t="s">
        <v>761</v>
      </c>
      <c r="G7" s="230" t="s">
        <v>762</v>
      </c>
      <c r="H7" s="230" t="s">
        <v>763</v>
      </c>
      <c r="I7" s="230" t="s">
        <v>764</v>
      </c>
      <c r="J7" s="230" t="s">
        <v>765</v>
      </c>
      <c r="K7" s="230" t="s">
        <v>766</v>
      </c>
      <c r="AG7" s="1"/>
      <c r="AH7" s="1"/>
      <c r="AI7" s="1"/>
    </row>
    <row r="8" spans="1:35" ht="20.100000000000001" customHeight="1" x14ac:dyDescent="0.2">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
      <c r="A11" s="5" t="str">
        <f>HYPERLINK("#'Input - Crop'!A1", "Crop")</f>
        <v>Crop</v>
      </c>
    </row>
    <row r="12" spans="1:35" ht="20.100000000000001" customHeight="1" x14ac:dyDescent="0.2">
      <c r="A12" s="5" t="str">
        <f>HYPERLINK("#'Input - Fert Prod System'!A1", "Fert Prod System")</f>
        <v>Fert Prod System</v>
      </c>
    </row>
    <row r="13" spans="1:35" ht="20.100000000000001" customHeight="1" x14ac:dyDescent="0.2">
      <c r="A13" s="5" t="str">
        <f>HYPERLINK("#'Input - Fertiliser'!A1", "Fertiliser")</f>
        <v>Fertiliser</v>
      </c>
    </row>
    <row r="14" spans="1:35" ht="20.100000000000001" customHeight="1" x14ac:dyDescent="0.2">
      <c r="A14" s="5" t="str">
        <f>HYPERLINK("#'Input - Fuel'!A1", "Fuel")</f>
        <v>Fuel</v>
      </c>
    </row>
    <row r="15" spans="1:35" ht="20.100000000000001" customHeight="1" x14ac:dyDescent="0.2">
      <c r="A15" s="5" t="str">
        <f>HYPERLINK("#'Input - Electricity'!A1", "Electricity")</f>
        <v>Electricity</v>
      </c>
      <c r="D15" s="2" t="str" cm="1">
        <f t="array" ref="D15">Agresidue_SourceData.CropAttributes_Title()</f>
        <v>Table A.2.1.1: Crop attributes</v>
      </c>
      <c r="E15" s="8"/>
      <c r="F15" s="8"/>
      <c r="G15" s="8"/>
      <c r="H15" s="8"/>
      <c r="I15" s="8"/>
      <c r="J15" s="8"/>
      <c r="K15" s="8"/>
      <c r="L15" s="8"/>
    </row>
    <row r="16" spans="1:35" ht="20.100000000000001" customHeight="1" x14ac:dyDescent="0.2">
      <c r="A16" s="5" t="str">
        <f>HYPERLINK("#'Input - Common farm inputs'!A1", "Common farm inputs")</f>
        <v>Common farm inputs</v>
      </c>
      <c r="D16" s="17" t="str" cm="1">
        <f t="array" ref="D16">Agresidue_SourceData.CropAttributes_Source()</f>
        <v>VEERG 2026: Table A.2.1.1: Crop attributes</v>
      </c>
      <c r="E16" s="8"/>
      <c r="F16" s="8"/>
      <c r="G16" s="8"/>
      <c r="H16" s="8"/>
      <c r="I16" s="8"/>
      <c r="J16" s="8"/>
      <c r="K16" s="8"/>
      <c r="L16" s="8"/>
    </row>
    <row r="17" spans="1:14" ht="20.100000000000001" customHeight="1" x14ac:dyDescent="0.2">
      <c r="A17" s="5" t="str">
        <f>HYPERLINK("#'Input - Crop pasture farm input'!A1", "Crop pasture farm input")</f>
        <v>Crop pasture farm input</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
      <c r="A18" s="5" t="str">
        <f>HYPERLINK("#'Input - Freight'!A1", "Freight")</f>
        <v>Freight</v>
      </c>
      <c r="D18" s="8"/>
      <c r="E18" s="8"/>
      <c r="F18" s="8"/>
      <c r="G18" s="8"/>
      <c r="H18" s="8"/>
      <c r="I18" s="8"/>
      <c r="J18" s="8"/>
      <c r="K18" s="8"/>
      <c r="L18" s="8"/>
    </row>
    <row r="19" spans="1:14" ht="20.100000000000001" customHeight="1" x14ac:dyDescent="0.2">
      <c r="A19" s="5" t="str">
        <f>HYPERLINK("#'Input - Solid waste'!A1", "Solid waste")</f>
        <v>Solid waste</v>
      </c>
      <c r="D19" t="s">
        <v>163</v>
      </c>
      <c r="E19" t="s">
        <v>767</v>
      </c>
      <c r="F19" t="s">
        <v>768</v>
      </c>
      <c r="G19" t="s">
        <v>769</v>
      </c>
      <c r="H19" t="s">
        <v>770</v>
      </c>
      <c r="I19" t="s">
        <v>771</v>
      </c>
      <c r="J19" t="s">
        <v>772</v>
      </c>
      <c r="K19" t="s">
        <v>773</v>
      </c>
      <c r="L19" t="s">
        <v>774</v>
      </c>
      <c r="N19" s="2" t="s">
        <v>501</v>
      </c>
    </row>
    <row r="20" spans="1:14" ht="20.100000000000001" customHeight="1" x14ac:dyDescent="0.2">
      <c r="A20" s="5" t="str">
        <f>HYPERLINK("#'Input - Data quality'!A1", "Data quality")</f>
        <v>Data quality</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20" t="s">
        <v>63</v>
      </c>
    </row>
    <row r="22" spans="1:14" ht="20.100000000000001" customHeight="1" x14ac:dyDescent="0.2">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20" t="s">
        <v>505</v>
      </c>
    </row>
    <row r="23" spans="1:14" ht="20.100000000000001" customHeight="1" x14ac:dyDescent="0.2">
      <c r="A23" s="6" t="s">
        <v>2</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20" t="s">
        <v>508</v>
      </c>
    </row>
    <row r="24" spans="1:14" ht="20.100000000000001" customHeight="1" x14ac:dyDescent="0.2">
      <c r="A24" s="5" t="str">
        <f>HYPERLINK("#'5.1.1.1-2 Inorganic fert N2O'!A1", "5.1.1.1-2 Inorganic fert N2O")</f>
        <v>5.1.1.1-2 Inorganic fert N2O</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292</v>
      </c>
    </row>
    <row r="25" spans="1:14" ht="20.100000000000001" customHeight="1" x14ac:dyDescent="0.2">
      <c r="A25" s="5" t="str">
        <f>HYPERLINK("#'5.1.1.3-4 Inorganic fert CO2'!A1", "5.1.1.3-4 Inorganic fert CO2")</f>
        <v>5.1.1.3-4 Inorganic fert CO2</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511</v>
      </c>
    </row>
    <row r="26" spans="1:14" ht="20.100000000000001" customHeight="1" x14ac:dyDescent="0.2">
      <c r="A26" s="5" t="str">
        <f>HYPERLINK("#'5.2.1.1-2 Organic Fert N2O'!A1", "5.2.1.1-2 Organic fert N2O")</f>
        <v>5.2.1.1-2 Organic fert N2O</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512</v>
      </c>
    </row>
    <row r="27" spans="1:14" ht="20.100000000000001" customHeight="1" x14ac:dyDescent="0.2">
      <c r="A27" s="5" t="str">
        <f>HYPERLINK("#'5.3.1.1-2 Lime CO2'!A1", "5.3.1.1-2 Lime CO2")</f>
        <v>5.3.1.1-2 Lime CO2</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
      <c r="A28" s="5" t="str">
        <f>HYPERLINK("#'5.4.1.1-4 Atmos deposition'!A1", "5.4.1.1-4 Atmos. deposition")</f>
        <v>5.4.1.1-4 Atmos. deposition</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
      <c r="A29" s="5" t="str">
        <f>HYPERLINK("#'5.5.1.1-2 Leaching and runoff'!A1", "5.5.1.1-2 Leaching &amp; runoff")</f>
        <v>5.5.1.1-2 Leaching &amp; runoff</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
      <c r="A30" s="5" t="str">
        <f>HYPERLINK("#'6.1.1.1-2 Crop residue N2O'!A1", "6.1.1.1-2 Crop residue N2O")</f>
        <v>6.1.1.1-2 Crop residue N2O</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
      <c r="A31" s="5" t="str">
        <f>HYPERLINK("#'6.3.1.1-2 Leach runoff crop'!A1", "6.3.1.1-2 Leach &amp; runoff (crop)")</f>
        <v>6.3.1.1-2 Leach &amp; runoff (crop)</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
      <c r="A32" s="5" t="str">
        <f>HYPERLINK("#'8.1.1.1-2 Transport fuel'!A1", "8.1.1.1-2 Transport fuel")</f>
        <v>8.1.1.1-2 Transport fuel</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
      <c r="A33" s="5" t="str">
        <f>HYPERLINK("#'8.2.1.1-2 Stationary fuel'!A1", "8.2.1.1-2 Stationary fuel")</f>
        <v>8.2.1.1-2 Stationary fuel</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
      <c r="A34" s="5" t="str">
        <f>HYPERLINK("#'10.1.1-2 Solid waste treatment'!A1", "10.1.1.1-2 Solid waste")</f>
        <v>10.1.1.1-2 Solid waste</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
      <c r="A35" s="5" t="str">
        <f>HYPERLINK("#'14.1.1-2 Purchased electricity'!A1", "14.1.1-2 Purchased electricity")</f>
        <v>14.1.1-2 Purchased electricity</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
      <c r="A36" s="5" t="str">
        <f>HYPERLINK("#'15 Scope 3'!A1", "15 Scope 3")</f>
        <v>15 Scope 3</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
      <c r="D38" s="8"/>
      <c r="E38" s="8"/>
      <c r="F38" s="8"/>
      <c r="G38" s="8"/>
      <c r="H38" s="8"/>
      <c r="I38" s="8"/>
      <c r="J38" s="8"/>
      <c r="K38" s="8"/>
      <c r="L38" s="8"/>
    </row>
    <row r="39" spans="1:13" ht="20.100000000000001" customHeight="1" x14ac:dyDescent="0.2">
      <c r="A39" s="82" t="s">
        <v>1</v>
      </c>
      <c r="D39" s="8"/>
      <c r="E39" s="8"/>
      <c r="F39" s="8"/>
      <c r="G39" s="8"/>
      <c r="H39" s="8"/>
      <c r="I39" s="8"/>
      <c r="J39" s="8"/>
      <c r="K39" s="8"/>
      <c r="L39" s="8"/>
    </row>
    <row r="40" spans="1:13" ht="20.100000000000001" customHeight="1" x14ac:dyDescent="0.2">
      <c r="A40" s="83" t="str">
        <f>HYPERLINK("#'Constants - Ag Residue'!A1", "Constants - Ag residue")</f>
        <v>Constants - Ag residue</v>
      </c>
      <c r="D40" s="2" t="str" cm="1">
        <f t="array" ref="D40">Agresidue_SourceData.N2OEFOrganicFertiliser_Title()</f>
        <v>Emission factor for organic fertiliser and crop residues returned to the soil</v>
      </c>
      <c r="E40" s="25"/>
      <c r="F40" s="25"/>
      <c r="G40" s="8"/>
      <c r="H40" s="8"/>
      <c r="I40" s="8"/>
      <c r="J40" s="8"/>
      <c r="K40" s="8"/>
      <c r="L40" s="8"/>
    </row>
    <row r="41" spans="1:13" ht="20.100000000000001" customHeight="1" x14ac:dyDescent="0.2">
      <c r="A41" s="5" t="str">
        <f>HYPERLINK("#'Constants - Electricity'!A1", "Constants - Electricity")</f>
        <v>Constants - Electricity</v>
      </c>
      <c r="D41" s="17" t="str" cm="1">
        <f t="array" ref="D41">Agresidue_SourceData.N2OEFOrganicFertiliser_Source()</f>
        <v>VEERG 2026: Table A.2.1.4</v>
      </c>
      <c r="E41" s="25"/>
      <c r="F41" s="25"/>
      <c r="G41" s="8"/>
      <c r="H41" s="8"/>
      <c r="I41" s="8"/>
      <c r="J41" s="8"/>
      <c r="K41" s="8"/>
      <c r="L41" s="8"/>
    </row>
    <row r="42" spans="1:13" ht="20.100000000000001" customHeight="1" x14ac:dyDescent="0.2">
      <c r="A42" s="5" t="str">
        <f>HYPERLINK("#'Constants - Fertiliser'!A1", "Constants - Fertiliser")</f>
        <v>Constants - Fertiliser</v>
      </c>
      <c r="D42" s="17"/>
      <c r="E42" s="25"/>
      <c r="F42" s="25"/>
      <c r="H42" s="8"/>
      <c r="I42" s="8"/>
      <c r="M42" s="25"/>
    </row>
    <row r="43" spans="1:13" ht="20.100000000000001" customHeight="1" x14ac:dyDescent="0.2">
      <c r="A43" s="5" t="str">
        <f>HYPERLINK("#'Constants - Fuel'!A1", "Constants - Fuel")</f>
        <v>Constants - Fuel</v>
      </c>
      <c r="D43" s="170" t="s">
        <v>775</v>
      </c>
      <c r="E43" s="170" t="s">
        <v>776</v>
      </c>
      <c r="F43" s="25"/>
      <c r="H43" s="8"/>
      <c r="I43" s="8"/>
      <c r="M43" s="25"/>
    </row>
    <row r="44" spans="1:13" ht="20.100000000000001" customHeight="1" x14ac:dyDescent="0.2">
      <c r="A44" s="5" t="str">
        <f>HYPERLINK("#'Constants - Scope 3'!A1", "Constants - Scope 3")</f>
        <v>Constants - Scope 3</v>
      </c>
      <c r="D44" s="27" t="str" cm="1">
        <f t="array" ref="D44">Common_InputFunctions.Utility_DisplayArrayInTable(Agresidue_SourceData.N2OEFOrganicFertiliser_Data(), Table_SourceData_N2OEFOrganicFert[[#Headers],[Climate zone type i]], 0)</f>
        <v>Wet climate zone</v>
      </c>
      <c r="E44" s="27" cm="1">
        <f t="array" ref="E44">Common_InputFunctions.Utility_DisplayArrayInTable(Agresidue_SourceData.N2OEFOrganicFertiliser_Data(), Table_SourceData_N2OEFOrganicFert[[#Headers],[Climate zone type i]], 0)</f>
        <v>6.0000000000000001E-3</v>
      </c>
      <c r="F44" s="25"/>
      <c r="H44" s="8"/>
      <c r="I44" s="8"/>
      <c r="M44" s="25"/>
    </row>
    <row r="45" spans="1:13" ht="20.100000000000001" customHeight="1" x14ac:dyDescent="0.2">
      <c r="A45" s="5" t="str">
        <f>HYPERLINK("#'Constants - Solid Waste'!A1", "Constants - Solid Waste")</f>
        <v>Constants - Solid Waste</v>
      </c>
      <c r="D45" s="27" t="str" cm="1">
        <f t="array" ref="D45">Common_InputFunctions.Utility_DisplayArrayInTable(Agresidue_SourceData.N2OEFOrganicFertiliser_Data(), Table_SourceData_N2OEFOrganicFert[[#Headers],[Climate zone type i]], 0)</f>
        <v>Dry climate zone</v>
      </c>
      <c r="E45" s="27" cm="1">
        <f t="array" ref="E45">Common_InputFunctions.Utility_DisplayArrayInTable(Agresidue_SourceData.N2OEFOrganicFertiliser_Data(), Table_SourceData_N2OEFOrganicFert[[#Headers],[Climate zone type i]], 0)</f>
        <v>5.0000000000000001E-3</v>
      </c>
      <c r="F45" s="25"/>
      <c r="H45" s="8"/>
      <c r="I45" s="8"/>
      <c r="M45" s="25"/>
    </row>
    <row r="46" spans="1:13" ht="20.100000000000001" customHeight="1" x14ac:dyDescent="0.2">
      <c r="A46" s="5" t="str">
        <f>HYPERLINK("#'Constants - Common'!A1", "Constants - Common")</f>
        <v>Constants - Common</v>
      </c>
      <c r="H46" s="8"/>
      <c r="I46" s="8"/>
      <c r="M46" s="25"/>
    </row>
    <row r="47" spans="1:13" ht="20.100000000000001" customHeight="1" x14ac:dyDescent="0.2">
      <c r="A47" s="5" t="str">
        <f>HYPERLINK("#'Constants - Common Livestock'!A1", "Constants - Common Livestock")</f>
        <v>Constants - Common Livestock</v>
      </c>
      <c r="M47" s="25"/>
    </row>
    <row r="48" spans="1:13" ht="20.100000000000001" customHeight="1" x14ac:dyDescent="0.2">
      <c r="D48" s="2" t="str" cm="1">
        <f t="array" ref="D48">Agresidue_SourceData.PastureAttributes_Title()</f>
        <v>Table A.2.1.3 Pasture attributes</v>
      </c>
      <c r="K48" s="8"/>
      <c r="L48" s="8"/>
    </row>
    <row r="49" spans="1:12" ht="20.100000000000001" customHeight="1" x14ac:dyDescent="0.2">
      <c r="D49" s="17" t="str" cm="1">
        <f t="array" ref="D49">Agresidue_SourceData.PastureAttributes_Source()</f>
        <v>VEERG 2026: Table A.2.1.3: Pasture attributes</v>
      </c>
      <c r="K49" s="8"/>
      <c r="L49" s="8"/>
    </row>
    <row r="50" spans="1:12" ht="20.100000000000001" customHeight="1" x14ac:dyDescent="0.2">
      <c r="K50" s="8"/>
      <c r="L50" s="8"/>
    </row>
    <row r="51" spans="1:12" ht="20.100000000000001" customHeight="1" x14ac:dyDescent="0.2">
      <c r="D51" s="20" t="s">
        <v>777</v>
      </c>
      <c r="E51" s="20" t="s">
        <v>778</v>
      </c>
      <c r="F51" s="20" t="s">
        <v>779</v>
      </c>
      <c r="G51" s="20" t="s">
        <v>780</v>
      </c>
      <c r="H51" s="20" t="s">
        <v>781</v>
      </c>
      <c r="I51" s="20" t="s">
        <v>782</v>
      </c>
      <c r="K51" s="8"/>
      <c r="L51" s="8"/>
    </row>
    <row r="52" spans="1:12" ht="20.100000000000001" customHeight="1" x14ac:dyDescent="0.2">
      <c r="D52" s="20" t="str" cm="1">
        <f t="array" ref="D52">Common_InputFunctions.Utility_DisplayArrayInTable(Agresidue_SourceData.PastureAttributes_Data(), Table_SourceData_PastureAttributes[[#Headers],[Pasture type]], 0)</f>
        <v>Annual grass</v>
      </c>
      <c r="E52" s="20" cm="1">
        <f t="array" ref="E52">Common_InputFunctions.Utility_DisplayArrayInTable(Agresidue_SourceData.PastureAttributes_Data(), Table_SourceData_PastureAttributes[[#Headers],[Pasture type]], 0)</f>
        <v>4.41</v>
      </c>
      <c r="F52" s="20" cm="1">
        <f t="array" ref="F52">Common_InputFunctions.Utility_DisplayArrayInTable(Agresidue_SourceData.PastureAttributes_Data(), Table_SourceData_PastureAttributes[[#Headers],[Pasture type]], 0)</f>
        <v>0.4</v>
      </c>
      <c r="G52" s="20" cm="1">
        <f t="array" ref="G52">Common_InputFunctions.Utility_DisplayArrayInTable(Agresidue_SourceData.PastureAttributes_Data(), Table_SourceData_PastureAttributes[[#Headers],[Pasture type]], 0)</f>
        <v>1.4999999999999999E-2</v>
      </c>
      <c r="H52" s="20" cm="1">
        <f t="array" ref="H52">Common_InputFunctions.Utility_DisplayArrayInTable(Agresidue_SourceData.PastureAttributes_Data(), Table_SourceData_PastureAttributes[[#Headers],[Pasture type]], 0)</f>
        <v>1.2E-2</v>
      </c>
      <c r="I52" s="20" cm="1">
        <f t="array" ref="I52">Common_InputFunctions.Utility_DisplayArrayInTable(Agresidue_SourceData.PastureAttributes_Data(), Table_SourceData_PastureAttributes[[#Headers],[Pasture type]], 0)</f>
        <v>0.8</v>
      </c>
      <c r="L52" s="8"/>
    </row>
    <row r="53" spans="1:12" ht="20.100000000000001" customHeight="1" x14ac:dyDescent="0.2">
      <c r="D53" s="20" t="str" cm="1">
        <f t="array" ref="D53">Common_InputFunctions.Utility_DisplayArrayInTable(Agresidue_SourceData.PastureAttributes_Data(), Table_SourceData_PastureAttributes[[#Headers],[Pasture type]], 0)</f>
        <v>Grass clover mixture</v>
      </c>
      <c r="E53" s="20" cm="1">
        <f t="array" ref="E53">Common_InputFunctions.Utility_DisplayArrayInTable(Agresidue_SourceData.PastureAttributes_Data(), Table_SourceData_PastureAttributes[[#Headers],[Pasture type]], 0)</f>
        <v>8.34</v>
      </c>
      <c r="F53" s="20" cm="1">
        <f t="array" ref="F53">Common_InputFunctions.Utility_DisplayArrayInTable(Agresidue_SourceData.PastureAttributes_Data(), Table_SourceData_PastureAttributes[[#Headers],[Pasture type]], 0)</f>
        <v>0.8</v>
      </c>
      <c r="G53" s="20" cm="1">
        <f t="array" ref="G53">Common_InputFunctions.Utility_DisplayArrayInTable(Agresidue_SourceData.PastureAttributes_Data(), Table_SourceData_PastureAttributes[[#Headers],[Pasture type]], 0)</f>
        <v>2.5000000000000001E-2</v>
      </c>
      <c r="H53" s="20" cm="1">
        <f t="array" ref="H53">Common_InputFunctions.Utility_DisplayArrayInTable(Agresidue_SourceData.PastureAttributes_Data(), Table_SourceData_PastureAttributes[[#Headers],[Pasture type]], 0)</f>
        <v>1.6E-2</v>
      </c>
      <c r="I53" s="20" cm="1">
        <f t="array" ref="I53">Common_InputFunctions.Utility_DisplayArrayInTable(Agresidue_SourceData.PastureAttributes_Data(), Table_SourceData_PastureAttributes[[#Headers],[Pasture type]], 0)</f>
        <v>0.8</v>
      </c>
      <c r="L53" s="8"/>
    </row>
    <row r="54" spans="1:12" ht="20.100000000000001" customHeight="1" x14ac:dyDescent="0.2">
      <c r="D54" s="20" t="str" cm="1">
        <f t="array" ref="D54">Common_InputFunctions.Utility_DisplayArrayInTable(Agresidue_SourceData.PastureAttributes_Data(), Table_SourceData_PastureAttributes[[#Headers],[Pasture type]], 0)</f>
        <v>Lucerne</v>
      </c>
      <c r="E54" s="20" cm="1">
        <f t="array" ref="E54">Common_InputFunctions.Utility_DisplayArrayInTable(Agresidue_SourceData.PastureAttributes_Data(), Table_SourceData_PastureAttributes[[#Headers],[Pasture type]], 0)</f>
        <v>8.6199999999999992</v>
      </c>
      <c r="F54" s="20" cm="1">
        <f t="array" ref="F54">Common_InputFunctions.Utility_DisplayArrayInTable(Agresidue_SourceData.PastureAttributes_Data(), Table_SourceData_PastureAttributes[[#Headers],[Pasture type]], 0)</f>
        <v>0.4</v>
      </c>
      <c r="G54" s="20" cm="1">
        <f t="array" ref="G54">Common_InputFunctions.Utility_DisplayArrayInTable(Agresidue_SourceData.PastureAttributes_Data(), Table_SourceData_PastureAttributes[[#Headers],[Pasture type]], 0)</f>
        <v>2.7E-2</v>
      </c>
      <c r="H54" s="20" cm="1">
        <f t="array" ref="H54">Common_InputFunctions.Utility_DisplayArrayInTable(Agresidue_SourceData.PastureAttributes_Data(), Table_SourceData_PastureAttributes[[#Headers],[Pasture type]], 0)</f>
        <v>1.9E-2</v>
      </c>
      <c r="I54" s="20" cm="1">
        <f t="array" ref="I54">Common_InputFunctions.Utility_DisplayArrayInTable(Agresidue_SourceData.PastureAttributes_Data(), Table_SourceData_PastureAttributes[[#Headers],[Pasture type]], 0)</f>
        <v>0.8</v>
      </c>
    </row>
    <row r="55" spans="1:12" ht="20.100000000000001" customHeight="1" x14ac:dyDescent="0.2">
      <c r="D55" s="20" t="str" cm="1">
        <f t="array" ref="D55">Common_InputFunctions.Utility_DisplayArrayInTable(Agresidue_SourceData.PastureAttributes_Data(), Table_SourceData_PastureAttributes[[#Headers],[Pasture type]], 0)</f>
        <v>Other legume</v>
      </c>
      <c r="E55" s="20" cm="1">
        <f t="array" ref="E55">Common_InputFunctions.Utility_DisplayArrayInTable(Agresidue_SourceData.PastureAttributes_Data(), Table_SourceData_PastureAttributes[[#Headers],[Pasture type]], 0)</f>
        <v>5.62</v>
      </c>
      <c r="F55" s="20" cm="1">
        <f t="array" ref="F55">Common_InputFunctions.Utility_DisplayArrayInTable(Agresidue_SourceData.PastureAttributes_Data(), Table_SourceData_PastureAttributes[[#Headers],[Pasture type]], 0)</f>
        <v>0.4</v>
      </c>
      <c r="G55" s="20" cm="1">
        <f t="array" ref="G55">Common_InputFunctions.Utility_DisplayArrayInTable(Agresidue_SourceData.PastureAttributes_Data(), Table_SourceData_PastureAttributes[[#Headers],[Pasture type]], 0)</f>
        <v>2.7E-2</v>
      </c>
      <c r="H55" s="20" cm="1">
        <f t="array" ref="H55">Common_InputFunctions.Utility_DisplayArrayInTable(Agresidue_SourceData.PastureAttributes_Data(), Table_SourceData_PastureAttributes[[#Headers],[Pasture type]], 0)</f>
        <v>2.1999999999999999E-2</v>
      </c>
      <c r="I55" s="20" cm="1">
        <f t="array" ref="I55">Common_InputFunctions.Utility_DisplayArrayInTable(Agresidue_SourceData.PastureAttributes_Data(), Table_SourceData_PastureAttributes[[#Headers],[Pasture type]], 0)</f>
        <v>0.8</v>
      </c>
    </row>
    <row r="56" spans="1:12" ht="20.100000000000001" customHeight="1" x14ac:dyDescent="0.2">
      <c r="D56" s="20" t="str" cm="1">
        <f t="array" ref="D56">Common_InputFunctions.Utility_DisplayArrayInTable(Agresidue_SourceData.PastureAttributes_Data(), Table_SourceData_PastureAttributes[[#Headers],[Pasture type]], 0)</f>
        <v>Perennial pasture</v>
      </c>
      <c r="E56" s="20" cm="1">
        <f t="array" ref="E56">Common_InputFunctions.Utility_DisplayArrayInTable(Agresidue_SourceData.PastureAttributes_Data(), Table_SourceData_PastureAttributes[[#Headers],[Pasture type]], 0)</f>
        <v>8.35</v>
      </c>
      <c r="F56" s="20" cm="1">
        <f t="array" ref="F56">Common_InputFunctions.Utility_DisplayArrayInTable(Agresidue_SourceData.PastureAttributes_Data(), Table_SourceData_PastureAttributes[[#Headers],[Pasture type]], 0)</f>
        <v>0.8</v>
      </c>
      <c r="G56" s="20" cm="1">
        <f t="array" ref="G56">Common_InputFunctions.Utility_DisplayArrayInTable(Agresidue_SourceData.PastureAttributes_Data(), Table_SourceData_PastureAttributes[[#Headers],[Pasture type]], 0)</f>
        <v>1.4999999999999999E-2</v>
      </c>
      <c r="H56" s="20" cm="1">
        <f t="array" ref="H56">Common_InputFunctions.Utility_DisplayArrayInTable(Agresidue_SourceData.PastureAttributes_Data(), Table_SourceData_PastureAttributes[[#Headers],[Pasture type]], 0)</f>
        <v>1.2E-2</v>
      </c>
      <c r="I56" s="20" cm="1">
        <f t="array" ref="I56">Common_InputFunctions.Utility_DisplayArrayInTable(Agresidue_SourceData.PastureAttributes_Data(), Table_SourceData_PastureAttributes[[#Headers],[Pasture type]], 0)</f>
        <v>0.8</v>
      </c>
    </row>
    <row r="57" spans="1:12" ht="20.100000000000001" customHeight="1" x14ac:dyDescent="0.2">
      <c r="H57" s="8"/>
    </row>
    <row r="58" spans="1:12" ht="20.100000000000001" customHeight="1" x14ac:dyDescent="0.2">
      <c r="A58" s="81" t="str">
        <f>HYPERLINK("#A1", "▲ Back to top")</f>
        <v>▲ Back to top</v>
      </c>
    </row>
    <row r="59" spans="1:12" ht="20.100000000000001" customHeight="1" x14ac:dyDescent="0.2">
      <c r="D59" s="2" t="str" cm="1">
        <f t="array" ref="D59">AgResidues_SourceData.BurningOfAgriculturalResiduesEFs_Title()</f>
        <v>Table 5.31 Burning of agricultural residues - EFs</v>
      </c>
    </row>
    <row r="60" spans="1:12" ht="20.100000000000001" customHeight="1" x14ac:dyDescent="0.2">
      <c r="D60" s="17" t="str" cm="1">
        <f t="array" ref="D60">AgResidues_SourceData.BurningOfAgriculturalResiduesEFs_Source()</f>
        <v>National Inventory Report 2023 volume 2: Table 5.31: Burning of agricultural residues - EFs</v>
      </c>
    </row>
    <row r="62" spans="1:12" ht="20.100000000000001" customHeight="1" x14ac:dyDescent="0.2">
      <c r="D62" s="20" t="s">
        <v>783</v>
      </c>
      <c r="E62" s="20" t="s">
        <v>784</v>
      </c>
      <c r="F62" s="20" t="s">
        <v>785</v>
      </c>
    </row>
    <row r="63" spans="1:12" ht="20.100000000000001" customHeight="1" x14ac:dyDescent="0.2">
      <c r="D63" s="20" t="str" cm="1">
        <f t="array" ref="D63">Common_InputFunctions.Utility_DisplayArrayInTable(AgResidues_SourceData.BurningOfAgriculturalResiduesEFs_Data(), Table_SourceData_BurningResidueEFs[[#Headers],[Gas species]], 0)</f>
        <v>CH4</v>
      </c>
      <c r="E63" s="20" cm="1">
        <f t="array" ref="E63">Common_InputFunctions.Utility_DisplayArrayInTable(AgResidues_SourceData.BurningOfAgriculturalResiduesEFs_Data(), Table_SourceData_BurningResidueEFs[[#Headers],[Gas species]], 0)</f>
        <v>3.5000000000000001E-3</v>
      </c>
      <c r="F63" s="20"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
      <c r="D64" s="1" t="str" cm="1">
        <f t="array" ref="D64">Common_InputFunctions.Utility_DisplayArrayInTable(AgResidues_SourceData.BurningOfAgriculturalResiduesEFs_Data(), Table_SourceData_BurningResidueEFs[[#Headers],[Gas species]], 0)</f>
        <v>N2O</v>
      </c>
      <c r="E64" s="20" cm="1">
        <f t="array" ref="E64">Common_InputFunctions.Utility_DisplayArrayInTable(AgResidues_SourceData.BurningOfAgriculturalResiduesEFs_Data(), Table_SourceData_BurningResidueEFs[[#Headers],[Gas species]], 0)</f>
        <v>7.6E-3</v>
      </c>
      <c r="F64" s="2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
      <c r="D65" s="1" t="str" cm="1">
        <f t="array" ref="D65">Common_InputFunctions.Utility_DisplayArrayInTable(AgResidues_SourceData.BurningOfAgriculturalResiduesEFs_Data(), Table_SourceData_BurningResidueEFs[[#Headers],[Gas species]], 0)</f>
        <v>NOx</v>
      </c>
      <c r="E65" s="20" cm="1">
        <f t="array" ref="E65">Common_InputFunctions.Utility_DisplayArrayInTable(AgResidues_SourceData.BurningOfAgriculturalResiduesEFs_Data(), Table_SourceData_BurningResidueEFs[[#Headers],[Gas species]], 0)</f>
        <v>0.21</v>
      </c>
      <c r="F65" s="2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
      <c r="D66" s="1" t="str" cm="1">
        <f t="array" ref="D66">Common_InputFunctions.Utility_DisplayArrayInTable(AgResidues_SourceData.BurningOfAgriculturalResiduesEFs_Data(), Table_SourceData_BurningResidueEFs[[#Headers],[Gas species]], 0)</f>
        <v>CO</v>
      </c>
      <c r="E66" s="20" cm="1">
        <f t="array" ref="E66">Common_InputFunctions.Utility_DisplayArrayInTable(AgResidues_SourceData.BurningOfAgriculturalResiduesEFs_Data(), Table_SourceData_BurningResidueEFs[[#Headers],[Gas species]], 0)</f>
        <v>7.8E-2</v>
      </c>
      <c r="F66" s="2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
      <c r="D67" s="1" t="str" cm="1">
        <f t="array" ref="D67">Common_InputFunctions.Utility_DisplayArrayInTable(AgResidues_SourceData.BurningOfAgriculturalResiduesEFs_Data(), Table_SourceData_BurningResidueEFs[[#Headers],[Gas species]], 0)</f>
        <v>NMVOC</v>
      </c>
      <c r="E67" s="20" cm="1">
        <f t="array" ref="E67">Common_InputFunctions.Utility_DisplayArrayInTable(AgResidues_SourceData.BurningOfAgriculturalResiduesEFs_Data(), Table_SourceData_BurningResidueEFs[[#Headers],[Gas species]], 0)</f>
        <v>9.1000000000000004E-3</v>
      </c>
      <c r="F67" s="2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
      <c r="K68" s="8"/>
      <c r="L68" s="8"/>
    </row>
    <row r="69" spans="4:12" ht="20.100000000000001" customHeight="1" x14ac:dyDescent="0.2">
      <c r="K69" s="8"/>
      <c r="L69" s="8"/>
    </row>
    <row r="70" spans="4:12" ht="20.100000000000001" customHeight="1" x14ac:dyDescent="0.2">
      <c r="D70" s="2" t="str" cm="1">
        <f t="array" ref="D70">Agresidue_SourceData.CropFractionRemoved_Title()</f>
        <v>Table A.2.1.2: Crop attributes - Fraction removed (FFODc)</v>
      </c>
      <c r="E70" s="8"/>
      <c r="F70" s="8"/>
      <c r="G70" s="8"/>
      <c r="K70" s="8"/>
      <c r="L70" s="8"/>
    </row>
    <row r="71" spans="4:12" ht="20.100000000000001" customHeight="1" x14ac:dyDescent="0.2">
      <c r="D71" s="17" t="str" cm="1">
        <f t="array" ref="D71">Agresidue_SourceData.CropFractionRemoved_Source()</f>
        <v>VEERG 2026: Table A.2.1.2: Crop attributes - Fraction removed (FFODc)</v>
      </c>
      <c r="E71" s="8"/>
      <c r="F71" s="8"/>
      <c r="G71" s="8"/>
      <c r="K71" s="8"/>
      <c r="L71" s="8"/>
    </row>
    <row r="72" spans="4:12" ht="20.100000000000001" customHeight="1" x14ac:dyDescent="0.2">
      <c r="D72" s="8"/>
      <c r="E72" s="8"/>
      <c r="F72" s="8"/>
      <c r="G72" s="8"/>
      <c r="K72" s="8"/>
      <c r="L72" s="8"/>
    </row>
    <row r="73" spans="4:12" ht="20.100000000000001" customHeight="1" x14ac:dyDescent="0.2">
      <c r="D73" t="s">
        <v>786</v>
      </c>
      <c r="E73" t="s">
        <v>98</v>
      </c>
      <c r="F73" t="s">
        <v>787</v>
      </c>
      <c r="G73" s="8"/>
      <c r="K73" s="8"/>
      <c r="L73" s="8"/>
    </row>
    <row r="74" spans="4:12" ht="20.100000000000001" customHeight="1" x14ac:dyDescent="0.2">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1:12" ht="20.100000000000001" customHeight="1" x14ac:dyDescent="0.2">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1:12" ht="20.100000000000001" customHeight="1" x14ac:dyDescent="0.2">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1:12" ht="20.100000000000001" customHeight="1" x14ac:dyDescent="0.2">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1:12" ht="20.100000000000001" customHeight="1" x14ac:dyDescent="0.2">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1:12" ht="20.100000000000001" customHeight="1" x14ac:dyDescent="0.2">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1:12" ht="20.100000000000001" customHeight="1" x14ac:dyDescent="0.2">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1:12" ht="20.100000000000001" customHeight="1" x14ac:dyDescent="0.2">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1:12" ht="20.100000000000001" customHeight="1" x14ac:dyDescent="0.2">
      <c r="A88" s="81" t="str">
        <f>HYPERLINK("#A1", "▲ Back to top")</f>
        <v>▲ Back to top</v>
      </c>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1:12" ht="20.100000000000001" customHeight="1" x14ac:dyDescent="0.2">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1:12" ht="20.100000000000001" customHeight="1" x14ac:dyDescent="0.2">
      <c r="D90" s="8"/>
      <c r="E90" s="8"/>
      <c r="F90" s="8"/>
      <c r="G90" s="8"/>
      <c r="H90" s="8"/>
      <c r="I90" s="8"/>
      <c r="J90" s="8"/>
      <c r="K90" s="8"/>
      <c r="L90" s="8"/>
    </row>
    <row r="91" spans="1:12" ht="20.100000000000001" customHeight="1" x14ac:dyDescent="0.2">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1:12" ht="20.100000000000001" customHeight="1" x14ac:dyDescent="0.2">
      <c r="D92" t="s">
        <v>786</v>
      </c>
      <c r="E92" t="s">
        <v>98</v>
      </c>
      <c r="F92" t="s">
        <v>787</v>
      </c>
      <c r="G92" s="8"/>
      <c r="H92" s="8"/>
      <c r="I92" s="8"/>
      <c r="J92" s="8"/>
      <c r="K92" s="8"/>
      <c r="L92" s="8"/>
    </row>
    <row r="93" spans="1:12" ht="20.100000000000001" customHeight="1" x14ac:dyDescent="0.2">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1:12" ht="20.100000000000001" customHeight="1" x14ac:dyDescent="0.2">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1:12" ht="20.100000000000001" customHeight="1" x14ac:dyDescent="0.2">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1:12" ht="20.100000000000001" customHeight="1" x14ac:dyDescent="0.2">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1:12" ht="20.100000000000001" customHeight="1" x14ac:dyDescent="0.2">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1:12" ht="20.100000000000001" customHeight="1" x14ac:dyDescent="0.2">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1:12" ht="20.100000000000001" customHeight="1" x14ac:dyDescent="0.2">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1:12" ht="20.100000000000001" customHeight="1" x14ac:dyDescent="0.2">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1:12" ht="20.100000000000001" customHeight="1" x14ac:dyDescent="0.2">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1:12" ht="20.100000000000001" customHeight="1" x14ac:dyDescent="0.2">
      <c r="A118" s="81" t="str">
        <f>HYPERLINK("#A1", "▲ Back to top")</f>
        <v>▲ Back to top</v>
      </c>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1:12" ht="20.100000000000001" customHeight="1" x14ac:dyDescent="0.2">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1:12" ht="20.100000000000001" customHeight="1" x14ac:dyDescent="0.2">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1:12" ht="20.100000000000001" customHeight="1" x14ac:dyDescent="0.2">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1:12" ht="20.100000000000001" customHeight="1" x14ac:dyDescent="0.2">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1:12" ht="20.100000000000001" customHeight="1" x14ac:dyDescent="0.2">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1:12" ht="20.100000000000001" customHeight="1" x14ac:dyDescent="0.2">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1:12" ht="20.100000000000001" customHeight="1" x14ac:dyDescent="0.2">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1:12" ht="20.100000000000001" customHeight="1" x14ac:dyDescent="0.2">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1:12" ht="20.100000000000001" customHeight="1" x14ac:dyDescent="0.2">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1:12" ht="20.100000000000001" customHeight="1" x14ac:dyDescent="0.2">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1:12" ht="20.100000000000001" customHeight="1" x14ac:dyDescent="0.2">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1:12" ht="20.100000000000001" customHeight="1" x14ac:dyDescent="0.2">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1:12" ht="20.100000000000001" customHeight="1" x14ac:dyDescent="0.2">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1:12" ht="20.100000000000001" customHeight="1" x14ac:dyDescent="0.2">
      <c r="A148" s="81" t="str">
        <f>HYPERLINK("#A1", "▲ Back to top")</f>
        <v>▲ Back to top</v>
      </c>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1:12" ht="20.100000000000001" customHeight="1" x14ac:dyDescent="0.2">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1:12" ht="20.100000000000001" customHeight="1" x14ac:dyDescent="0.2">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1:12" ht="20.100000000000001" customHeight="1" x14ac:dyDescent="0.2">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1:12" ht="20.100000000000001" customHeight="1" x14ac:dyDescent="0.2">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1:12" ht="20.100000000000001" customHeight="1" x14ac:dyDescent="0.2">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1:12" ht="20.100000000000001" customHeight="1" x14ac:dyDescent="0.2">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1:12" ht="20.100000000000001" customHeight="1" x14ac:dyDescent="0.2">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1:12" ht="20.100000000000001" customHeight="1" x14ac:dyDescent="0.2">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1:12" ht="20.100000000000001" customHeight="1" x14ac:dyDescent="0.2">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1:12" ht="20.100000000000001" customHeight="1" x14ac:dyDescent="0.2">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1:12" ht="20.100000000000001" customHeight="1" x14ac:dyDescent="0.2">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1:12" ht="20.100000000000001" customHeight="1" x14ac:dyDescent="0.2">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ht="20.100000000000001" customHeight="1" x14ac:dyDescent="0.2">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ht="20.100000000000001" customHeight="1" x14ac:dyDescent="0.2">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ht="20.100000000000001" customHeight="1" x14ac:dyDescent="0.2">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ht="20.100000000000001" customHeight="1" x14ac:dyDescent="0.2">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ht="20.100000000000001" customHeight="1" x14ac:dyDescent="0.2">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ht="20.100000000000001" customHeight="1" x14ac:dyDescent="0.2">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ht="20.100000000000001" customHeight="1" x14ac:dyDescent="0.2">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ht="20.100000000000001" customHeight="1" x14ac:dyDescent="0.2">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ht="20.100000000000001" customHeight="1" x14ac:dyDescent="0.2">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ht="20.100000000000001" customHeight="1" x14ac:dyDescent="0.2">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ht="20.100000000000001" customHeight="1" x14ac:dyDescent="0.2">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1:12" ht="20.100000000000001" customHeight="1" x14ac:dyDescent="0.2">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1:12" ht="20.100000000000001" customHeight="1" x14ac:dyDescent="0.2">
      <c r="A178" s="81" t="str">
        <f>HYPERLINK("#A1", "▲ Back to top")</f>
        <v>▲ Back to top</v>
      </c>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1:12" ht="20.100000000000001" customHeight="1" x14ac:dyDescent="0.2">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1:12" ht="20.100000000000001" customHeight="1" x14ac:dyDescent="0.2">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1:12" ht="20.100000000000001" customHeight="1" x14ac:dyDescent="0.2">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1:12" ht="20.100000000000001" customHeight="1" x14ac:dyDescent="0.2">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1:12" ht="20.100000000000001" customHeight="1" x14ac:dyDescent="0.2">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1:12" ht="20.100000000000001" customHeight="1" x14ac:dyDescent="0.2">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1:12" ht="20.100000000000001" customHeight="1" x14ac:dyDescent="0.2">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1:12" ht="20.100000000000001" customHeight="1" x14ac:dyDescent="0.2">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1:12" ht="20.100000000000001" customHeight="1" x14ac:dyDescent="0.2">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1:12" ht="20.100000000000001" customHeight="1" x14ac:dyDescent="0.2">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1:12" ht="20.100000000000001" customHeight="1" x14ac:dyDescent="0.2">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1:12" ht="20.100000000000001" customHeight="1" x14ac:dyDescent="0.2">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1:12" ht="20.100000000000001" customHeight="1" x14ac:dyDescent="0.2">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1:12" ht="20.100000000000001" customHeight="1" x14ac:dyDescent="0.2">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1:12" ht="20.100000000000001" customHeight="1" x14ac:dyDescent="0.2">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1:12" ht="20.100000000000001" customHeight="1" x14ac:dyDescent="0.2">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1:12" ht="20.100000000000001" customHeight="1" x14ac:dyDescent="0.2">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1:12" ht="20.100000000000001" customHeight="1" x14ac:dyDescent="0.2">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1:12" ht="20.100000000000001" customHeight="1" x14ac:dyDescent="0.2">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1:12" ht="20.100000000000001" customHeight="1" x14ac:dyDescent="0.2">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1:12" ht="20.100000000000001" customHeight="1" x14ac:dyDescent="0.2">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1:12" ht="20.100000000000001" customHeight="1" x14ac:dyDescent="0.2">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1:12" ht="20.100000000000001" customHeight="1" x14ac:dyDescent="0.2">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1:12" ht="20.100000000000001" customHeight="1" x14ac:dyDescent="0.2">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1:12" ht="20.100000000000001" customHeight="1" x14ac:dyDescent="0.2">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1:12" ht="20.100000000000001" customHeight="1" x14ac:dyDescent="0.2">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1:12" ht="20.100000000000001" customHeight="1" x14ac:dyDescent="0.2">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1:12" ht="20.100000000000001" customHeight="1" x14ac:dyDescent="0.2">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1:12" ht="20.100000000000001" customHeight="1" x14ac:dyDescent="0.2">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1:12" ht="20.100000000000001" customHeight="1" x14ac:dyDescent="0.2">
      <c r="A208" s="81" t="str">
        <f>HYPERLINK("#A1", "▲ Back to top")</f>
        <v>▲ Back to top</v>
      </c>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ht="20.100000000000001" customHeight="1" x14ac:dyDescent="0.2">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ht="20.100000000000001" customHeight="1" x14ac:dyDescent="0.2">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ht="20.100000000000001" customHeight="1" x14ac:dyDescent="0.2">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ht="20.100000000000001" customHeight="1" x14ac:dyDescent="0.2">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ht="20.100000000000001" customHeight="1" x14ac:dyDescent="0.2">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ht="20.100000000000001" customHeight="1" x14ac:dyDescent="0.2">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ht="20.100000000000001" customHeight="1" x14ac:dyDescent="0.2">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ht="20.100000000000001" customHeight="1" x14ac:dyDescent="0.2">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ht="20.100000000000001" customHeight="1" x14ac:dyDescent="0.2">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ht="20.100000000000001" customHeight="1" x14ac:dyDescent="0.2">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ht="20.100000000000001" customHeight="1" x14ac:dyDescent="0.2">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ht="20.100000000000001" customHeight="1" x14ac:dyDescent="0.2">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ht="20.100000000000001" customHeight="1" x14ac:dyDescent="0.2">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ht="20.100000000000001" customHeight="1" x14ac:dyDescent="0.2">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ht="20.100000000000001" customHeight="1" x14ac:dyDescent="0.2">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ht="20.100000000000001" customHeight="1" x14ac:dyDescent="0.2">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ht="20.100000000000001" customHeight="1" x14ac:dyDescent="0.2">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ht="20.100000000000001" customHeight="1" x14ac:dyDescent="0.2">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ht="20.100000000000001" customHeight="1" x14ac:dyDescent="0.2">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ht="20.100000000000001" customHeight="1" x14ac:dyDescent="0.2">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ht="20.100000000000001" customHeight="1" x14ac:dyDescent="0.2">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ht="20.100000000000001" customHeight="1" x14ac:dyDescent="0.2">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ht="20.100000000000001" customHeight="1" x14ac:dyDescent="0.2">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ht="20.100000000000001" customHeight="1" x14ac:dyDescent="0.2">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ht="20.100000000000001" customHeight="1" x14ac:dyDescent="0.2">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ht="20.100000000000001" customHeight="1" x14ac:dyDescent="0.2">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ht="20.100000000000001" customHeight="1" x14ac:dyDescent="0.2">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5B47-279D-4BEC-A8DB-E9FF68F38915}">
  <sheetPr>
    <tabColor theme="2" tint="-0.499984740745262"/>
  </sheetPr>
  <dimension ref="A1:AI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568</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tr" cm="1">
        <f t="array" ref="D5">Electricity_SourceData.Electricity_Scope2Scope3LocationBased_Title()</f>
        <v>Electricity scope 2 and scope 3 location-based emission factors</v>
      </c>
    </row>
    <row r="6" spans="1:35" ht="20.100000000000001" customHeight="1" x14ac:dyDescent="0.2">
      <c r="D6" s="17" t="str" cm="1">
        <f t="array" ref="D6">Electricity_SourceData.Electricity_Scope2Scope3LocationBased_Source()</f>
        <v>Australian National Greenhouse Accounts Factors 2025 - Table 1</v>
      </c>
      <c r="E6" s="8"/>
      <c r="F6" s="8"/>
    </row>
    <row r="7" spans="1:35" ht="20.100000000000001" customHeight="1" x14ac:dyDescent="0.2">
      <c r="D7" s="26"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78" t="s">
        <v>569</v>
      </c>
      <c r="E9" s="178" t="s">
        <v>570</v>
      </c>
      <c r="F9" s="178" t="s">
        <v>571</v>
      </c>
    </row>
    <row r="10" spans="1:35" ht="20.100000000000001" customHeight="1" x14ac:dyDescent="0.2">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
      <c r="A11" s="5" t="str">
        <f>HYPERLINK("#'Input - Crop'!A1", "Crop")</f>
        <v>Crop</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
      <c r="A12" s="5" t="str">
        <f>HYPERLINK("#'Input - Fert Prod System'!A1", "Fert Prod System")</f>
        <v>Fert Prod System</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
      <c r="A13" s="5" t="str">
        <f>HYPERLINK("#'Input - Fertiliser'!A1", "Fertiliser")</f>
        <v>Fertiliser</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
      <c r="A16" s="5" t="str">
        <f>HYPERLINK("#'Input - Common farm inputs'!A1", "Common farm inputs")</f>
        <v>Common farm inputs</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
      <c r="A17" s="5" t="str">
        <f>HYPERLINK("#'Input - Crop pasture farm input'!A1", "Crop pasture farm input")</f>
        <v>Crop pasture farm input</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
      <c r="A18" s="5" t="str">
        <f>HYPERLINK("#'Input - Freight'!A1", "Freight")</f>
        <v>Freight</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
      <c r="A19" s="5" t="str">
        <f>HYPERLINK("#'Input - Solid waste'!A1", "Solid waste")</f>
        <v>Solid waste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
      <c r="A20" s="5" t="str">
        <f>HYPERLINK("#'Input - Data quality'!A1", "Data quality")</f>
        <v>Data quality</v>
      </c>
    </row>
    <row r="21" spans="1:8" ht="20.100000000000001" customHeight="1" x14ac:dyDescent="0.2">
      <c r="D21" s="2" t="str" cm="1">
        <f t="array" ref="D21">Electricity_SourceData.Electricity_Scope2Scope3MarketBased_Title()</f>
        <v>Electricity scope 2 and scope 3 market-based emission factors</v>
      </c>
    </row>
    <row r="22" spans="1:8" ht="20.100000000000001" customHeight="1" x14ac:dyDescent="0.2">
      <c r="D22" s="17" t="str" cm="1">
        <f t="array" ref="D22">Electricity_SourceData.Electricity_Scope2Scope3MarketBased_Source()</f>
        <v>Australian National Greenhouse Accounts Factors 2025 - Table 2a</v>
      </c>
    </row>
    <row r="23" spans="1:8" ht="20.100000000000001" customHeight="1" x14ac:dyDescent="0.2">
      <c r="A23" s="6" t="s">
        <v>2</v>
      </c>
    </row>
    <row r="24" spans="1:8" ht="20.100000000000001" customHeight="1" x14ac:dyDescent="0.2">
      <c r="A24" s="5" t="str">
        <f>HYPERLINK("#'5.1.1.1-2 Inorganic fert N2O'!A1", "5.1.1.1-2 Inorganic fert N2O")</f>
        <v>5.1.1.1-2 Inorganic fert N2O</v>
      </c>
      <c r="D24" s="170" t="s">
        <v>569</v>
      </c>
      <c r="E24" s="170" t="s">
        <v>572</v>
      </c>
      <c r="F24" s="170" t="s">
        <v>573</v>
      </c>
      <c r="G24" s="170" t="s">
        <v>574</v>
      </c>
      <c r="H24" s="170" t="s">
        <v>575</v>
      </c>
    </row>
    <row r="25" spans="1:8" ht="20.100000000000001" customHeight="1" x14ac:dyDescent="0.2">
      <c r="A25" s="5" t="str">
        <f>HYPERLINK("#'5.1.1.3-4 Inorganic fert CO2'!A1", "5.1.1.3-4 Inorganic fert CO2")</f>
        <v>5.1.1.3-4 Inorganic fert CO2</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
      <c r="A26" s="5" t="str">
        <f>HYPERLINK("#'5.2.1.1-2 Organic Fert N2O'!A1", "5.2.1.1-2 Organic fert N2O")</f>
        <v>5.2.1.1-2 Organic fert N2O</v>
      </c>
    </row>
    <row r="27" spans="1:8" ht="20.100000000000001" customHeight="1" x14ac:dyDescent="0.2">
      <c r="A27" s="5" t="str">
        <f>HYPERLINK("#'5.3.1.1-2 Lime CO2'!A1", "5.3.1.1-2 Lime CO2")</f>
        <v>5.3.1.1-2 Lime CO2</v>
      </c>
    </row>
    <row r="28" spans="1:8" ht="20.100000000000001" customHeight="1" x14ac:dyDescent="0.2">
      <c r="A28" s="5" t="str">
        <f>HYPERLINK("#'5.4.1.1-4 Atmos deposition'!A1", "5.4.1.1-4 Atmos. deposition")</f>
        <v>5.4.1.1-4 Atmos. deposition</v>
      </c>
    </row>
    <row r="29" spans="1:8" ht="20.100000000000001" customHeight="1" x14ac:dyDescent="0.2">
      <c r="A29" s="5" t="str">
        <f>HYPERLINK("#'5.5.1.1-2 Leaching and runoff'!A1", "5.5.1.1-2 Leaching &amp; runoff")</f>
        <v>5.5.1.1-2 Leaching &amp; runoff</v>
      </c>
    </row>
    <row r="30" spans="1:8" ht="20.100000000000001" customHeight="1" x14ac:dyDescent="0.2">
      <c r="A30" s="5" t="str">
        <f>HYPERLINK("#'6.1.1.1-2 Crop residue N2O'!A1", "6.1.1.1-2 Crop residue N2O")</f>
        <v>6.1.1.1-2 Crop residue N2O</v>
      </c>
    </row>
    <row r="31" spans="1:8" ht="20.100000000000001" customHeight="1" x14ac:dyDescent="0.2">
      <c r="A31" s="5" t="str">
        <f>HYPERLINK("#'6.3.1.1-2 Leach runoff crop'!A1", "6.3.1.1-2 Leach &amp; runoff (crop)")</f>
        <v>6.3.1.1-2 Leach &amp; runoff (crop)</v>
      </c>
    </row>
    <row r="32" spans="1:8"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83"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17EA2-0A52-4D6F-AC36-D9CDD990AE1F}">
  <dimension ref="A1:AM223"/>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494</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EI")</f>
        <v>Results - Product EI</v>
      </c>
      <c r="D5" s="2" t="str" cm="1">
        <f t="array" ref="D5">Fertiliser_SourceData.Fertiliser_ChemicalCompoundElements_Title()</f>
        <v>Common inorganic fertilisers</v>
      </c>
      <c r="E5" s="161"/>
      <c r="F5" s="161"/>
      <c r="G5" s="161"/>
      <c r="H5" s="161"/>
      <c r="I5" s="161"/>
      <c r="J5" s="161"/>
    </row>
    <row r="6" spans="1:36" ht="20.100000000000001" customHeight="1" x14ac:dyDescent="0.2">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
      <c r="D7" s="26" t="str" cm="1">
        <f t="array" ref="D7:D18">Fertiliser_SourceData.Fertiliser_ChemicalCompoundElements_Variation()</f>
        <v>VARIATION ON SOURCE</v>
      </c>
    </row>
    <row r="8" spans="1:36" ht="20.100000000000001" customHeight="1" x14ac:dyDescent="0.2">
      <c r="A8" s="7" t="s">
        <v>0</v>
      </c>
      <c r="D8" s="26" t="str">
        <v>Added 'Basis' column to allow cross-referencing with table Table A.2.2.6: Fraction of inorganic fertiliser f that volatilises as NH3 and NOx ((kg NH3-N + NOx-N)/kg N) (FracGASFf)</v>
      </c>
    </row>
    <row r="9" spans="1:36" ht="20.100000000000001" customHeight="1" x14ac:dyDescent="0.2">
      <c r="A9" s="5" t="str">
        <f>HYPERLINK("#'Input - Enterprise'!A1", "Enterprise")</f>
        <v>Enterprise</v>
      </c>
      <c r="D9" s="26" t="str">
        <v>Added extra fertiliser types and generic chemical compounds to allow for custom NPKS blends</v>
      </c>
    </row>
    <row r="10" spans="1:36" ht="20.100000000000001" customHeight="1" x14ac:dyDescent="0.2">
      <c r="A10" s="5" t="str">
        <f>HYPERLINK("#'Input - Site'!A1", "Site")</f>
        <v>Site</v>
      </c>
      <c r="D10" s="26" t="str">
        <v>Added extra 'Scope 3 definition' column to allow mapping with scope 3 data</v>
      </c>
    </row>
    <row r="11" spans="1:36" ht="20.100000000000001" customHeight="1" x14ac:dyDescent="0.2">
      <c r="A11" s="5" t="str">
        <f>HYPERLINK("#'Input - Crop'!A1", "Crop")</f>
        <v>Crop</v>
      </c>
      <c r="D11" s="26" t="str">
        <v>Added 'Source' column</v>
      </c>
    </row>
    <row r="12" spans="1:36" ht="20.100000000000001" customHeight="1" x14ac:dyDescent="0.2">
      <c r="A12" s="5" t="str">
        <f>HYPERLINK("#'Input - Fert Prod System'!A1", "Fert Prod System")</f>
        <v>Fert Prod System</v>
      </c>
      <c r="D12" s="26" t="str">
        <v>Combined data from Table A.2.2.3 and Table A.2.2.4 into one table to aid lookup.</v>
      </c>
    </row>
    <row r="13" spans="1:36" ht="20.100000000000001" customHeight="1" x14ac:dyDescent="0.2">
      <c r="A13" s="5" t="str">
        <f>HYPERLINK("#'Input - Fertiliser'!A1", "Fertiliser")</f>
        <v>Fertiliser</v>
      </c>
      <c r="D13" s="26" t="str">
        <v>Excluded 'References' column</v>
      </c>
    </row>
    <row r="14" spans="1:36" ht="20.100000000000001" customHeight="1" x14ac:dyDescent="0.2">
      <c r="A14" s="5" t="str">
        <f>HYPERLINK("#'Input - Fuel'!A1", "Fuel")</f>
        <v>Fuel</v>
      </c>
      <c r="D14" s="26" t="str">
        <v>Excluded 'Ammonium sulfate' as it is a duplicate of 'Sulphate of ammonia (SOA)'</v>
      </c>
    </row>
    <row r="15" spans="1:36" ht="20.100000000000001" customHeight="1" x14ac:dyDescent="0.2">
      <c r="A15" s="5" t="str">
        <f>HYPERLINK("#'Input - Electricity'!A1", "Electricity")</f>
        <v>Electricity</v>
      </c>
      <c r="D15" s="26" t="str">
        <v>Excluded 'Calcium nitrate' as no scope 3 value available.</v>
      </c>
    </row>
    <row r="16" spans="1:36" ht="20.100000000000001" customHeight="1" x14ac:dyDescent="0.2">
      <c r="A16" s="5" t="str">
        <f>HYPERLINK("#'Input - Common farm inputs'!A1", "Common farm inputs")</f>
        <v>Common farm inputs</v>
      </c>
      <c r="D16" s="26" t="str">
        <v>Set 'Nitrogen - Generic' basis as 'Urea-based fertilisers, as urea is the most commonly used form of nitrogen in Australian fertilisers</v>
      </c>
    </row>
    <row r="17" spans="1:22" ht="20.100000000000001" customHeight="1" x14ac:dyDescent="0.2">
      <c r="A17" s="5" t="str">
        <f>HYPERLINK("#'Input - Crop pasture farm input'!A1", "Crop pasture farm input")</f>
        <v>Crop pasture farm input</v>
      </c>
      <c r="D17" s="2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
      <c r="A18" s="5" t="str">
        <f>HYPERLINK("#'Input - Freight'!A1", "Freight")</f>
        <v>Freight</v>
      </c>
      <c r="D18" s="26"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
      <c r="A19" s="5" t="str">
        <f>HYPERLINK("#'Input - Solid waste'!A1", "Solid waste")</f>
        <v>Solid waste</v>
      </c>
      <c r="D19" t="s">
        <v>415</v>
      </c>
      <c r="E19" t="s">
        <v>495</v>
      </c>
      <c r="F19" t="s">
        <v>496</v>
      </c>
      <c r="G19" t="s">
        <v>470</v>
      </c>
      <c r="H19" t="s">
        <v>497</v>
      </c>
      <c r="I19" t="s">
        <v>498</v>
      </c>
      <c r="K19" s="20" t="s">
        <v>415</v>
      </c>
      <c r="L19" s="20" t="s">
        <v>495</v>
      </c>
      <c r="Q19" s="20" t="s">
        <v>415</v>
      </c>
      <c r="R19" s="20" t="s">
        <v>495</v>
      </c>
      <c r="V19" s="20" t="s">
        <v>498</v>
      </c>
    </row>
    <row r="20" spans="1:22" ht="20.100000000000001" customHeight="1" x14ac:dyDescent="0.2">
      <c r="A20" s="5" t="str">
        <f>HYPERLINK("#'Input - Data quality'!A1", "Data quality")</f>
        <v>Data quality</v>
      </c>
      <c r="D20" s="170" t="str" cm="1">
        <f t="array" ref="D20">Common_InputFunctions.Utility_DisplayArrayInTable(Fertiliser_SourceData.Fertiliser_ChemicalCompoundElements_Data(),Table_Fertiliser_ChemicalCompounds[[#Headers],[Fertiliser type f]], 0)</f>
        <v>Monoammonium phosphate (MAP)</v>
      </c>
      <c r="E20" s="170" cm="1">
        <f t="array" ref="E20">Common_InputFunctions.Utility_DisplayArrayInTable(Fertiliser_SourceData.Fertiliser_ChemicalCompoundElements_Data(),Table_Fertiliser_ChemicalCompounds[[#Headers],[Fertiliser type f]], 0)</f>
        <v>0.1</v>
      </c>
      <c r="F20" s="170" cm="1">
        <f t="array" ref="F20">Common_InputFunctions.Utility_DisplayArrayInTable(Fertiliser_SourceData.Fertiliser_ChemicalCompoundElements_Data(),Table_Fertiliser_ChemicalCompounds[[#Headers],[Fertiliser type f]], 0)</f>
        <v>0</v>
      </c>
      <c r="G20" s="170" t="str" cm="1">
        <f t="array" ref="G20">Common_InputFunctions.Utility_DisplayArrayInTable(Fertiliser_SourceData.Fertiliser_ChemicalCompoundElements_Data(),Table_Fertiliser_ChemicalCompounds[[#Headers],[Fertiliser type f]], 0)</f>
        <v>Ammonium-based fertilisers</v>
      </c>
      <c r="H20" s="170" t="str" cm="1">
        <f t="array" ref="H20">Common_InputFunctions.Utility_DisplayArrayInTable(Fertiliser_SourceData.Fertiliser_ChemicalCompoundElements_Data(),Table_Fertiliser_ChemicalCompounds[[#Headers],[Fertiliser type f]], 0)</f>
        <v>Monoammonium phosphate (MAP)</v>
      </c>
      <c r="I20" s="170" t="str" cm="1">
        <f t="array" ref="I20">Common_InputFunctions.Utility_DisplayArrayInTable(Fertiliser_SourceData.Fertiliser_ChemicalCompoundElements_Data(),Table_Fertiliser_ChemicalCompounds[[#Headers],[Fertiliser type f]], 0)</f>
        <v>VEERG</v>
      </c>
      <c r="K20" s="20" t="str" cm="1">
        <f t="array" ref="K20">Common_InputFunctions.Utility_DisplayArrayInTable(Fertiliser_SourceData.Fertiliser_FractionNCommonFertilisers_Data(), Table2[[#Headers],[Fertiliser type f]], 0)</f>
        <v>Monoammonium phosphate (MAP)</v>
      </c>
      <c r="L20" s="20" cm="1">
        <f t="array" ref="L20">Common_InputFunctions.Utility_DisplayArrayInTable(Fertiliser_SourceData.Fertiliser_FractionNCommonFertilisers_Data(), Table2[[#Headers],[Fertiliser type f]], 0)</f>
        <v>0.1</v>
      </c>
      <c r="Q20" s="20" t="str" cm="1">
        <f t="array" ref="Q20">Common_InputFunctions.Utility_DisplayArrayInTable(Fertiliser_SourceData.Fertiliser_FractionUreaCommonFertilisers_Data(), Table28[[#Headers],[Fertiliser type f]], 0)</f>
        <v>Monoammonium phosphate (MAP)</v>
      </c>
      <c r="R20" s="20" cm="1">
        <f t="array" ref="R20">Common_InputFunctions.Utility_DisplayArrayInTable(Fertiliser_SourceData.Fertiliser_FractionUreaCommonFertilisers_Data(), Table28[[#Headers],[Fertiliser type f]], 0)</f>
        <v>0</v>
      </c>
      <c r="V20" s="20" t="str" cm="1">
        <f t="array" ref="V20">Common_InputFunctions.Utility_DisplayArrayInTable(Fertiliser_SourceData.Fertiliser_UreaAmmoniaSourceRegions_Data(),Table_SourceData_Fertiliser_UreaAmmoniaSources[[#Headers],[Source]],0)</f>
        <v>Global</v>
      </c>
    </row>
    <row r="21" spans="1:22" ht="20.100000000000001" customHeight="1" x14ac:dyDescent="0.2">
      <c r="D21" s="170" t="str" cm="1">
        <f t="array" ref="D21">Common_InputFunctions.Utility_DisplayArrayInTable(Fertiliser_SourceData.Fertiliser_ChemicalCompoundElements_Data(),Table_Fertiliser_ChemicalCompounds[[#Headers],[Fertiliser type f]], 0)</f>
        <v>Diammonium phosphate (DAP)</v>
      </c>
      <c r="E21" s="170" cm="1">
        <f t="array" ref="E21">Common_InputFunctions.Utility_DisplayArrayInTable(Fertiliser_SourceData.Fertiliser_ChemicalCompoundElements_Data(),Table_Fertiliser_ChemicalCompounds[[#Headers],[Fertiliser type f]], 0)</f>
        <v>0.18</v>
      </c>
      <c r="F21" s="170" cm="1">
        <f t="array" ref="F21">Common_InputFunctions.Utility_DisplayArrayInTable(Fertiliser_SourceData.Fertiliser_ChemicalCompoundElements_Data(),Table_Fertiliser_ChemicalCompounds[[#Headers],[Fertiliser type f]], 0)</f>
        <v>0</v>
      </c>
      <c r="G21" s="170" t="str" cm="1">
        <f t="array" ref="G21">Common_InputFunctions.Utility_DisplayArrayInTable(Fertiliser_SourceData.Fertiliser_ChemicalCompoundElements_Data(),Table_Fertiliser_ChemicalCompounds[[#Headers],[Fertiliser type f]], 0)</f>
        <v>Ammonium-based fertilisers</v>
      </c>
      <c r="H21" s="170" t="str" cm="1">
        <f t="array" ref="H21">Common_InputFunctions.Utility_DisplayArrayInTable(Fertiliser_SourceData.Fertiliser_ChemicalCompoundElements_Data(),Table_Fertiliser_ChemicalCompounds[[#Headers],[Fertiliser type f]], 0)</f>
        <v>Diammonium phosphate (DAP)</v>
      </c>
      <c r="I21" s="170" t="str" cm="1">
        <f t="array" ref="I21">Common_InputFunctions.Utility_DisplayArrayInTable(Fertiliser_SourceData.Fertiliser_ChemicalCompoundElements_Data(),Table_Fertiliser_ChemicalCompounds[[#Headers],[Fertiliser type f]], 0)</f>
        <v>VEERG</v>
      </c>
      <c r="K21" s="20" t="str" cm="1">
        <f t="array" ref="K21">Common_InputFunctions.Utility_DisplayArrayInTable(Fertiliser_SourceData.Fertiliser_FractionNCommonFertilisers_Data(), Table2[[#Headers],[Fertiliser type f]], 0)</f>
        <v>Diammonium phosphate (DAP)</v>
      </c>
      <c r="L21" s="20" cm="1">
        <f t="array" ref="L21">Common_InputFunctions.Utility_DisplayArrayInTable(Fertiliser_SourceData.Fertiliser_FractionNCommonFertilisers_Data(), Table2[[#Headers],[Fertiliser type f]], 0)</f>
        <v>0.18</v>
      </c>
      <c r="Q21" s="20" t="str" cm="1">
        <f t="array" ref="Q21">Common_InputFunctions.Utility_DisplayArrayInTable(Fertiliser_SourceData.Fertiliser_FractionUreaCommonFertilisers_Data(), Table28[[#Headers],[Fertiliser type f]], 0)</f>
        <v>Diammonium phosphate (DAP)</v>
      </c>
      <c r="R21" s="20" cm="1">
        <f t="array" ref="R21">Common_InputFunctions.Utility_DisplayArrayInTable(Fertiliser_SourceData.Fertiliser_FractionUreaCommonFertilisers_Data(), Table28[[#Headers],[Fertiliser type f]], 0)</f>
        <v>0</v>
      </c>
      <c r="V21" s="20" t="str" cm="1">
        <f t="array" ref="V21">Common_InputFunctions.Utility_DisplayArrayInTable(Fertiliser_SourceData.Fertiliser_UreaAmmoniaSourceRegions_Data(),Table_SourceData_Fertiliser_UreaAmmoniaSources[[#Headers],[Source]],0)</f>
        <v>Canada</v>
      </c>
    </row>
    <row r="22" spans="1:22" ht="20.100000000000001" customHeight="1" x14ac:dyDescent="0.2">
      <c r="D22" s="170" t="str" cm="1">
        <f t="array" ref="D22">Common_InputFunctions.Utility_DisplayArrayInTable(Fertiliser_SourceData.Fertiliser_ChemicalCompoundElements_Data(),Table_Fertiliser_ChemicalCompounds[[#Headers],[Fertiliser type f]], 0)</f>
        <v>Urea</v>
      </c>
      <c r="E22" s="170" cm="1">
        <f t="array" ref="E22">Common_InputFunctions.Utility_DisplayArrayInTable(Fertiliser_SourceData.Fertiliser_ChemicalCompoundElements_Data(),Table_Fertiliser_ChemicalCompounds[[#Headers],[Fertiliser type f]], 0)</f>
        <v>0.46</v>
      </c>
      <c r="F22" s="170" cm="1">
        <f t="array" ref="F22">Common_InputFunctions.Utility_DisplayArrayInTable(Fertiliser_SourceData.Fertiliser_ChemicalCompoundElements_Data(),Table_Fertiliser_ChemicalCompounds[[#Headers],[Fertiliser type f]], 0)</f>
        <v>1</v>
      </c>
      <c r="G22" s="170" t="str" cm="1">
        <f t="array" ref="G22">Common_InputFunctions.Utility_DisplayArrayInTable(Fertiliser_SourceData.Fertiliser_ChemicalCompoundElements_Data(),Table_Fertiliser_ChemicalCompounds[[#Headers],[Fertiliser type f]], 0)</f>
        <v>Urea-based fertilisers</v>
      </c>
      <c r="H22" s="170" t="str" cm="1">
        <f t="array" ref="H22">Common_InputFunctions.Utility_DisplayArrayInTable(Fertiliser_SourceData.Fertiliser_ChemicalCompoundElements_Data(),Table_Fertiliser_ChemicalCompounds[[#Headers],[Fertiliser type f]], 0)</f>
        <v>Urea</v>
      </c>
      <c r="I22" s="170" t="str" cm="1">
        <f t="array" ref="I22">Common_InputFunctions.Utility_DisplayArrayInTable(Fertiliser_SourceData.Fertiliser_ChemicalCompoundElements_Data(),Table_Fertiliser_ChemicalCompounds[[#Headers],[Fertiliser type f]], 0)</f>
        <v>VEERG</v>
      </c>
      <c r="K22" s="20" t="str" cm="1">
        <f t="array" ref="K22">Common_InputFunctions.Utility_DisplayArrayInTable(Fertiliser_SourceData.Fertiliser_FractionNCommonFertilisers_Data(), Table2[[#Headers],[Fertiliser type f]], 0)</f>
        <v>Urea</v>
      </c>
      <c r="L22" s="20" cm="1">
        <f t="array" ref="L22">Common_InputFunctions.Utility_DisplayArrayInTable(Fertiliser_SourceData.Fertiliser_FractionNCommonFertilisers_Data(), Table2[[#Headers],[Fertiliser type f]], 0)</f>
        <v>0.46</v>
      </c>
      <c r="Q22" s="20" t="str" cm="1">
        <f t="array" ref="Q22">Common_InputFunctions.Utility_DisplayArrayInTable(Fertiliser_SourceData.Fertiliser_FractionUreaCommonFertilisers_Data(), Table28[[#Headers],[Fertiliser type f]], 0)</f>
        <v>Urea</v>
      </c>
      <c r="R22" s="20" cm="1">
        <f t="array" ref="R22">Common_InputFunctions.Utility_DisplayArrayInTable(Fertiliser_SourceData.Fertiliser_FractionUreaCommonFertilisers_Data(), Table28[[#Headers],[Fertiliser type f]], 0)</f>
        <v>1</v>
      </c>
      <c r="V22" s="20" t="str" cm="1">
        <f t="array" ref="V22">Common_InputFunctions.Utility_DisplayArrayInTable(Fertiliser_SourceData.Fertiliser_UreaAmmoniaSourceRegions_Data(),Table_SourceData_Fertiliser_UreaAmmoniaSources[[#Headers],[Source]],0)</f>
        <v>China</v>
      </c>
    </row>
    <row r="23" spans="1:22" ht="20.100000000000001" customHeight="1" x14ac:dyDescent="0.2">
      <c r="A23" s="6" t="s">
        <v>2</v>
      </c>
      <c r="D23" s="170" t="str" cm="1">
        <f t="array" ref="D23">Common_InputFunctions.Utility_DisplayArrayInTable(Fertiliser_SourceData.Fertiliser_ChemicalCompoundElements_Data(),Table_Fertiliser_ChemicalCompounds[[#Headers],[Fertiliser type f]], 0)</f>
        <v>Sulphate of ammonia (SOA)</v>
      </c>
      <c r="E23" s="170" cm="1">
        <f t="array" ref="E23">Common_InputFunctions.Utility_DisplayArrayInTable(Fertiliser_SourceData.Fertiliser_ChemicalCompoundElements_Data(),Table_Fertiliser_ChemicalCompounds[[#Headers],[Fertiliser type f]], 0)</f>
        <v>0.21</v>
      </c>
      <c r="F23" s="170" cm="1">
        <f t="array" ref="F23">Common_InputFunctions.Utility_DisplayArrayInTable(Fertiliser_SourceData.Fertiliser_ChemicalCompoundElements_Data(),Table_Fertiliser_ChemicalCompounds[[#Headers],[Fertiliser type f]], 0)</f>
        <v>0</v>
      </c>
      <c r="G23" s="170" t="str" cm="1">
        <f t="array" ref="G23">Common_InputFunctions.Utility_DisplayArrayInTable(Fertiliser_SourceData.Fertiliser_ChemicalCompoundElements_Data(),Table_Fertiliser_ChemicalCompounds[[#Headers],[Fertiliser type f]], 0)</f>
        <v>Ammonium-based fertilisers</v>
      </c>
      <c r="H23" s="170" t="str" cm="1">
        <f t="array" ref="H23">Common_InputFunctions.Utility_DisplayArrayInTable(Fertiliser_SourceData.Fertiliser_ChemicalCompoundElements_Data(),Table_Fertiliser_ChemicalCompounds[[#Headers],[Fertiliser type f]], 0)</f>
        <v>Sulphate of ammonia (SOA)</v>
      </c>
      <c r="I23" s="170" t="str" cm="1">
        <f t="array" ref="I23">Common_InputFunctions.Utility_DisplayArrayInTable(Fertiliser_SourceData.Fertiliser_ChemicalCompoundElements_Data(),Table_Fertiliser_ChemicalCompounds[[#Headers],[Fertiliser type f]], 0)</f>
        <v>VEERG</v>
      </c>
      <c r="K23" s="20" t="str" cm="1">
        <f t="array" ref="K23">Common_InputFunctions.Utility_DisplayArrayInTable(Fertiliser_SourceData.Fertiliser_FractionNCommonFertilisers_Data(), Table2[[#Headers],[Fertiliser type f]], 0)</f>
        <v>Sulphate of ammonia (SOA)</v>
      </c>
      <c r="L23" s="20" cm="1">
        <f t="array" ref="L23">Common_InputFunctions.Utility_DisplayArrayInTable(Fertiliser_SourceData.Fertiliser_FractionNCommonFertilisers_Data(), Table2[[#Headers],[Fertiliser type f]], 0)</f>
        <v>0.21</v>
      </c>
      <c r="Q23" s="20" t="str" cm="1">
        <f t="array" ref="Q23">Common_InputFunctions.Utility_DisplayArrayInTable(Fertiliser_SourceData.Fertiliser_FractionUreaCommonFertilisers_Data(), Table28[[#Headers],[Fertiliser type f]], 0)</f>
        <v>Sulphate of ammonia (SOA)</v>
      </c>
      <c r="R23" s="20" cm="1">
        <f t="array" ref="R23">Common_InputFunctions.Utility_DisplayArrayInTable(Fertiliser_SourceData.Fertiliser_FractionUreaCommonFertilisers_Data(), Table28[[#Headers],[Fertiliser type f]], 0)</f>
        <v>0</v>
      </c>
      <c r="V23" s="20" t="str" cm="1">
        <f t="array" ref="V23">Common_InputFunctions.Utility_DisplayArrayInTable(Fertiliser_SourceData.Fertiliser_UreaAmmoniaSourceRegions_Data(),Table_SourceData_Fertiliser_UreaAmmoniaSources[[#Headers],[Source]],0)</f>
        <v>Yemen</v>
      </c>
    </row>
    <row r="24" spans="1:22" ht="20.100000000000001" customHeight="1" x14ac:dyDescent="0.2">
      <c r="A24" s="5" t="str">
        <f>HYPERLINK("#'5.1.1.1-2 Inorganic fert N2O'!A1", "5.1.1.1-2 Inorganic fert N2O")</f>
        <v>5.1.1.1-2 Inorganic fert N2O</v>
      </c>
      <c r="D24" s="170" t="str" cm="1">
        <f t="array" ref="D24">Common_InputFunctions.Utility_DisplayArrayInTable(Fertiliser_SourceData.Fertiliser_ChemicalCompoundElements_Data(),Table_Fertiliser_ChemicalCompounds[[#Headers],[Fertiliser type f]], 0)</f>
        <v>Urea-ammonium nitrate (UAN)</v>
      </c>
      <c r="E24" s="170" cm="1">
        <f t="array" ref="E24">Common_InputFunctions.Utility_DisplayArrayInTable(Fertiliser_SourceData.Fertiliser_ChemicalCompoundElements_Data(),Table_Fertiliser_ChemicalCompounds[[#Headers],[Fertiliser type f]], 0)</f>
        <v>0.32</v>
      </c>
      <c r="F24" s="170" cm="1">
        <f t="array" ref="F24">Common_InputFunctions.Utility_DisplayArrayInTable(Fertiliser_SourceData.Fertiliser_ChemicalCompoundElements_Data(),Table_Fertiliser_ChemicalCompounds[[#Headers],[Fertiliser type f]], 0)</f>
        <v>0.35</v>
      </c>
      <c r="G24" s="170" t="str" cm="1">
        <f t="array" ref="G24">Common_InputFunctions.Utility_DisplayArrayInTable(Fertiliser_SourceData.Fertiliser_ChemicalCompoundElements_Data(),Table_Fertiliser_ChemicalCompounds[[#Headers],[Fertiliser type f]], 0)</f>
        <v>Urea-based fertilisers</v>
      </c>
      <c r="H24" s="170" t="str" cm="1">
        <f t="array" ref="H24">Common_InputFunctions.Utility_DisplayArrayInTable(Fertiliser_SourceData.Fertiliser_ChemicalCompoundElements_Data(),Table_Fertiliser_ChemicalCompounds[[#Headers],[Fertiliser type f]], 0)</f>
        <v>Urea-ammonium nitrate (UAN)</v>
      </c>
      <c r="I24" s="170" t="str" cm="1">
        <f t="array" ref="I24">Common_InputFunctions.Utility_DisplayArrayInTable(Fertiliser_SourceData.Fertiliser_ChemicalCompoundElements_Data(),Table_Fertiliser_ChemicalCompounds[[#Headers],[Fertiliser type f]], 0)</f>
        <v>VEERG</v>
      </c>
      <c r="K24" s="20" t="str" cm="1">
        <f t="array" ref="K24">Common_InputFunctions.Utility_DisplayArrayInTable(Fertiliser_SourceData.Fertiliser_FractionNCommonFertilisers_Data(), Table2[[#Headers],[Fertiliser type f]], 0)</f>
        <v>Urea-ammonium nitrate (UAN)</v>
      </c>
      <c r="L24" s="20" cm="1">
        <f t="array" ref="L24">Common_InputFunctions.Utility_DisplayArrayInTable(Fertiliser_SourceData.Fertiliser_FractionNCommonFertilisers_Data(), Table2[[#Headers],[Fertiliser type f]], 0)</f>
        <v>0.32</v>
      </c>
      <c r="Q24" s="20" t="str" cm="1">
        <f t="array" ref="Q24">Common_InputFunctions.Utility_DisplayArrayInTable(Fertiliser_SourceData.Fertiliser_FractionUreaCommonFertilisers_Data(), Table28[[#Headers],[Fertiliser type f]], 0)</f>
        <v>Urea-ammonium nitrate (UAN)</v>
      </c>
      <c r="R24" s="20" cm="1">
        <f t="array" ref="R24">Common_InputFunctions.Utility_DisplayArrayInTable(Fertiliser_SourceData.Fertiliser_FractionUreaCommonFertilisers_Data(), Table28[[#Headers],[Fertiliser type f]], 0)</f>
        <v>0.35</v>
      </c>
    </row>
    <row r="25" spans="1:22" ht="20.100000000000001" customHeight="1" x14ac:dyDescent="0.2">
      <c r="A25" s="5" t="str">
        <f>HYPERLINK("#'5.1.1.3-4 Inorganic fert CO2'!A1", "5.1.1.3-4 Inorganic fert CO2")</f>
        <v>5.1.1.3-4 Inorganic fert CO2</v>
      </c>
      <c r="D25" s="170" t="str" cm="1">
        <f t="array" ref="D25">Common_InputFunctions.Utility_DisplayArrayInTable(Fertiliser_SourceData.Fertiliser_ChemicalCompoundElements_Data(),Table_Fertiliser_ChemicalCompounds[[#Headers],[Fertiliser type f]], 0)</f>
        <v>Ammonium nitrate (AN)</v>
      </c>
      <c r="E25" s="170" cm="1">
        <f t="array" ref="E25">Common_InputFunctions.Utility_DisplayArrayInTable(Fertiliser_SourceData.Fertiliser_ChemicalCompoundElements_Data(),Table_Fertiliser_ChemicalCompounds[[#Headers],[Fertiliser type f]], 0)</f>
        <v>0.33700000000000002</v>
      </c>
      <c r="F25" s="170" cm="1">
        <f t="array" ref="F25">Common_InputFunctions.Utility_DisplayArrayInTable(Fertiliser_SourceData.Fertiliser_ChemicalCompoundElements_Data(),Table_Fertiliser_ChemicalCompounds[[#Headers],[Fertiliser type f]], 0)</f>
        <v>0</v>
      </c>
      <c r="G25" s="170" t="str" cm="1">
        <f t="array" ref="G25">Common_InputFunctions.Utility_DisplayArrayInTable(Fertiliser_SourceData.Fertiliser_ChemicalCompoundElements_Data(),Table_Fertiliser_ChemicalCompounds[[#Headers],[Fertiliser type f]], 0)</f>
        <v>Ammonium-nitrate based fertilisers</v>
      </c>
      <c r="H25" s="170" t="str" cm="1">
        <f t="array" ref="H25">Common_InputFunctions.Utility_DisplayArrayInTable(Fertiliser_SourceData.Fertiliser_ChemicalCompoundElements_Data(),Table_Fertiliser_ChemicalCompounds[[#Headers],[Fertiliser type f]], 0)</f>
        <v>Ammonium nitrate (AN)</v>
      </c>
      <c r="I25" s="170" t="str" cm="1">
        <f t="array" ref="I25">Common_InputFunctions.Utility_DisplayArrayInTable(Fertiliser_SourceData.Fertiliser_ChemicalCompoundElements_Data(),Table_Fertiliser_ChemicalCompounds[[#Headers],[Fertiliser type f]], 0)</f>
        <v>VEERG</v>
      </c>
      <c r="K25" s="20" t="str" cm="1">
        <f t="array" ref="K25">Common_InputFunctions.Utility_DisplayArrayInTable(Fertiliser_SourceData.Fertiliser_FractionNCommonFertilisers_Data(), Table2[[#Headers],[Fertiliser type f]], 0)</f>
        <v>Ammonium nitrate (AN)</v>
      </c>
      <c r="L25" s="20" cm="1">
        <f t="array" ref="L25">Common_InputFunctions.Utility_DisplayArrayInTable(Fertiliser_SourceData.Fertiliser_FractionNCommonFertilisers_Data(), Table2[[#Headers],[Fertiliser type f]], 0)</f>
        <v>0.33700000000000002</v>
      </c>
      <c r="Q25" s="20" t="str" cm="1">
        <f t="array" ref="Q25">Common_InputFunctions.Utility_DisplayArrayInTable(Fertiliser_SourceData.Fertiliser_FractionUreaCommonFertilisers_Data(), Table28[[#Headers],[Fertiliser type f]], 0)</f>
        <v>Ammonium nitrate (AN)</v>
      </c>
      <c r="R25" s="20" cm="1">
        <f t="array" ref="R25">Common_InputFunctions.Utility_DisplayArrayInTable(Fertiliser_SourceData.Fertiliser_FractionUreaCommonFertilisers_Data(), Table28[[#Headers],[Fertiliser type f]], 0)</f>
        <v>0</v>
      </c>
    </row>
    <row r="26" spans="1:22" ht="20.100000000000001" customHeight="1" x14ac:dyDescent="0.2">
      <c r="A26" s="5" t="str">
        <f>HYPERLINK("#'5.2.1.1-2 Organic Fert N2O'!A1", "5.2.1.1-2 Organic fert N2O")</f>
        <v>5.2.1.1-2 Organic fert N2O</v>
      </c>
      <c r="D26" s="170" t="str" cm="1">
        <f t="array" ref="D26">Common_InputFunctions.Utility_DisplayArrayInTable(Fertiliser_SourceData.Fertiliser_ChemicalCompoundElements_Data(),Table_Fertiliser_ChemicalCompounds[[#Headers],[Fertiliser type f]], 0)</f>
        <v>Calcium ammonium nitrate (CAN)</v>
      </c>
      <c r="E26" s="170" cm="1">
        <f t="array" ref="E26">Common_InputFunctions.Utility_DisplayArrayInTable(Fertiliser_SourceData.Fertiliser_ChemicalCompoundElements_Data(),Table_Fertiliser_ChemicalCompounds[[#Headers],[Fertiliser type f]], 0)</f>
        <v>0.27</v>
      </c>
      <c r="F26" s="170" cm="1">
        <f t="array" ref="F26">Common_InputFunctions.Utility_DisplayArrayInTable(Fertiliser_SourceData.Fertiliser_ChemicalCompoundElements_Data(),Table_Fertiliser_ChemicalCompounds[[#Headers],[Fertiliser type f]], 0)</f>
        <v>0</v>
      </c>
      <c r="G26" s="170" t="str" cm="1">
        <f t="array" ref="G26">Common_InputFunctions.Utility_DisplayArrayInTable(Fertiliser_SourceData.Fertiliser_ChemicalCompoundElements_Data(),Table_Fertiliser_ChemicalCompounds[[#Headers],[Fertiliser type f]], 0)</f>
        <v>Ammonium-nitrate based fertilisers</v>
      </c>
      <c r="H26" s="170" t="str" cm="1">
        <f t="array" ref="H26">Common_InputFunctions.Utility_DisplayArrayInTable(Fertiliser_SourceData.Fertiliser_ChemicalCompoundElements_Data(),Table_Fertiliser_ChemicalCompounds[[#Headers],[Fertiliser type f]], 0)</f>
        <v>Calcium ammonium nitrate (CAN)</v>
      </c>
      <c r="I26" s="170" t="str" cm="1">
        <f t="array" ref="I26">Common_InputFunctions.Utility_DisplayArrayInTable(Fertiliser_SourceData.Fertiliser_ChemicalCompoundElements_Data(),Table_Fertiliser_ChemicalCompounds[[#Headers],[Fertiliser type f]], 0)</f>
        <v>VEERG</v>
      </c>
      <c r="K26" s="20" t="str" cm="1">
        <f t="array" ref="K26">Common_InputFunctions.Utility_DisplayArrayInTable(Fertiliser_SourceData.Fertiliser_FractionNCommonFertilisers_Data(), Table2[[#Headers],[Fertiliser type f]], 0)</f>
        <v>Calcium ammonium nitrate (CAN)</v>
      </c>
      <c r="L26" s="20" cm="1">
        <f t="array" ref="L26">Common_InputFunctions.Utility_DisplayArrayInTable(Fertiliser_SourceData.Fertiliser_FractionNCommonFertilisers_Data(), Table2[[#Headers],[Fertiliser type f]], 0)</f>
        <v>0.27</v>
      </c>
      <c r="Q26" s="20" t="str" cm="1">
        <f t="array" ref="Q26">Common_InputFunctions.Utility_DisplayArrayInTable(Fertiliser_SourceData.Fertiliser_FractionUreaCommonFertilisers_Data(), Table28[[#Headers],[Fertiliser type f]], 0)</f>
        <v>Calcium ammonium nitrate (CAN)</v>
      </c>
      <c r="R26" s="20" cm="1">
        <f t="array" ref="R26">Common_InputFunctions.Utility_DisplayArrayInTable(Fertiliser_SourceData.Fertiliser_FractionUreaCommonFertilisers_Data(), Table28[[#Headers],[Fertiliser type f]], 0)</f>
        <v>0</v>
      </c>
    </row>
    <row r="27" spans="1:22" ht="20.100000000000001" customHeight="1" x14ac:dyDescent="0.2">
      <c r="A27" s="5" t="str">
        <f>HYPERLINK("#'5.3.1.1-2 Lime CO2'!A1", "5.3.1.1-2 Lime CO2")</f>
        <v>5.3.1.1-2 Lime CO2</v>
      </c>
      <c r="D27" s="170" t="str" cm="1">
        <f t="array" ref="D27">Common_InputFunctions.Utility_DisplayArrayInTable(Fertiliser_SourceData.Fertiliser_ChemicalCompoundElements_Data(),Table_Fertiliser_ChemicalCompounds[[#Headers],[Fertiliser type f]], 0)</f>
        <v>Nitrogen - Ammoniacal</v>
      </c>
      <c r="E27" s="170" cm="1">
        <f t="array" ref="E27">Common_InputFunctions.Utility_DisplayArrayInTable(Fertiliser_SourceData.Fertiliser_ChemicalCompoundElements_Data(),Table_Fertiliser_ChemicalCompounds[[#Headers],[Fertiliser type f]], 0)</f>
        <v>1</v>
      </c>
      <c r="F27" s="170" cm="1">
        <f t="array" ref="F27">Common_InputFunctions.Utility_DisplayArrayInTable(Fertiliser_SourceData.Fertiliser_ChemicalCompoundElements_Data(),Table_Fertiliser_ChemicalCompounds[[#Headers],[Fertiliser type f]], 0)</f>
        <v>0</v>
      </c>
      <c r="G27" s="170" t="str" cm="1">
        <f t="array" ref="G27">Common_InputFunctions.Utility_DisplayArrayInTable(Fertiliser_SourceData.Fertiliser_ChemicalCompoundElements_Data(),Table_Fertiliser_ChemicalCompounds[[#Headers],[Fertiliser type f]], 0)</f>
        <v>Ammonium-based fertilisers</v>
      </c>
      <c r="H27" s="170" t="str" cm="1">
        <f t="array" ref="H27">Common_InputFunctions.Utility_DisplayArrayInTable(Fertiliser_SourceData.Fertiliser_ChemicalCompoundElements_Data(),Table_Fertiliser_ChemicalCompounds[[#Headers],[Fertiliser type f]], 0)</f>
        <v>Nitrogen - Ammoniacal</v>
      </c>
      <c r="I27" s="170" t="str" cm="1">
        <f t="array" ref="I27">Common_InputFunctions.Utility_DisplayArrayInTable(Fertiliser_SourceData.Fertiliser_ChemicalCompoundElements_Data(),Table_Fertiliser_ChemicalCompounds[[#Headers],[Fertiliser type f]], 0)</f>
        <v>LifeCycles</v>
      </c>
      <c r="K27" s="20" t="str" cm="1">
        <f t="array" ref="K27">Common_InputFunctions.Utility_DisplayArrayInTable(Fertiliser_SourceData.Fertiliser_FractionNCommonFertilisers_Data(), Table2[[#Headers],[Fertiliser type f]], 0)</f>
        <v>Ammonium Sulfate</v>
      </c>
      <c r="L27" s="20" cm="1">
        <f t="array" ref="L27">Common_InputFunctions.Utility_DisplayArrayInTable(Fertiliser_SourceData.Fertiliser_FractionNCommonFertilisers_Data(), Table2[[#Headers],[Fertiliser type f]], 0)</f>
        <v>0.21</v>
      </c>
      <c r="Q27" s="20" t="str" cm="1">
        <f t="array" ref="Q27">Common_InputFunctions.Utility_DisplayArrayInTable(Fertiliser_SourceData.Fertiliser_FractionUreaCommonFertilisers_Data(), Table28[[#Headers],[Fertiliser type f]], 0)</f>
        <v>Ammonium Sulfate</v>
      </c>
      <c r="R27" s="20" cm="1">
        <f t="array" ref="R27">Common_InputFunctions.Utility_DisplayArrayInTable(Fertiliser_SourceData.Fertiliser_FractionUreaCommonFertilisers_Data(), Table28[[#Headers],[Fertiliser type f]], 0)</f>
        <v>0</v>
      </c>
    </row>
    <row r="28" spans="1:22" ht="20.100000000000001" customHeight="1" x14ac:dyDescent="0.2">
      <c r="A28" s="5" t="str">
        <f>HYPERLINK("#'5.4.1.1-4 Atmos deposition'!A1", "5.4.1.1-4 Atmos. deposition")</f>
        <v>5.4.1.1-4 Atmos. deposition</v>
      </c>
      <c r="D28" s="170" t="str" cm="1">
        <f t="array" ref="D28">Common_InputFunctions.Utility_DisplayArrayInTable(Fertiliser_SourceData.Fertiliser_ChemicalCompoundElements_Data(),Table_Fertiliser_ChemicalCompounds[[#Headers],[Fertiliser type f]], 0)</f>
        <v>Nitrogen - Nitrate</v>
      </c>
      <c r="E28" s="170" cm="1">
        <f t="array" ref="E28">Common_InputFunctions.Utility_DisplayArrayInTable(Fertiliser_SourceData.Fertiliser_ChemicalCompoundElements_Data(),Table_Fertiliser_ChemicalCompounds[[#Headers],[Fertiliser type f]], 0)</f>
        <v>1</v>
      </c>
      <c r="F28" s="170" cm="1">
        <f t="array" ref="F28">Common_InputFunctions.Utility_DisplayArrayInTable(Fertiliser_SourceData.Fertiliser_ChemicalCompoundElements_Data(),Table_Fertiliser_ChemicalCompounds[[#Headers],[Fertiliser type f]], 0)</f>
        <v>0</v>
      </c>
      <c r="G28" s="170" t="str" cm="1">
        <f t="array" ref="G28">Common_InputFunctions.Utility_DisplayArrayInTable(Fertiliser_SourceData.Fertiliser_ChemicalCompoundElements_Data(),Table_Fertiliser_ChemicalCompounds[[#Headers],[Fertiliser type f]], 0)</f>
        <v>Nitrate-based fertilisers</v>
      </c>
      <c r="H28" s="170" t="str" cm="1">
        <f t="array" ref="H28">Common_InputFunctions.Utility_DisplayArrayInTable(Fertiliser_SourceData.Fertiliser_ChemicalCompoundElements_Data(),Table_Fertiliser_ChemicalCompounds[[#Headers],[Fertiliser type f]], 0)</f>
        <v>Nitrogen from Nitrate</v>
      </c>
      <c r="I28" s="170" t="str" cm="1">
        <f t="array" ref="I28">Common_InputFunctions.Utility_DisplayArrayInTable(Fertiliser_SourceData.Fertiliser_ChemicalCompoundElements_Data(),Table_Fertiliser_ChemicalCompounds[[#Headers],[Fertiliser type f]], 0)</f>
        <v>LifeCycles</v>
      </c>
      <c r="K28" s="20" t="str" cm="1">
        <f t="array" ref="K28">Common_InputFunctions.Utility_DisplayArrayInTable(Fertiliser_SourceData.Fertiliser_FractionNCommonFertilisers_Data(), Table2[[#Headers],[Fertiliser type f]], 0)</f>
        <v>Calcium Nitrate</v>
      </c>
      <c r="L28" s="20" cm="1">
        <f t="array" ref="L28">Common_InputFunctions.Utility_DisplayArrayInTable(Fertiliser_SourceData.Fertiliser_FractionNCommonFertilisers_Data(), Table2[[#Headers],[Fertiliser type f]], 0)</f>
        <v>0.155</v>
      </c>
      <c r="Q28" s="20" t="str" cm="1">
        <f t="array" ref="Q28">Common_InputFunctions.Utility_DisplayArrayInTable(Fertiliser_SourceData.Fertiliser_FractionUreaCommonFertilisers_Data(), Table28[[#Headers],[Fertiliser type f]], 0)</f>
        <v>Calcium Nitrate</v>
      </c>
      <c r="R28" s="20" cm="1">
        <f t="array" ref="R28">Common_InputFunctions.Utility_DisplayArrayInTable(Fertiliser_SourceData.Fertiliser_FractionUreaCommonFertilisers_Data(), Table28[[#Headers],[Fertiliser type f]], 0)</f>
        <v>0</v>
      </c>
    </row>
    <row r="29" spans="1:22" ht="20.100000000000001" customHeight="1" x14ac:dyDescent="0.2">
      <c r="A29" s="5" t="str">
        <f>HYPERLINK("#'5.5.1.1-2 Leaching and runoff'!A1", "5.5.1.1-2 Leaching &amp; runoff")</f>
        <v>5.5.1.1-2 Leaching &amp; runoff</v>
      </c>
      <c r="D29" s="170" t="str" cm="1">
        <f t="array" ref="D29">Common_InputFunctions.Utility_DisplayArrayInTable(Fertiliser_SourceData.Fertiliser_ChemicalCompoundElements_Data(),Table_Fertiliser_ChemicalCompounds[[#Headers],[Fertiliser type f]], 0)</f>
        <v>Nitrogen - Generic</v>
      </c>
      <c r="E29" s="170" cm="1">
        <f t="array" ref="E29">Common_InputFunctions.Utility_DisplayArrayInTable(Fertiliser_SourceData.Fertiliser_ChemicalCompoundElements_Data(),Table_Fertiliser_ChemicalCompounds[[#Headers],[Fertiliser type f]], 0)</f>
        <v>1</v>
      </c>
      <c r="F29" s="170" cm="1">
        <f t="array" ref="F29">Common_InputFunctions.Utility_DisplayArrayInTable(Fertiliser_SourceData.Fertiliser_ChemicalCompoundElements_Data(),Table_Fertiliser_ChemicalCompounds[[#Headers],[Fertiliser type f]], 0)</f>
        <v>0</v>
      </c>
      <c r="G29" s="170" t="str" cm="1">
        <f t="array" ref="G29">Common_InputFunctions.Utility_DisplayArrayInTable(Fertiliser_SourceData.Fertiliser_ChemicalCompoundElements_Data(),Table_Fertiliser_ChemicalCompounds[[#Headers],[Fertiliser type f]], 0)</f>
        <v>Urea-based fertilisers</v>
      </c>
      <c r="H29" s="170" t="str" cm="1">
        <f t="array" ref="H29">Common_InputFunctions.Utility_DisplayArrayInTable(Fertiliser_SourceData.Fertiliser_ChemicalCompoundElements_Data(),Table_Fertiliser_ChemicalCompounds[[#Headers],[Fertiliser type f]], 0)</f>
        <v>Nitrogen from fertiliser</v>
      </c>
      <c r="I29" s="170"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
      <c r="A30" s="5" t="str">
        <f>HYPERLINK("#'6.1.1.1-2 Crop residue N2O'!A1", "6.1.1.1-2 Crop residue N2O")</f>
        <v>6.1.1.1-2 Crop residue N2O</v>
      </c>
      <c r="D30" s="170" t="str" cm="1">
        <f t="array" ref="D30">Common_InputFunctions.Utility_DisplayArrayInTable(Fertiliser_SourceData.Fertiliser_ChemicalCompoundElements_Data(),Table_Fertiliser_ChemicalCompounds[[#Headers],[Fertiliser type f]], 0)</f>
        <v>Phosphorus - Generic</v>
      </c>
      <c r="E30" s="170" cm="1">
        <f t="array" ref="E30">Common_InputFunctions.Utility_DisplayArrayInTable(Fertiliser_SourceData.Fertiliser_ChemicalCompoundElements_Data(),Table_Fertiliser_ChemicalCompounds[[#Headers],[Fertiliser type f]], 0)</f>
        <v>0</v>
      </c>
      <c r="F30" s="170" cm="1">
        <f t="array" ref="F30">Common_InputFunctions.Utility_DisplayArrayInTable(Fertiliser_SourceData.Fertiliser_ChemicalCompoundElements_Data(),Table_Fertiliser_ChemicalCompounds[[#Headers],[Fertiliser type f]], 0)</f>
        <v>0</v>
      </c>
      <c r="G30" s="170" t="str" cm="1">
        <f t="array" ref="G30">Common_InputFunctions.Utility_DisplayArrayInTable(Fertiliser_SourceData.Fertiliser_ChemicalCompoundElements_Data(),Table_Fertiliser_ChemicalCompounds[[#Headers],[Fertiliser type f]], 0)</f>
        <v>Other fertilisers</v>
      </c>
      <c r="H30" s="170" t="str" cm="1">
        <f t="array" ref="H30">Common_InputFunctions.Utility_DisplayArrayInTable(Fertiliser_SourceData.Fertiliser_ChemicalCompoundElements_Data(),Table_Fertiliser_ChemicalCompounds[[#Headers],[Fertiliser type f]], 0)</f>
        <v>Phosphorus from fertiliser</v>
      </c>
      <c r="I30" s="170"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
      <c r="A31" s="5" t="str">
        <f>HYPERLINK("#'6.3.1.1-2 Leach runoff crop'!A1", "6.3.1.1-2 Leach &amp; runoff (crop)")</f>
        <v>6.3.1.1-2 Leach &amp; runoff (crop)</v>
      </c>
      <c r="D31" s="170" t="str" cm="1">
        <f t="array" ref="D31">Common_InputFunctions.Utility_DisplayArrayInTable(Fertiliser_SourceData.Fertiliser_ChemicalCompoundElements_Data(),Table_Fertiliser_ChemicalCompounds[[#Headers],[Fertiliser type f]], 0)</f>
        <v>Potassium - Generic</v>
      </c>
      <c r="E31" s="170" cm="1">
        <f t="array" ref="E31">Common_InputFunctions.Utility_DisplayArrayInTable(Fertiliser_SourceData.Fertiliser_ChemicalCompoundElements_Data(),Table_Fertiliser_ChemicalCompounds[[#Headers],[Fertiliser type f]], 0)</f>
        <v>0</v>
      </c>
      <c r="F31" s="170" cm="1">
        <f t="array" ref="F31">Common_InputFunctions.Utility_DisplayArrayInTable(Fertiliser_SourceData.Fertiliser_ChemicalCompoundElements_Data(),Table_Fertiliser_ChemicalCompounds[[#Headers],[Fertiliser type f]], 0)</f>
        <v>0</v>
      </c>
      <c r="G31" s="170" t="str" cm="1">
        <f t="array" ref="G31">Common_InputFunctions.Utility_DisplayArrayInTable(Fertiliser_SourceData.Fertiliser_ChemicalCompoundElements_Data(),Table_Fertiliser_ChemicalCompounds[[#Headers],[Fertiliser type f]], 0)</f>
        <v>Other fertilisers</v>
      </c>
      <c r="H31" s="170" t="str" cm="1">
        <f t="array" ref="H31">Common_InputFunctions.Utility_DisplayArrayInTable(Fertiliser_SourceData.Fertiliser_ChemicalCompoundElements_Data(),Table_Fertiliser_ChemicalCompounds[[#Headers],[Fertiliser type f]], 0)</f>
        <v>Potassium from fertiliser</v>
      </c>
      <c r="I31" s="170"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
      <c r="A32" s="5" t="str">
        <f>HYPERLINK("#'8.1.1.1-2 Transport fuel'!A1", "8.1.1.1-2 Transport fuel")</f>
        <v>8.1.1.1-2 Transport fuel</v>
      </c>
      <c r="D32" s="170" t="str" cm="1">
        <f t="array" ref="D32">Common_InputFunctions.Utility_DisplayArrayInTable(Fertiliser_SourceData.Fertiliser_ChemicalCompoundElements_Data(),Table_Fertiliser_ChemicalCompounds[[#Headers],[Fertiliser type f]], 0)</f>
        <v>Sulfur - Generic</v>
      </c>
      <c r="E32" s="170" cm="1">
        <f t="array" ref="E32">Common_InputFunctions.Utility_DisplayArrayInTable(Fertiliser_SourceData.Fertiliser_ChemicalCompoundElements_Data(),Table_Fertiliser_ChemicalCompounds[[#Headers],[Fertiliser type f]], 0)</f>
        <v>0</v>
      </c>
      <c r="F32" s="170" cm="1">
        <f t="array" ref="F32">Common_InputFunctions.Utility_DisplayArrayInTable(Fertiliser_SourceData.Fertiliser_ChemicalCompoundElements_Data(),Table_Fertiliser_ChemicalCompounds[[#Headers],[Fertiliser type f]], 0)</f>
        <v>0</v>
      </c>
      <c r="G32" s="170" t="str" cm="1">
        <f t="array" ref="G32">Common_InputFunctions.Utility_DisplayArrayInTable(Fertiliser_SourceData.Fertiliser_ChemicalCompoundElements_Data(),Table_Fertiliser_ChemicalCompounds[[#Headers],[Fertiliser type f]], 0)</f>
        <v>Other fertilisers</v>
      </c>
      <c r="H32" s="170" t="str" cm="1">
        <f t="array" ref="H32">Common_InputFunctions.Utility_DisplayArrayInTable(Fertiliser_SourceData.Fertiliser_ChemicalCompoundElements_Data(),Table_Fertiliser_ChemicalCompounds[[#Headers],[Fertiliser type f]], 0)</f>
        <v>Sulfur from fertiliser</v>
      </c>
      <c r="I32" s="170"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
      <c r="A33" s="5" t="str">
        <f>HYPERLINK("#'8.2.1.1-2 Stationary fuel'!A1", "8.2.1.1-2 Stationary fuel")</f>
        <v>8.2.1.1-2 Stationary fuel</v>
      </c>
      <c r="D33" s="170" t="str" cm="1">
        <f t="array" ref="D33">Common_InputFunctions.Utility_DisplayArrayInTable(Fertiliser_SourceData.Fertiliser_ChemicalCompoundElements_Data(),Table_Fertiliser_ChemicalCompounds[[#Headers],[Fertiliser type f]], 0)</f>
        <v>Zinc - Generic</v>
      </c>
      <c r="E33" s="170" cm="1">
        <f t="array" ref="E33">Common_InputFunctions.Utility_DisplayArrayInTable(Fertiliser_SourceData.Fertiliser_ChemicalCompoundElements_Data(),Table_Fertiliser_ChemicalCompounds[[#Headers],[Fertiliser type f]], 0)</f>
        <v>0</v>
      </c>
      <c r="F33" s="170" cm="1">
        <f t="array" ref="F33">Common_InputFunctions.Utility_DisplayArrayInTable(Fertiliser_SourceData.Fertiliser_ChemicalCompoundElements_Data(),Table_Fertiliser_ChemicalCompounds[[#Headers],[Fertiliser type f]], 0)</f>
        <v>0</v>
      </c>
      <c r="G33" s="170" t="str" cm="1">
        <f t="array" ref="G33">Common_InputFunctions.Utility_DisplayArrayInTable(Fertiliser_SourceData.Fertiliser_ChemicalCompoundElements_Data(),Table_Fertiliser_ChemicalCompounds[[#Headers],[Fertiliser type f]], 0)</f>
        <v>Other fertilisers</v>
      </c>
      <c r="H33" s="170" t="str" cm="1">
        <f t="array" ref="H33">Common_InputFunctions.Utility_DisplayArrayInTable(Fertiliser_SourceData.Fertiliser_ChemicalCompoundElements_Data(),Table_Fertiliser_ChemicalCompounds[[#Headers],[Fertiliser type f]], 0)</f>
        <v>Zinc from fertiliser</v>
      </c>
      <c r="I33" s="170"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
      <c r="A34" s="5" t="str">
        <f>HYPERLINK("#'10.1.1-2 Solid waste treatment'!A1", "10.1.1.1-2 Solid waste")</f>
        <v>10.1.1.1-2 Solid waste</v>
      </c>
      <c r="D34" s="170" t="str" cm="1">
        <f t="array" ref="D34">Common_InputFunctions.Utility_DisplayArrayInTable(Fertiliser_SourceData.Fertiliser_ChemicalCompoundElements_Data(),Table_Fertiliser_ChemicalCompounds[[#Headers],[Fertiliser type f]], 0)</f>
        <v>Muriate of potash (MOP)</v>
      </c>
      <c r="E34" s="170" cm="1">
        <f t="array" ref="E34">Common_InputFunctions.Utility_DisplayArrayInTable(Fertiliser_SourceData.Fertiliser_ChemicalCompoundElements_Data(),Table_Fertiliser_ChemicalCompounds[[#Headers],[Fertiliser type f]], 0)</f>
        <v>0</v>
      </c>
      <c r="F34" s="170" cm="1">
        <f t="array" ref="F34">Common_InputFunctions.Utility_DisplayArrayInTable(Fertiliser_SourceData.Fertiliser_ChemicalCompoundElements_Data(),Table_Fertiliser_ChemicalCompounds[[#Headers],[Fertiliser type f]], 0)</f>
        <v>0</v>
      </c>
      <c r="G34" s="170" t="str" cm="1">
        <f t="array" ref="G34">Common_InputFunctions.Utility_DisplayArrayInTable(Fertiliser_SourceData.Fertiliser_ChemicalCompoundElements_Data(),Table_Fertiliser_ChemicalCompounds[[#Headers],[Fertiliser type f]], 0)</f>
        <v>Other fertilisers</v>
      </c>
      <c r="H34" s="170" t="str" cm="1">
        <f t="array" ref="H34">Common_InputFunctions.Utility_DisplayArrayInTable(Fertiliser_SourceData.Fertiliser_ChemicalCompoundElements_Data(),Table_Fertiliser_ChemicalCompounds[[#Headers],[Fertiliser type f]], 0)</f>
        <v>Muriate of potash (MOP)</v>
      </c>
      <c r="I34" s="170"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
      <c r="A35" s="5" t="str">
        <f>HYPERLINK("#'14.1.1-2 Purchased electricity'!A1", "14.1.1-2 Purchased electricity")</f>
        <v>14.1.1-2 Purchased electricity</v>
      </c>
      <c r="D35" s="170" t="str" cm="1">
        <f t="array" ref="D35">Common_InputFunctions.Utility_DisplayArrayInTable(Fertiliser_SourceData.Fertiliser_ChemicalCompoundElements_Data(),Table_Fertiliser_ChemicalCompounds[[#Headers],[Fertiliser type f]], 0)</f>
        <v>Double superphosphate</v>
      </c>
      <c r="E35" s="170" cm="1">
        <f t="array" ref="E35">Common_InputFunctions.Utility_DisplayArrayInTable(Fertiliser_SourceData.Fertiliser_ChemicalCompoundElements_Data(),Table_Fertiliser_ChemicalCompounds[[#Headers],[Fertiliser type f]], 0)</f>
        <v>0</v>
      </c>
      <c r="F35" s="170" cm="1">
        <f t="array" ref="F35">Common_InputFunctions.Utility_DisplayArrayInTable(Fertiliser_SourceData.Fertiliser_ChemicalCompoundElements_Data(),Table_Fertiliser_ChemicalCompounds[[#Headers],[Fertiliser type f]], 0)</f>
        <v>0</v>
      </c>
      <c r="G35" s="170" t="str" cm="1">
        <f t="array" ref="G35">Common_InputFunctions.Utility_DisplayArrayInTable(Fertiliser_SourceData.Fertiliser_ChemicalCompoundElements_Data(),Table_Fertiliser_ChemicalCompounds[[#Headers],[Fertiliser type f]], 0)</f>
        <v>Other fertilisers</v>
      </c>
      <c r="H35" s="170" t="str" cm="1">
        <f t="array" ref="H35">Common_InputFunctions.Utility_DisplayArrayInTable(Fertiliser_SourceData.Fertiliser_ChemicalCompoundElements_Data(),Table_Fertiliser_ChemicalCompounds[[#Headers],[Fertiliser type f]], 0)</f>
        <v>Double superphosphate</v>
      </c>
      <c r="I35" s="170"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
      <c r="A36" s="5" t="str">
        <f>HYPERLINK("#'15 Scope 3'!A1", "15 Scope 3")</f>
        <v>15 Scope 3</v>
      </c>
      <c r="D36" s="170" t="str" cm="1">
        <f t="array" ref="D36">Common_InputFunctions.Utility_DisplayArrayInTable(Fertiliser_SourceData.Fertiliser_ChemicalCompoundElements_Data(),Table_Fertiliser_ChemicalCompounds[[#Headers],[Fertiliser type f]], 0)</f>
        <v>Single superphosphate (SSP)</v>
      </c>
      <c r="E36" s="170" cm="1">
        <f t="array" ref="E36">Common_InputFunctions.Utility_DisplayArrayInTable(Fertiliser_SourceData.Fertiliser_ChemicalCompoundElements_Data(),Table_Fertiliser_ChemicalCompounds[[#Headers],[Fertiliser type f]], 0)</f>
        <v>0</v>
      </c>
      <c r="F36" s="170" cm="1">
        <f t="array" ref="F36">Common_InputFunctions.Utility_DisplayArrayInTable(Fertiliser_SourceData.Fertiliser_ChemicalCompoundElements_Data(),Table_Fertiliser_ChemicalCompounds[[#Headers],[Fertiliser type f]], 0)</f>
        <v>0</v>
      </c>
      <c r="G36" s="170" t="str" cm="1">
        <f t="array" ref="G36">Common_InputFunctions.Utility_DisplayArrayInTable(Fertiliser_SourceData.Fertiliser_ChemicalCompoundElements_Data(),Table_Fertiliser_ChemicalCompounds[[#Headers],[Fertiliser type f]], 0)</f>
        <v>Other fertilisers</v>
      </c>
      <c r="H36" s="170" t="str" cm="1">
        <f t="array" ref="H36">Common_InputFunctions.Utility_DisplayArrayInTable(Fertiliser_SourceData.Fertiliser_ChemicalCompoundElements_Data(),Table_Fertiliser_ChemicalCompounds[[#Headers],[Fertiliser type f]], 0)</f>
        <v>Single superphosphate (SSP)</v>
      </c>
      <c r="I36" s="170"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
      <c r="D37" s="170" t="str" cm="1">
        <f t="array" ref="D37">Common_InputFunctions.Utility_DisplayArrayInTable(Fertiliser_SourceData.Fertiliser_ChemicalCompoundElements_Data(),Table_Fertiliser_ChemicalCompounds[[#Headers],[Fertiliser type f]], 0)</f>
        <v>Ammonia</v>
      </c>
      <c r="E37" s="170" cm="1">
        <f t="array" ref="E37">Common_InputFunctions.Utility_DisplayArrayInTable(Fertiliser_SourceData.Fertiliser_ChemicalCompoundElements_Data(),Table_Fertiliser_ChemicalCompounds[[#Headers],[Fertiliser type f]], 0)</f>
        <v>0.82350000000000001</v>
      </c>
      <c r="F37" s="170" cm="1">
        <f t="array" ref="F37">Common_InputFunctions.Utility_DisplayArrayInTable(Fertiliser_SourceData.Fertiliser_ChemicalCompoundElements_Data(),Table_Fertiliser_ChemicalCompounds[[#Headers],[Fertiliser type f]], 0)</f>
        <v>0</v>
      </c>
      <c r="G37" s="170" t="str" cm="1">
        <f t="array" ref="G37">Common_InputFunctions.Utility_DisplayArrayInTable(Fertiliser_SourceData.Fertiliser_ChemicalCompoundElements_Data(),Table_Fertiliser_ChemicalCompounds[[#Headers],[Fertiliser type f]], 0)</f>
        <v>Ammonium-based fertilisers</v>
      </c>
      <c r="H37" s="170" t="str" cm="1">
        <f t="array" ref="H37">Common_InputFunctions.Utility_DisplayArrayInTable(Fertiliser_SourceData.Fertiliser_ChemicalCompoundElements_Data(),Table_Fertiliser_ChemicalCompounds[[#Headers],[Fertiliser type f]], 0)</f>
        <v>Ammonia</v>
      </c>
      <c r="I37" s="170"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
      <c r="D38" s="20" t="str" cm="1">
        <f t="array" ref="D38">Common_InputFunctions.Utility_DisplayArrayInTable(Fertiliser_SourceData.Fertiliser_ChemicalCompoundElements_Data(),Table_Fertiliser_ChemicalCompounds[[#Headers],[Fertiliser type f]], 0)</f>
        <v>Calcium nitrate</v>
      </c>
      <c r="E38" s="20" cm="1">
        <f t="array" ref="E38">Common_InputFunctions.Utility_DisplayArrayInTable(Fertiliser_SourceData.Fertiliser_ChemicalCompoundElements_Data(),Table_Fertiliser_ChemicalCompounds[[#Headers],[Fertiliser type f]], 0)</f>
        <v>0.155</v>
      </c>
      <c r="F38" s="20" cm="1">
        <f t="array" ref="F38">Common_InputFunctions.Utility_DisplayArrayInTable(Fertiliser_SourceData.Fertiliser_ChemicalCompoundElements_Data(),Table_Fertiliser_ChemicalCompounds[[#Headers],[Fertiliser type f]], 0)</f>
        <v>0</v>
      </c>
      <c r="G38" s="20" t="str" cm="1">
        <f t="array" ref="G38">Common_InputFunctions.Utility_DisplayArrayInTable(Fertiliser_SourceData.Fertiliser_ChemicalCompoundElements_Data(),Table_Fertiliser_ChemicalCompounds[[#Headers],[Fertiliser type f]], 0)</f>
        <v>Nitrate-based fertilisers</v>
      </c>
      <c r="H38" s="20" t="str" cm="1">
        <f t="array" ref="H38">Common_InputFunctions.Utility_DisplayArrayInTable(Fertiliser_SourceData.Fertiliser_ChemicalCompoundElements_Data(),Table_Fertiliser_ChemicalCompounds[[#Headers],[Fertiliser type f]], 0)</f>
        <v>Calcium nitrate</v>
      </c>
      <c r="I38" s="20" t="str" cm="1">
        <f t="array" ref="I38">Common_InputFunctions.Utility_DisplayArrayInTable(Fertiliser_SourceData.Fertiliser_ChemicalCompoundElements_Data(),Table_Fertiliser_ChemicalCompounds[[#Headers],[Fertiliser type f]], 0)</f>
        <v>VEERG</v>
      </c>
    </row>
    <row r="39" spans="1:10" ht="20.100000000000001" customHeight="1" x14ac:dyDescent="0.2">
      <c r="A39" s="82" t="s">
        <v>1</v>
      </c>
    </row>
    <row r="40" spans="1:10" ht="20.100000000000001" customHeight="1" x14ac:dyDescent="0.2">
      <c r="A40" s="5" t="str">
        <f>HYPERLINK("#'Constants - Ag Residue'!A1", "Constants - Ag residue")</f>
        <v>Constants - Ag residue</v>
      </c>
      <c r="D40" s="2" t="s">
        <v>499</v>
      </c>
      <c r="F40" s="2" t="s">
        <v>500</v>
      </c>
      <c r="H40" s="2" t="s">
        <v>501</v>
      </c>
      <c r="J40" s="2" t="s">
        <v>502</v>
      </c>
    </row>
    <row r="41" spans="1:10" ht="20.100000000000001" customHeight="1" x14ac:dyDescent="0.2">
      <c r="A41" s="5" t="str">
        <f>HYPERLINK("#'Constants - Electricity'!A1", "Constants - Electricity")</f>
        <v>Constants - Electricity</v>
      </c>
      <c r="D41" s="20" t="s">
        <v>161</v>
      </c>
      <c r="F41" s="20" t="s">
        <v>161</v>
      </c>
      <c r="H41" s="20" t="s">
        <v>63</v>
      </c>
      <c r="J41" s="20" t="s">
        <v>503</v>
      </c>
    </row>
    <row r="42" spans="1:10" ht="20.100000000000001" customHeight="1" x14ac:dyDescent="0.2">
      <c r="A42" s="83" t="str">
        <f>HYPERLINK("#'Constants - Fertiliser'!A1", "Constants - Fertiliser")</f>
        <v>Constants - Fertiliser</v>
      </c>
      <c r="D42" s="20" t="s">
        <v>504</v>
      </c>
      <c r="F42" s="20" t="s">
        <v>504</v>
      </c>
      <c r="H42" s="20" t="s">
        <v>505</v>
      </c>
      <c r="J42" s="20" t="s">
        <v>506</v>
      </c>
    </row>
    <row r="43" spans="1:10" ht="20.100000000000001" customHeight="1" x14ac:dyDescent="0.2">
      <c r="A43" s="5" t="str">
        <f>HYPERLINK("#'Constants - Fuel'!A1", "Constants - Fuel")</f>
        <v>Constants - Fuel</v>
      </c>
      <c r="D43" s="1" t="s">
        <v>162</v>
      </c>
      <c r="F43" s="1" t="s">
        <v>507</v>
      </c>
      <c r="H43" s="20" t="s">
        <v>508</v>
      </c>
      <c r="J43" s="1" t="s">
        <v>397</v>
      </c>
    </row>
    <row r="44" spans="1:10" ht="20.100000000000001" customHeight="1" x14ac:dyDescent="0.2">
      <c r="A44" s="5" t="str">
        <f>HYPERLINK("#'Constants - Scope 3'!A1", "Constants - Scope 3")</f>
        <v>Constants - Scope 3</v>
      </c>
      <c r="F44" s="1" t="s">
        <v>509</v>
      </c>
      <c r="H44" s="1" t="s">
        <v>292</v>
      </c>
      <c r="J44" s="1" t="s">
        <v>510</v>
      </c>
    </row>
    <row r="45" spans="1:10" ht="20.100000000000001" customHeight="1" x14ac:dyDescent="0.2">
      <c r="A45" s="5" t="str">
        <f>HYPERLINK("#'Constants - Solid Waste'!A1", "Constants - Solid Waste")</f>
        <v>Constants - Solid Waste</v>
      </c>
      <c r="F45" s="1" t="s">
        <v>291</v>
      </c>
      <c r="H45" s="1" t="s">
        <v>511</v>
      </c>
      <c r="J45" s="1" t="s">
        <v>396</v>
      </c>
    </row>
    <row r="46" spans="1:10" ht="20.100000000000001" customHeight="1" x14ac:dyDescent="0.2">
      <c r="A46" s="5" t="str">
        <f>HYPERLINK("#'Constants - Common'!A1", "Constants - Common")</f>
        <v>Constants - Common</v>
      </c>
      <c r="H46" s="1" t="s">
        <v>512</v>
      </c>
      <c r="J46" s="1" t="s">
        <v>398</v>
      </c>
    </row>
    <row r="47" spans="1:10" ht="20.100000000000001" customHeight="1" x14ac:dyDescent="0.2">
      <c r="A47" s="5" t="str">
        <f>HYPERLINK("#'Constants - Common Livestock'!A1", "Constants - Common Livestock")</f>
        <v>Constants - Common Livestock</v>
      </c>
    </row>
    <row r="48" spans="1:10" ht="20.100000000000001" customHeight="1" x14ac:dyDescent="0.2">
      <c r="D48" s="2" t="str" cm="1">
        <f t="array" ref="D48">Fertiliser_SourceData.Fertiliser_FracGASF_Title()</f>
        <v>Fraction of inorganic fertiliser that volatilises as NH3 and NOx</v>
      </c>
      <c r="G48" s="161"/>
    </row>
    <row r="49" spans="1:8" ht="20.100000000000001" customHeight="1" x14ac:dyDescent="0.2">
      <c r="D49" s="17" t="str" cm="1">
        <f t="array" ref="D49">Fertiliser_SourceData.Fertiliser_FracGASF_Source()</f>
        <v>Table A.2.2.6: Fraction of inorganic fertiliser f that volatilises as NH3 and NOx ((kg NH3-N + NOx-N)/kg N) (FracGASFf)</v>
      </c>
      <c r="G49" s="161"/>
    </row>
    <row r="50" spans="1:8" ht="20.100000000000001" customHeight="1" x14ac:dyDescent="0.2">
      <c r="D50" s="20" t="s">
        <v>415</v>
      </c>
      <c r="E50" s="20" t="s">
        <v>513</v>
      </c>
      <c r="G50" s="161"/>
    </row>
    <row r="51" spans="1:8" ht="20.100000000000001" customHeight="1" x14ac:dyDescent="0.2">
      <c r="D51" s="20" t="str" cm="1">
        <f t="array" ref="D51">Common_InputFunctions.Utility_DisplayArrayInTable(Fertiliser_SourceData.Fertiliser_FracGASF_Data(), Table_SourceData_Fertiliser_FracGASF[[#Headers],[Fertiliser type f]], 0)</f>
        <v>Urea-based fertilisers</v>
      </c>
      <c r="E51" s="20" cm="1">
        <f t="array" ref="E51">Common_InputFunctions.Utility_DisplayArrayInTable(Fertiliser_SourceData.Fertiliser_FracGASF_Data(), Table_SourceData_Fertiliser_FracGASF[[#Headers],[Fertiliser type f]], 0)</f>
        <v>0.15</v>
      </c>
      <c r="G51" s="161"/>
    </row>
    <row r="52" spans="1:8" ht="20.100000000000001" customHeight="1" x14ac:dyDescent="0.2">
      <c r="D52" s="1" t="str" cm="1">
        <f t="array" ref="D52">Common_InputFunctions.Utility_DisplayArrayInTable(Fertiliser_SourceData.Fertiliser_FracGASF_Data(), Table_SourceData_Fertiliser_FracGASF[[#Headers],[Fertiliser type f]], 0)</f>
        <v>Ammonium-based fertilisers</v>
      </c>
      <c r="E52" s="20" cm="1">
        <f t="array" ref="E52">Common_InputFunctions.Utility_DisplayArrayInTable(Fertiliser_SourceData.Fertiliser_FracGASF_Data(), Table_SourceData_Fertiliser_FracGASF[[#Headers],[Fertiliser type f]], 0)</f>
        <v>0.08</v>
      </c>
      <c r="G52" s="161"/>
    </row>
    <row r="53" spans="1:8" ht="20.100000000000001" customHeight="1" x14ac:dyDescent="0.2">
      <c r="D53" s="1" t="str" cm="1">
        <f t="array" ref="D53">Common_InputFunctions.Utility_DisplayArrayInTable(Fertiliser_SourceData.Fertiliser_FracGASF_Data(), Table_SourceData_Fertiliser_FracGASF[[#Headers],[Fertiliser type f]], 0)</f>
        <v>Nitrate-based fertilisers</v>
      </c>
      <c r="E53" s="20" cm="1">
        <f t="array" ref="E53">Common_InputFunctions.Utility_DisplayArrayInTable(Fertiliser_SourceData.Fertiliser_FracGASF_Data(), Table_SourceData_Fertiliser_FracGASF[[#Headers],[Fertiliser type f]], 0)</f>
        <v>0.01</v>
      </c>
      <c r="G53" s="161"/>
    </row>
    <row r="54" spans="1:8" ht="20.100000000000001" customHeight="1" x14ac:dyDescent="0.2">
      <c r="D54" s="1" t="str" cm="1">
        <f t="array" ref="D54">Common_InputFunctions.Utility_DisplayArrayInTable(Fertiliser_SourceData.Fertiliser_FracGASF_Data(), Table_SourceData_Fertiliser_FracGASF[[#Headers],[Fertiliser type f]], 0)</f>
        <v>Ammonium-nitrate based fertilisers</v>
      </c>
      <c r="E54" s="20" cm="1">
        <f t="array" ref="E54">Common_InputFunctions.Utility_DisplayArrayInTable(Fertiliser_SourceData.Fertiliser_FracGASF_Data(), Table_SourceData_Fertiliser_FracGASF[[#Headers],[Fertiliser type f]], 0)</f>
        <v>0.05</v>
      </c>
      <c r="G54" s="161"/>
      <c r="H54" s="161"/>
    </row>
    <row r="55" spans="1:8" ht="20.100000000000001" customHeight="1" x14ac:dyDescent="0.2">
      <c r="D55" s="1" t="str" cm="1">
        <f t="array" ref="D55">Common_InputFunctions.Utility_DisplayArrayInTable(Fertiliser_SourceData.Fertiliser_FracGASF_Data(), Table_SourceData_Fertiliser_FracGASF[[#Headers],[Fertiliser type f]], 0)</f>
        <v>Other fertilisers</v>
      </c>
      <c r="E55" s="20" cm="1">
        <f t="array" ref="E55">Common_InputFunctions.Utility_DisplayArrayInTable(Fertiliser_SourceData.Fertiliser_FracGASF_Data(), Table_SourceData_Fertiliser_FracGASF[[#Headers],[Fertiliser type f]], 0)</f>
        <v>0.11</v>
      </c>
      <c r="G55" s="161"/>
      <c r="H55" s="161"/>
    </row>
    <row r="58" spans="1:8" ht="20.100000000000001" customHeight="1" x14ac:dyDescent="0.2">
      <c r="A58" s="81" t="str">
        <f>HYPERLINK("#A1", "▲ Back to top")</f>
        <v>▲ Back to top</v>
      </c>
      <c r="D58" s="2" t="str" cm="1">
        <f t="array" ref="D58">Fertiliser_SourceData.Fertiliser_EFUreaCO2_Title()</f>
        <v>Emission factor for carbon emissions from urea application</v>
      </c>
    </row>
    <row r="59" spans="1:8" ht="20.100000000000001" customHeight="1" x14ac:dyDescent="0.2">
      <c r="D59" s="17" t="str" cm="1">
        <f t="array" ref="D59">Fertiliser_SourceData.Fertiliser_EFUreaCO2_Source()</f>
        <v>VEERG 2026: 5.1.2.2 Constant Parameters</v>
      </c>
    </row>
    <row r="60" spans="1:8" ht="20.100000000000001" customHeight="1" x14ac:dyDescent="0.2">
      <c r="D60" s="77"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3" spans="1:8" ht="20.100000000000001" customHeight="1" x14ac:dyDescent="0.2">
      <c r="D63" s="2" t="str" cm="1">
        <f t="array" ref="D63">Fertiliser_SourceData.Fertiliser_LimeDolomiteGypsumConstants_Title()</f>
        <v>Constants for lime, dolomite and gypsum</v>
      </c>
    </row>
    <row r="64" spans="1:8" ht="20.100000000000001" customHeight="1" x14ac:dyDescent="0.2">
      <c r="D64" s="17" t="str" cm="1">
        <f t="array" ref="D64">Fertiliser_SourceData.Fertiliser_LimeDolomiteGypsumConstants_Source()</f>
        <v>VEERG 2026: 5.3.2.3 Constant Parameters</v>
      </c>
    </row>
    <row r="65" spans="4:6" ht="20.100000000000001" customHeight="1" x14ac:dyDescent="0.2">
      <c r="D65" s="20" t="s">
        <v>459</v>
      </c>
      <c r="E65" s="20" t="s">
        <v>514</v>
      </c>
      <c r="F65" s="20" t="s">
        <v>436</v>
      </c>
    </row>
    <row r="66" spans="4:6" ht="20.100000000000001" customHeight="1" x14ac:dyDescent="0.2">
      <c r="D66" s="20" t="str" cm="1">
        <f t="array" ref="D66">Common_InputFunctions.Utility_DisplayArrayInTable(Fertiliser_SourceData.Fertiliser_LimeDolomiteGypsumConstants_Data(), Table_SourceData_Fertiliser_LimeDolomiteConstants[[#Headers],[Element]], 0)</f>
        <v>Lime (Calcium carbonate)</v>
      </c>
      <c r="E66" s="20" cm="1">
        <f t="array" ref="E66">Common_InputFunctions.Utility_DisplayArrayInTable(Fertiliser_SourceData.Fertiliser_LimeDolomiteGypsumConstants_Data(), Table_SourceData_Fertiliser_LimeDolomiteConstants[[#Headers],[Element]], 0)</f>
        <v>0.9</v>
      </c>
      <c r="F66" s="20" cm="1">
        <f t="array" ref="F66">Common_InputFunctions.Utility_DisplayArrayInTable(Fertiliser_SourceData.Fertiliser_LimeDolomiteGypsumConstants_Data(), Table_SourceData_Fertiliser_LimeDolomiteConstants[[#Headers],[Element]], 0)</f>
        <v>0.12</v>
      </c>
    </row>
    <row r="67" spans="4:6" ht="20.100000000000001" customHeight="1" x14ac:dyDescent="0.2">
      <c r="D67" s="1" t="str" cm="1">
        <f t="array" ref="D67">Common_InputFunctions.Utility_DisplayArrayInTable(Fertiliser_SourceData.Fertiliser_LimeDolomiteGypsumConstants_Data(), Table_SourceData_Fertiliser_LimeDolomiteConstants[[#Headers],[Element]], 0)</f>
        <v>Dolomite (Magnesium carbonate)</v>
      </c>
      <c r="E67" s="20" cm="1">
        <f t="array" ref="E67">Common_InputFunctions.Utility_DisplayArrayInTable(Fertiliser_SourceData.Fertiliser_LimeDolomiteGypsumConstants_Data(), Table_SourceData_Fertiliser_LimeDolomiteConstants[[#Headers],[Element]], 0)</f>
        <v>0.95</v>
      </c>
      <c r="F67" s="20" cm="1">
        <f t="array" ref="F67">Common_InputFunctions.Utility_DisplayArrayInTable(Fertiliser_SourceData.Fertiliser_LimeDolomiteGypsumConstants_Data(), Table_SourceData_Fertiliser_LimeDolomiteConstants[[#Headers],[Element]], 0)</f>
        <v>0.13</v>
      </c>
    </row>
    <row r="68" spans="4:6" ht="20.100000000000001" customHeight="1" x14ac:dyDescent="0.2">
      <c r="D68" s="1" t="str" cm="1">
        <f t="array" ref="D68">Common_InputFunctions.Utility_DisplayArrayInTable(Fertiliser_SourceData.Fertiliser_LimeDolomiteGypsumConstants_Data(), Table_SourceData_Fertiliser_LimeDolomiteConstants[[#Headers],[Element]], 0)</f>
        <v>Gypsum</v>
      </c>
      <c r="E68" s="20" cm="1">
        <f t="array" ref="E68">Common_InputFunctions.Utility_DisplayArrayInTable(Fertiliser_SourceData.Fertiliser_LimeDolomiteGypsumConstants_Data(), Table_SourceData_Fertiliser_LimeDolomiteConstants[[#Headers],[Element]], 0)</f>
        <v>0</v>
      </c>
      <c r="F68" s="20" cm="1">
        <f t="array" ref="F68">Common_InputFunctions.Utility_DisplayArrayInTable(Fertiliser_SourceData.Fertiliser_LimeDolomiteGypsumConstants_Data(), Table_SourceData_Fertiliser_LimeDolomiteConstants[[#Headers],[Element]], 0)</f>
        <v>0</v>
      </c>
    </row>
    <row r="71" spans="4:6" ht="20.100000000000001" customHeight="1" x14ac:dyDescent="0.2">
      <c r="D71" s="2" t="str" cm="1">
        <f t="array" ref="D71">Fertiliser_SourceData.Fertiliser_FracGASMSoil_Title()</f>
        <v>Fraction of organic fertiliser that volatilises as NH3 and NOx</v>
      </c>
    </row>
    <row r="72" spans="4:6" ht="20.100000000000001" customHeight="1" x14ac:dyDescent="0.2">
      <c r="D72" s="17" t="str" cm="1">
        <f t="array" ref="D72">Fertiliser_SourceData.Fertiliser_FracGASMSoil_Source()</f>
        <v>VEERG 2026: 5.4.2.3 Constant Parameters</v>
      </c>
    </row>
    <row r="73" spans="4:6" ht="20.100000000000001" customHeight="1" x14ac:dyDescent="0.2">
      <c r="D73" s="77"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6" spans="4:6" ht="20.100000000000001" customHeight="1" x14ac:dyDescent="0.2">
      <c r="D76" s="2" t="str" cm="1">
        <f t="array" ref="D76">Fertiliser_SourceData.Fertiliser_FracLEACH_Title()</f>
        <v>Fraction of nitrogen that is lost through leaching and runoff</v>
      </c>
    </row>
    <row r="77" spans="4:6" ht="20.100000000000001" customHeight="1" x14ac:dyDescent="0.2">
      <c r="D77" s="17" t="str" cm="1">
        <f t="array" ref="D77">Fertiliser_SourceData.Fertiliser_FracLEACH_Source()</f>
        <v>VEERG 2026: 5.5.2.3 Constant Parameters</v>
      </c>
    </row>
    <row r="78" spans="4:6" ht="20.100000000000001" customHeight="1" x14ac:dyDescent="0.2">
      <c r="D78" s="77"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81" spans="1:39" ht="20.100000000000001" customHeight="1" x14ac:dyDescent="0.2">
      <c r="D81" s="2" t="str" cm="1">
        <f t="array" ref="D81">Fertiliser_SourceData.Fertiliser_EFLeach_Title()</f>
        <v>Emission factor for nitrogen leaching and runoff</v>
      </c>
    </row>
    <row r="82" spans="1:39" ht="20.100000000000001" customHeight="1" x14ac:dyDescent="0.2">
      <c r="D82" s="17" t="str" cm="1">
        <f t="array" ref="D82">Fertiliser_SourceData.Fertiliser_EFLeach_Source()</f>
        <v>VEERG 2026: 5.5.2.3 Constant Parameters</v>
      </c>
    </row>
    <row r="83" spans="1:39" ht="20.100000000000001" customHeight="1" x14ac:dyDescent="0.2">
      <c r="D83" s="77"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7" spans="1:39" ht="20.100000000000001" customHeight="1" x14ac:dyDescent="0.2">
      <c r="D87" s="2" t="s">
        <v>515</v>
      </c>
      <c r="E87" s="161"/>
      <c r="F87" s="161"/>
      <c r="G87" s="161"/>
      <c r="H87" s="161"/>
      <c r="I87" s="161"/>
      <c r="J87" s="161"/>
      <c r="K87" s="161"/>
      <c r="L87" s="161"/>
      <c r="N87" s="161"/>
      <c r="O87" s="161"/>
      <c r="P87" s="161"/>
      <c r="Q87" s="161"/>
      <c r="R87" s="161"/>
      <c r="S87" s="161"/>
      <c r="T87" s="161"/>
      <c r="U87" s="161"/>
    </row>
    <row r="88" spans="1:39" ht="20.100000000000001" customHeight="1" x14ac:dyDescent="0.2">
      <c r="A88" s="81" t="str">
        <f>HYPERLINK("#A1", "▲ Back to top")</f>
        <v>▲ Back to top</v>
      </c>
      <c r="D88" s="161"/>
    </row>
    <row r="89" spans="1:39" ht="20.100000000000001" customHeight="1" x14ac:dyDescent="0.2">
      <c r="D89" s="171" t="s">
        <v>516</v>
      </c>
      <c r="E89" s="20" t="s">
        <v>130</v>
      </c>
      <c r="F89" s="20" t="s">
        <v>118</v>
      </c>
      <c r="G89" s="110" t="s">
        <v>342</v>
      </c>
      <c r="H89" s="110" t="s">
        <v>517</v>
      </c>
      <c r="I89" s="110" t="s">
        <v>359</v>
      </c>
      <c r="J89" s="110" t="s">
        <v>360</v>
      </c>
      <c r="K89" s="110" t="s">
        <v>518</v>
      </c>
      <c r="L89" s="110" t="s">
        <v>519</v>
      </c>
      <c r="M89" s="110" t="s">
        <v>520</v>
      </c>
      <c r="N89" s="110" t="s">
        <v>521</v>
      </c>
      <c r="O89" s="110" t="s">
        <v>344</v>
      </c>
      <c r="P89" s="110" t="s">
        <v>345</v>
      </c>
      <c r="Q89" s="20" t="s">
        <v>346</v>
      </c>
      <c r="R89" s="20" t="s">
        <v>347</v>
      </c>
      <c r="S89" s="20" t="s">
        <v>348</v>
      </c>
      <c r="T89" s="20" t="s">
        <v>349</v>
      </c>
      <c r="U89" s="110" t="s">
        <v>350</v>
      </c>
      <c r="V89" s="110" t="s">
        <v>351</v>
      </c>
      <c r="W89" s="20" t="s">
        <v>352</v>
      </c>
      <c r="X89" s="110" t="s">
        <v>353</v>
      </c>
      <c r="Y89" s="110" t="s">
        <v>354</v>
      </c>
      <c r="Z89" s="110" t="s">
        <v>355</v>
      </c>
      <c r="AA89" s="110" t="s">
        <v>522</v>
      </c>
      <c r="AB89" s="110" t="s">
        <v>523</v>
      </c>
      <c r="AC89" s="20" t="s">
        <v>524</v>
      </c>
      <c r="AD89" s="20" t="s">
        <v>525</v>
      </c>
      <c r="AE89" s="20" t="s">
        <v>526</v>
      </c>
      <c r="AF89" s="20" t="s">
        <v>527</v>
      </c>
      <c r="AG89" s="20" t="s">
        <v>528</v>
      </c>
      <c r="AH89" s="20" t="s">
        <v>529</v>
      </c>
      <c r="AK89" s="1"/>
      <c r="AL89" s="1"/>
      <c r="AM89" s="1"/>
    </row>
    <row r="90" spans="1:39" ht="20.100000000000001" customHeight="1" x14ac:dyDescent="0.2">
      <c r="D90" s="170" t="str" cm="1">
        <f t="array" ref="D90">Common_InputFunctions.Utility_DisplayArrayInTable(Fertiliser_SourceData.Fertiliser_Products_Data1(), FertiliserProducts[[#Headers],[Company]],1)</f>
        <v>Campbells fertilisers Australia</v>
      </c>
      <c r="E90" s="170" t="str" cm="1">
        <f t="array" ref="E90">Common_InputFunctions.Utility_DisplayArrayInTable(Fertiliser_SourceData.Fertiliser_Products_Data1(), FertiliserProducts[[#Headers],[Company]],1)</f>
        <v>Aqua Finish</v>
      </c>
      <c r="F90" s="170" t="str" cm="1">
        <f t="array" ref="F90">Common_InputFunctions.Utility_DisplayArrayInTable(Fertiliser_SourceData.Fertiliser_Products_Data1(), FertiliserProducts[[#Headers],[Company]],1)</f>
        <v>L</v>
      </c>
      <c r="G90" s="170" cm="1">
        <f t="array" ref="G90">Common_InputFunctions.Utility_DisplayArrayInTable(Fertiliser_SourceData.Fertiliser_Products_Data1(), FertiliserProducts[[#Headers],[Company]],1)</f>
        <v>1.26</v>
      </c>
      <c r="H90" s="170" t="str" cm="1">
        <f t="array" ref="H90">Common_InputFunctions.Utility_DisplayArrayInTable(Fertiliser_SourceData.Fertiliser_Products_Data1(), FertiliserProducts[[#Headers],[Company]],1)</f>
        <v/>
      </c>
      <c r="I90" s="170" t="str" cm="1">
        <f t="array" ref="I90">Common_InputFunctions.Utility_DisplayArrayInTable(Fertiliser_SourceData.Fertiliser_Products_Data1(), FertiliserProducts[[#Headers],[Company]],1)</f>
        <v/>
      </c>
      <c r="J90" s="170" t="str" cm="1">
        <f t="array" ref="J90">Common_InputFunctions.Utility_DisplayArrayInTable(Fertiliser_SourceData.Fertiliser_Products_Data1(), FertiliserProducts[[#Headers],[Company]],1)</f>
        <v/>
      </c>
      <c r="K90" s="170" cm="1">
        <f t="array" ref="K90">Common_InputFunctions.Utility_DisplayArrayInTable(Fertiliser_SourceData.Fertiliser_Products_Data1(), FertiliserProducts[[#Headers],[Company]],1)</f>
        <v>2.6</v>
      </c>
      <c r="L90" s="170" cm="1">
        <f t="array" ref="L90">Common_InputFunctions.Utility_DisplayArrayInTable(Fertiliser_SourceData.Fertiliser_Products_Data1(), FertiliserProducts[[#Headers],[Company]],1)</f>
        <v>4</v>
      </c>
      <c r="M90" s="170" cm="1">
        <f t="array" ref="M90">Common_InputFunctions.Utility_DisplayArrayInTable(Fertiliser_SourceData.Fertiliser_Products_Data1(), FertiliserProducts[[#Headers],[Company]],1)</f>
        <v>22.5</v>
      </c>
      <c r="N90" s="170" t="str" cm="1">
        <f t="array" ref="N90">Common_InputFunctions.Utility_DisplayArrayInTable(Fertiliser_SourceData.Fertiliser_Products_Data1(), FertiliserProducts[[#Headers],[Company]],1)</f>
        <v/>
      </c>
      <c r="O90" s="170" t="str" cm="1">
        <f t="array" ref="O90">Common_InputFunctions.Utility_DisplayArrayInTable(Fertiliser_SourceData.Fertiliser_Products_Data1(), FertiliserProducts[[#Headers],[Company]],1)</f>
        <v>Potassium - Generic</v>
      </c>
      <c r="P90" s="170" cm="1">
        <f t="array" ref="P90">Common_InputFunctions.Utility_DisplayArrayInTable(Fertiliser_SourceData.Fertiliser_Products_Data1(), FertiliserProducts[[#Headers],[Company]],1)</f>
        <v>0.22500000000000001</v>
      </c>
      <c r="Q90" s="170" t="str" cm="1">
        <f t="array" ref="Q90">Common_InputFunctions.Utility_DisplayArrayInTable(Fertiliser_SourceData.Fertiliser_Products_Data1(), FertiliserProducts[[#Headers],[Company]],1)</f>
        <v>Phosphorus - Generic</v>
      </c>
      <c r="R90" s="170" cm="1">
        <f t="array" ref="R90">Common_InputFunctions.Utility_DisplayArrayInTable(Fertiliser_SourceData.Fertiliser_Products_Data1(), FertiliserProducts[[#Headers],[Company]],1)</f>
        <v>0.04</v>
      </c>
      <c r="S90" s="170" t="str" cm="1">
        <f t="array" ref="S90">Common_InputFunctions.Utility_DisplayArrayInTable(Fertiliser_SourceData.Fertiliser_Products_Data1(), FertiliserProducts[[#Headers],[Company]],1)</f>
        <v>Nitrogen - Generic</v>
      </c>
      <c r="T90" s="170" cm="1">
        <f t="array" ref="T90">Common_InputFunctions.Utility_DisplayArrayInTable(Fertiliser_SourceData.Fertiliser_Products_Data1(), FertiliserProducts[[#Headers],[Company]],1)</f>
        <v>2.5999999999999999E-2</v>
      </c>
      <c r="U90" s="170" t="str" cm="1">
        <f t="array" ref="U90">Common_InputFunctions.Utility_DisplayArrayInTable(Fertiliser_SourceData.Fertiliser_Products_Data1(), FertiliserProducts[[#Headers],[Company]],1)</f>
        <v/>
      </c>
      <c r="V90" s="170" t="str" cm="1">
        <f t="array" ref="V90">Common_InputFunctions.Utility_DisplayArrayInTable(Fertiliser_SourceData.Fertiliser_Products_Data1(), FertiliserProducts[[#Headers],[Company]],1)</f>
        <v/>
      </c>
      <c r="W90" s="170" t="str" cm="1">
        <f t="array" ref="W90">Common_InputFunctions.Utility_DisplayArrayInTable(Fertiliser_SourceData.Fertiliser_Products_Data1(), FertiliserProducts[[#Headers],[Company]],1)</f>
        <v/>
      </c>
      <c r="X90" s="170" t="str" cm="1">
        <f t="array" ref="X90">Common_InputFunctions.Utility_DisplayArrayInTable(Fertiliser_SourceData.Fertiliser_Products_Data1(), FertiliserProducts[[#Headers],[Company]],1)</f>
        <v/>
      </c>
      <c r="Y90" s="170" t="str" cm="1">
        <f t="array" ref="Y90">Common_InputFunctions.Utility_DisplayArrayInTable(Fertiliser_SourceData.Fertiliser_Products_Data1(), FertiliserProducts[[#Headers],[Company]],1)</f>
        <v/>
      </c>
      <c r="Z90" s="170" t="str" cm="1">
        <f t="array" ref="Z90">Common_InputFunctions.Utility_DisplayArrayInTable(Fertiliser_SourceData.Fertiliser_Products_Data1(), FertiliserProducts[[#Headers],[Company]],1)</f>
        <v/>
      </c>
      <c r="AA90" s="170" t="str" cm="1">
        <f t="array" ref="AA90">Common_InputFunctions.Utility_DisplayArrayInTable(Fertiliser_SourceData.Fertiliser_Products_Data1(), FertiliserProducts[[#Headers],[Company]],1)</f>
        <v/>
      </c>
      <c r="AB90" s="170" t="str" cm="1">
        <f t="array" ref="AB90">Common_InputFunctions.Utility_DisplayArrayInTable(Fertiliser_SourceData.Fertiliser_Products_Data1(), FertiliserProducts[[#Headers],[Company]],1)</f>
        <v/>
      </c>
      <c r="AC90" s="170" t="str" cm="1">
        <f t="array" ref="AC90">Common_InputFunctions.Utility_DisplayArrayInTable(Fertiliser_SourceData.Fertiliser_Products_Data1(), FertiliserProducts[[#Headers],[Company]],1)</f>
        <v/>
      </c>
      <c r="AD90" s="170" t="str" cm="1">
        <f t="array" ref="AD90">Common_InputFunctions.Utility_DisplayArrayInTable(Fertiliser_SourceData.Fertiliser_Products_Data1(), FertiliserProducts[[#Headers],[Company]],1)</f>
        <v/>
      </c>
      <c r="AE90" s="170" t="str" cm="1">
        <f t="array" ref="AE90">Common_InputFunctions.Utility_DisplayArrayInTable(Fertiliser_SourceData.Fertiliser_Products_Data1(), FertiliserProducts[[#Headers],[Company]],1)</f>
        <v/>
      </c>
      <c r="AF90" s="170" t="str" cm="1">
        <f t="array" ref="AF90">Common_InputFunctions.Utility_DisplayArrayInTable(Fertiliser_SourceData.Fertiliser_Products_Data1(), FertiliserProducts[[#Headers],[Company]],1)</f>
        <v/>
      </c>
      <c r="AG90" s="170" t="str" cm="1">
        <f t="array" ref="AG90">Common_InputFunctions.Utility_DisplayArrayInTable(Fertiliser_SourceData.Fertiliser_Products_Data1(), FertiliserProducts[[#Headers],[Company]],1)</f>
        <v/>
      </c>
      <c r="AH90" s="170" t="str" cm="1">
        <f t="array" ref="AH90">Common_InputFunctions.Utility_DisplayArrayInTable(Fertiliser_SourceData.Fertiliser_Products_Data1(), FertiliserProducts[[#Headers],[Company]],1)</f>
        <v/>
      </c>
      <c r="AK90" s="1"/>
      <c r="AL90" s="1"/>
      <c r="AM90" s="1"/>
    </row>
    <row r="91" spans="1:39" ht="20.100000000000001" customHeight="1" x14ac:dyDescent="0.2">
      <c r="D91" s="170" t="str" cm="1">
        <f t="array" ref="D91">Common_InputFunctions.Utility_DisplayArrayInTable(Fertiliser_SourceData.Fertiliser_Products_Data1(), FertiliserProducts[[#Headers],[Company]],1)</f>
        <v>Campbells fertilisers Australia</v>
      </c>
      <c r="E91" s="170" t="str" cm="1">
        <f t="array" ref="E91">Common_InputFunctions.Utility_DisplayArrayInTable(Fertiliser_SourceData.Fertiliser_Products_Data1(), FertiliserProducts[[#Headers],[Company]],1)</f>
        <v>Aqua Grow</v>
      </c>
      <c r="F91" s="170" t="str" cm="1">
        <f t="array" ref="F91">Common_InputFunctions.Utility_DisplayArrayInTable(Fertiliser_SourceData.Fertiliser_Products_Data1(), FertiliserProducts[[#Headers],[Company]],1)</f>
        <v>L</v>
      </c>
      <c r="G91" s="170" cm="1">
        <f t="array" ref="G91">Common_InputFunctions.Utility_DisplayArrayInTable(Fertiliser_SourceData.Fertiliser_Products_Data1(), FertiliserProducts[[#Headers],[Company]],1)</f>
        <v>1.26</v>
      </c>
      <c r="H91" s="170" t="str" cm="1">
        <f t="array" ref="H91">Common_InputFunctions.Utility_DisplayArrayInTable(Fertiliser_SourceData.Fertiliser_Products_Data1(), FertiliserProducts[[#Headers],[Company]],1)</f>
        <v/>
      </c>
      <c r="I91" s="170" t="str" cm="1">
        <f t="array" ref="I91">Common_InputFunctions.Utility_DisplayArrayInTable(Fertiliser_SourceData.Fertiliser_Products_Data1(), FertiliserProducts[[#Headers],[Company]],1)</f>
        <v/>
      </c>
      <c r="J91" s="170" t="str" cm="1">
        <f t="array" ref="J91">Common_InputFunctions.Utility_DisplayArrayInTable(Fertiliser_SourceData.Fertiliser_Products_Data1(), FertiliserProducts[[#Headers],[Company]],1)</f>
        <v/>
      </c>
      <c r="K91" s="170" cm="1">
        <f t="array" ref="K91">Common_InputFunctions.Utility_DisplayArrayInTable(Fertiliser_SourceData.Fertiliser_Products_Data1(), FertiliserProducts[[#Headers],[Company]],1)</f>
        <v>9.6</v>
      </c>
      <c r="L91" s="170" cm="1">
        <f t="array" ref="L91">Common_InputFunctions.Utility_DisplayArrayInTable(Fertiliser_SourceData.Fertiliser_Products_Data1(), FertiliserProducts[[#Headers],[Company]],1)</f>
        <v>5</v>
      </c>
      <c r="M91" s="170" cm="1">
        <f t="array" ref="M91">Common_InputFunctions.Utility_DisplayArrayInTable(Fertiliser_SourceData.Fertiliser_Products_Data1(), FertiliserProducts[[#Headers],[Company]],1)</f>
        <v>10.5</v>
      </c>
      <c r="N91" s="170" t="str" cm="1">
        <f t="array" ref="N91">Common_InputFunctions.Utility_DisplayArrayInTable(Fertiliser_SourceData.Fertiliser_Products_Data1(), FertiliserProducts[[#Headers],[Company]],1)</f>
        <v/>
      </c>
      <c r="O91" s="170" t="str" cm="1">
        <f t="array" ref="O91">Common_InputFunctions.Utility_DisplayArrayInTable(Fertiliser_SourceData.Fertiliser_Products_Data1(), FertiliserProducts[[#Headers],[Company]],1)</f>
        <v>Potassium - Generic</v>
      </c>
      <c r="P91" s="170" cm="1">
        <f t="array" ref="P91">Common_InputFunctions.Utility_DisplayArrayInTable(Fertiliser_SourceData.Fertiliser_Products_Data1(), FertiliserProducts[[#Headers],[Company]],1)</f>
        <v>0.105</v>
      </c>
      <c r="Q91" s="170" t="str" cm="1">
        <f t="array" ref="Q91">Common_InputFunctions.Utility_DisplayArrayInTable(Fertiliser_SourceData.Fertiliser_Products_Data1(), FertiliserProducts[[#Headers],[Company]],1)</f>
        <v>Nitrogen - Generic</v>
      </c>
      <c r="R91" s="170" cm="1">
        <f t="array" ref="R91">Common_InputFunctions.Utility_DisplayArrayInTable(Fertiliser_SourceData.Fertiliser_Products_Data1(), FertiliserProducts[[#Headers],[Company]],1)</f>
        <v>9.6000000000000002E-2</v>
      </c>
      <c r="S91" s="170" t="str" cm="1">
        <f t="array" ref="S91">Common_InputFunctions.Utility_DisplayArrayInTable(Fertiliser_SourceData.Fertiliser_Products_Data1(), FertiliserProducts[[#Headers],[Company]],1)</f>
        <v>Phosphorus - Generic</v>
      </c>
      <c r="T91" s="170" cm="1">
        <f t="array" ref="T91">Common_InputFunctions.Utility_DisplayArrayInTable(Fertiliser_SourceData.Fertiliser_Products_Data1(), FertiliserProducts[[#Headers],[Company]],1)</f>
        <v>0.05</v>
      </c>
      <c r="U91" s="170" t="str" cm="1">
        <f t="array" ref="U91">Common_InputFunctions.Utility_DisplayArrayInTable(Fertiliser_SourceData.Fertiliser_Products_Data1(), FertiliserProducts[[#Headers],[Company]],1)</f>
        <v/>
      </c>
      <c r="V91" s="170" t="str" cm="1">
        <f t="array" ref="V91">Common_InputFunctions.Utility_DisplayArrayInTable(Fertiliser_SourceData.Fertiliser_Products_Data1(), FertiliserProducts[[#Headers],[Company]],1)</f>
        <v/>
      </c>
      <c r="W91" s="170" t="str" cm="1">
        <f t="array" ref="W91">Common_InputFunctions.Utility_DisplayArrayInTable(Fertiliser_SourceData.Fertiliser_Products_Data1(), FertiliserProducts[[#Headers],[Company]],1)</f>
        <v/>
      </c>
      <c r="X91" s="170" t="str" cm="1">
        <f t="array" ref="X91">Common_InputFunctions.Utility_DisplayArrayInTable(Fertiliser_SourceData.Fertiliser_Products_Data1(), FertiliserProducts[[#Headers],[Company]],1)</f>
        <v/>
      </c>
      <c r="Y91" s="170" t="str" cm="1">
        <f t="array" ref="Y91">Common_InputFunctions.Utility_DisplayArrayInTable(Fertiliser_SourceData.Fertiliser_Products_Data1(), FertiliserProducts[[#Headers],[Company]],1)</f>
        <v/>
      </c>
      <c r="Z91" s="170" t="str" cm="1">
        <f t="array" ref="Z91">Common_InputFunctions.Utility_DisplayArrayInTable(Fertiliser_SourceData.Fertiliser_Products_Data1(), FertiliserProducts[[#Headers],[Company]],1)</f>
        <v/>
      </c>
      <c r="AA91" s="170" t="str" cm="1">
        <f t="array" ref="AA91">Common_InputFunctions.Utility_DisplayArrayInTable(Fertiliser_SourceData.Fertiliser_Products_Data1(), FertiliserProducts[[#Headers],[Company]],1)</f>
        <v/>
      </c>
      <c r="AB91" s="170" t="str" cm="1">
        <f t="array" ref="AB91">Common_InputFunctions.Utility_DisplayArrayInTable(Fertiliser_SourceData.Fertiliser_Products_Data1(), FertiliserProducts[[#Headers],[Company]],1)</f>
        <v/>
      </c>
      <c r="AC91" s="170" t="str" cm="1">
        <f t="array" ref="AC91">Common_InputFunctions.Utility_DisplayArrayInTable(Fertiliser_SourceData.Fertiliser_Products_Data1(), FertiliserProducts[[#Headers],[Company]],1)</f>
        <v/>
      </c>
      <c r="AD91" s="170" t="str" cm="1">
        <f t="array" ref="AD91">Common_InputFunctions.Utility_DisplayArrayInTable(Fertiliser_SourceData.Fertiliser_Products_Data1(), FertiliserProducts[[#Headers],[Company]],1)</f>
        <v/>
      </c>
      <c r="AE91" s="170" t="str" cm="1">
        <f t="array" ref="AE91">Common_InputFunctions.Utility_DisplayArrayInTable(Fertiliser_SourceData.Fertiliser_Products_Data1(), FertiliserProducts[[#Headers],[Company]],1)</f>
        <v/>
      </c>
      <c r="AF91" s="170" t="str" cm="1">
        <f t="array" ref="AF91">Common_InputFunctions.Utility_DisplayArrayInTable(Fertiliser_SourceData.Fertiliser_Products_Data1(), FertiliserProducts[[#Headers],[Company]],1)</f>
        <v/>
      </c>
      <c r="AG91" s="170" t="str" cm="1">
        <f t="array" ref="AG91">Common_InputFunctions.Utility_DisplayArrayInTable(Fertiliser_SourceData.Fertiliser_Products_Data1(), FertiliserProducts[[#Headers],[Company]],1)</f>
        <v/>
      </c>
      <c r="AH91" s="170" t="str" cm="1">
        <f t="array" ref="AH91">Common_InputFunctions.Utility_DisplayArrayInTable(Fertiliser_SourceData.Fertiliser_Products_Data1(), FertiliserProducts[[#Headers],[Company]],1)</f>
        <v/>
      </c>
      <c r="AK91" s="1"/>
      <c r="AL91" s="1"/>
      <c r="AM91" s="1"/>
    </row>
    <row r="92" spans="1:39" ht="20.100000000000001" customHeight="1" x14ac:dyDescent="0.2">
      <c r="D92" s="170" t="str" cm="1">
        <f t="array" ref="D92">Common_InputFunctions.Utility_DisplayArrayInTable(Fertiliser_SourceData.Fertiliser_Products_Data1(), FertiliserProducts[[#Headers],[Company]],1)</f>
        <v>Campbells fertilisers Australia</v>
      </c>
      <c r="E92" s="170" t="str" cm="1">
        <f t="array" ref="E92">Common_InputFunctions.Utility_DisplayArrayInTable(Fertiliser_SourceData.Fertiliser_Products_Data1(), FertiliserProducts[[#Headers],[Company]],1)</f>
        <v>Aqua Nitro AN</v>
      </c>
      <c r="F92" s="170" t="str" cm="1">
        <f t="array" ref="F92">Common_InputFunctions.Utility_DisplayArrayInTable(Fertiliser_SourceData.Fertiliser_Products_Data1(), FertiliserProducts[[#Headers],[Company]],1)</f>
        <v>L</v>
      </c>
      <c r="G92" s="170" cm="1">
        <f t="array" ref="G92">Common_InputFunctions.Utility_DisplayArrayInTable(Fertiliser_SourceData.Fertiliser_Products_Data1(), FertiliserProducts[[#Headers],[Company]],1)</f>
        <v>1.24</v>
      </c>
      <c r="H92" s="170" t="str" cm="1">
        <f t="array" ref="H92">Common_InputFunctions.Utility_DisplayArrayInTable(Fertiliser_SourceData.Fertiliser_Products_Data1(), FertiliserProducts[[#Headers],[Company]],1)</f>
        <v/>
      </c>
      <c r="I92" s="170" t="str" cm="1">
        <f t="array" ref="I92">Common_InputFunctions.Utility_DisplayArrayInTable(Fertiliser_SourceData.Fertiliser_Products_Data1(), FertiliserProducts[[#Headers],[Company]],1)</f>
        <v/>
      </c>
      <c r="J92" s="170" t="str" cm="1">
        <f t="array" ref="J92">Common_InputFunctions.Utility_DisplayArrayInTable(Fertiliser_SourceData.Fertiliser_Products_Data1(), FertiliserProducts[[#Headers],[Company]],1)</f>
        <v/>
      </c>
      <c r="K92" s="170" cm="1">
        <f t="array" ref="K92">Common_InputFunctions.Utility_DisplayArrayInTable(Fertiliser_SourceData.Fertiliser_Products_Data1(), FertiliserProducts[[#Headers],[Company]],1)</f>
        <v>22.3</v>
      </c>
      <c r="L92" s="170" t="str" cm="1">
        <f t="array" ref="L92">Common_InputFunctions.Utility_DisplayArrayInTable(Fertiliser_SourceData.Fertiliser_Products_Data1(), FertiliserProducts[[#Headers],[Company]],1)</f>
        <v/>
      </c>
      <c r="M92" s="170" t="str" cm="1">
        <f t="array" ref="M92">Common_InputFunctions.Utility_DisplayArrayInTable(Fertiliser_SourceData.Fertiliser_Products_Data1(), FertiliserProducts[[#Headers],[Company]],1)</f>
        <v/>
      </c>
      <c r="N92" s="170" t="str" cm="1">
        <f t="array" ref="N92">Common_InputFunctions.Utility_DisplayArrayInTable(Fertiliser_SourceData.Fertiliser_Products_Data1(), FertiliserProducts[[#Headers],[Company]],1)</f>
        <v/>
      </c>
      <c r="O92" s="170" t="str" cm="1">
        <f t="array" ref="O92">Common_InputFunctions.Utility_DisplayArrayInTable(Fertiliser_SourceData.Fertiliser_Products_Data1(), FertiliserProducts[[#Headers],[Company]],1)</f>
        <v>Nitrogen - Ammoniacal</v>
      </c>
      <c r="P92" s="170" cm="1">
        <f t="array" ref="P92">Common_InputFunctions.Utility_DisplayArrayInTable(Fertiliser_SourceData.Fertiliser_Products_Data1(), FertiliserProducts[[#Headers],[Company]],1)</f>
        <v>0.223</v>
      </c>
      <c r="Q92" s="170" t="str" cm="1">
        <f t="array" ref="Q92">Common_InputFunctions.Utility_DisplayArrayInTable(Fertiliser_SourceData.Fertiliser_Products_Data1(), FertiliserProducts[[#Headers],[Company]],1)</f>
        <v/>
      </c>
      <c r="R92" s="170" t="str" cm="1">
        <f t="array" ref="R92">Common_InputFunctions.Utility_DisplayArrayInTable(Fertiliser_SourceData.Fertiliser_Products_Data1(), FertiliserProducts[[#Headers],[Company]],1)</f>
        <v/>
      </c>
      <c r="S92" s="170" t="str" cm="1">
        <f t="array" ref="S92">Common_InputFunctions.Utility_DisplayArrayInTable(Fertiliser_SourceData.Fertiliser_Products_Data1(), FertiliserProducts[[#Headers],[Company]],1)</f>
        <v/>
      </c>
      <c r="T92" s="170" t="str" cm="1">
        <f t="array" ref="T92">Common_InputFunctions.Utility_DisplayArrayInTable(Fertiliser_SourceData.Fertiliser_Products_Data1(), FertiliserProducts[[#Headers],[Company]],1)</f>
        <v/>
      </c>
      <c r="U92" s="170" t="str" cm="1">
        <f t="array" ref="U92">Common_InputFunctions.Utility_DisplayArrayInTable(Fertiliser_SourceData.Fertiliser_Products_Data1(), FertiliserProducts[[#Headers],[Company]],1)</f>
        <v/>
      </c>
      <c r="V92" s="170" t="str" cm="1">
        <f t="array" ref="V92">Common_InputFunctions.Utility_DisplayArrayInTable(Fertiliser_SourceData.Fertiliser_Products_Data1(), FertiliserProducts[[#Headers],[Company]],1)</f>
        <v/>
      </c>
      <c r="W92" s="170" t="str" cm="1">
        <f t="array" ref="W92">Common_InputFunctions.Utility_DisplayArrayInTable(Fertiliser_SourceData.Fertiliser_Products_Data1(), FertiliserProducts[[#Headers],[Company]],1)</f>
        <v/>
      </c>
      <c r="X92" s="170" t="str" cm="1">
        <f t="array" ref="X92">Common_InputFunctions.Utility_DisplayArrayInTable(Fertiliser_SourceData.Fertiliser_Products_Data1(), FertiliserProducts[[#Headers],[Company]],1)</f>
        <v/>
      </c>
      <c r="Y92" s="170" t="str" cm="1">
        <f t="array" ref="Y92">Common_InputFunctions.Utility_DisplayArrayInTable(Fertiliser_SourceData.Fertiliser_Products_Data1(), FertiliserProducts[[#Headers],[Company]],1)</f>
        <v/>
      </c>
      <c r="Z92" s="170" t="str" cm="1">
        <f t="array" ref="Z92">Common_InputFunctions.Utility_DisplayArrayInTable(Fertiliser_SourceData.Fertiliser_Products_Data1(), FertiliserProducts[[#Headers],[Company]],1)</f>
        <v/>
      </c>
      <c r="AA92" s="170" t="str" cm="1">
        <f t="array" ref="AA92">Common_InputFunctions.Utility_DisplayArrayInTable(Fertiliser_SourceData.Fertiliser_Products_Data1(), FertiliserProducts[[#Headers],[Company]],1)</f>
        <v/>
      </c>
      <c r="AB92" s="170" t="str" cm="1">
        <f t="array" ref="AB92">Common_InputFunctions.Utility_DisplayArrayInTable(Fertiliser_SourceData.Fertiliser_Products_Data1(), FertiliserProducts[[#Headers],[Company]],1)</f>
        <v/>
      </c>
      <c r="AC92" s="170" t="str" cm="1">
        <f t="array" ref="AC92">Common_InputFunctions.Utility_DisplayArrayInTable(Fertiliser_SourceData.Fertiliser_Products_Data1(), FertiliserProducts[[#Headers],[Company]],1)</f>
        <v/>
      </c>
      <c r="AD92" s="170" t="str" cm="1">
        <f t="array" ref="AD92">Common_InputFunctions.Utility_DisplayArrayInTable(Fertiliser_SourceData.Fertiliser_Products_Data1(), FertiliserProducts[[#Headers],[Company]],1)</f>
        <v/>
      </c>
      <c r="AE92" s="170" t="str" cm="1">
        <f t="array" ref="AE92">Common_InputFunctions.Utility_DisplayArrayInTable(Fertiliser_SourceData.Fertiliser_Products_Data1(), FertiliserProducts[[#Headers],[Company]],1)</f>
        <v/>
      </c>
      <c r="AF92" s="170" t="str" cm="1">
        <f t="array" ref="AF92">Common_InputFunctions.Utility_DisplayArrayInTable(Fertiliser_SourceData.Fertiliser_Products_Data1(), FertiliserProducts[[#Headers],[Company]],1)</f>
        <v/>
      </c>
      <c r="AG92" s="170" t="str" cm="1">
        <f t="array" ref="AG92">Common_InputFunctions.Utility_DisplayArrayInTable(Fertiliser_SourceData.Fertiliser_Products_Data1(), FertiliserProducts[[#Headers],[Company]],1)</f>
        <v/>
      </c>
      <c r="AH92" s="170" t="str" cm="1">
        <f t="array" ref="AH92">Common_InputFunctions.Utility_DisplayArrayInTable(Fertiliser_SourceData.Fertiliser_Products_Data1(), FertiliserProducts[[#Headers],[Company]],1)</f>
        <v/>
      </c>
      <c r="AK92" s="1"/>
      <c r="AL92" s="1"/>
      <c r="AM92" s="1"/>
    </row>
    <row r="93" spans="1:39" ht="20.100000000000001" customHeight="1" x14ac:dyDescent="0.2">
      <c r="D93" s="170" t="str" cm="1">
        <f t="array" ref="D93">Common_InputFunctions.Utility_DisplayArrayInTable(Fertiliser_SourceData.Fertiliser_Products_Data1(), FertiliserProducts[[#Headers],[Company]],1)</f>
        <v>Campbells fertilisers Australia</v>
      </c>
      <c r="E93" s="170" t="str" cm="1">
        <f t="array" ref="E93">Common_InputFunctions.Utility_DisplayArrayInTable(Fertiliser_SourceData.Fertiliser_Products_Data1(), FertiliserProducts[[#Headers],[Company]],1)</f>
        <v>Aqua NitroCal</v>
      </c>
      <c r="F93" s="170" t="str" cm="1">
        <f t="array" ref="F93">Common_InputFunctions.Utility_DisplayArrayInTable(Fertiliser_SourceData.Fertiliser_Products_Data1(), FertiliserProducts[[#Headers],[Company]],1)</f>
        <v>L</v>
      </c>
      <c r="G93" s="170" cm="1">
        <f t="array" ref="G93">Common_InputFunctions.Utility_DisplayArrayInTable(Fertiliser_SourceData.Fertiliser_Products_Data1(), FertiliserProducts[[#Headers],[Company]],1)</f>
        <v>1.5</v>
      </c>
      <c r="H93" s="170" t="str" cm="1">
        <f t="array" ref="H93">Common_InputFunctions.Utility_DisplayArrayInTable(Fertiliser_SourceData.Fertiliser_Products_Data1(), FertiliserProducts[[#Headers],[Company]],1)</f>
        <v/>
      </c>
      <c r="I93" s="170" t="str" cm="1">
        <f t="array" ref="I93">Common_InputFunctions.Utility_DisplayArrayInTable(Fertiliser_SourceData.Fertiliser_Products_Data1(), FertiliserProducts[[#Headers],[Company]],1)</f>
        <v/>
      </c>
      <c r="J93" s="170" t="str" cm="1">
        <f t="array" ref="J93">Common_InputFunctions.Utility_DisplayArrayInTable(Fertiliser_SourceData.Fertiliser_Products_Data1(), FertiliserProducts[[#Headers],[Company]],1)</f>
        <v/>
      </c>
      <c r="K93" s="170" cm="1">
        <f t="array" ref="K93">Common_InputFunctions.Utility_DisplayArrayInTable(Fertiliser_SourceData.Fertiliser_Products_Data1(), FertiliserProducts[[#Headers],[Company]],1)</f>
        <v>13.2</v>
      </c>
      <c r="L93" s="170" t="str" cm="1">
        <f t="array" ref="L93">Common_InputFunctions.Utility_DisplayArrayInTable(Fertiliser_SourceData.Fertiliser_Products_Data1(), FertiliserProducts[[#Headers],[Company]],1)</f>
        <v/>
      </c>
      <c r="M93" s="170" t="str" cm="1">
        <f t="array" ref="M93">Common_InputFunctions.Utility_DisplayArrayInTable(Fertiliser_SourceData.Fertiliser_Products_Data1(), FertiliserProducts[[#Headers],[Company]],1)</f>
        <v/>
      </c>
      <c r="N93" s="170" t="str" cm="1">
        <f t="array" ref="N93">Common_InputFunctions.Utility_DisplayArrayInTable(Fertiliser_SourceData.Fertiliser_Products_Data1(), FertiliserProducts[[#Headers],[Company]],1)</f>
        <v/>
      </c>
      <c r="O93" s="170" t="str" cm="1">
        <f t="array" ref="O93">Common_InputFunctions.Utility_DisplayArrayInTable(Fertiliser_SourceData.Fertiliser_Products_Data1(), FertiliserProducts[[#Headers],[Company]],1)</f>
        <v>Calcium</v>
      </c>
      <c r="P93" s="170" cm="1">
        <f t="array" ref="P93">Common_InputFunctions.Utility_DisplayArrayInTable(Fertiliser_SourceData.Fertiliser_Products_Data1(), FertiliserProducts[[#Headers],[Company]],1)</f>
        <v>0.16200000000000001</v>
      </c>
      <c r="Q93" s="170" t="str" cm="1">
        <f t="array" ref="Q93">Common_InputFunctions.Utility_DisplayArrayInTable(Fertiliser_SourceData.Fertiliser_Products_Data1(), FertiliserProducts[[#Headers],[Company]],1)</f>
        <v>Nitrogen - Nitrate</v>
      </c>
      <c r="R93" s="170" cm="1">
        <f t="array" ref="R93">Common_InputFunctions.Utility_DisplayArrayInTable(Fertiliser_SourceData.Fertiliser_Products_Data1(), FertiliserProducts[[#Headers],[Company]],1)</f>
        <v>0.13200000000000001</v>
      </c>
      <c r="S93" s="170" t="str" cm="1">
        <f t="array" ref="S93">Common_InputFunctions.Utility_DisplayArrayInTable(Fertiliser_SourceData.Fertiliser_Products_Data1(), FertiliserProducts[[#Headers],[Company]],1)</f>
        <v/>
      </c>
      <c r="T93" s="170" t="str" cm="1">
        <f t="array" ref="T93">Common_InputFunctions.Utility_DisplayArrayInTable(Fertiliser_SourceData.Fertiliser_Products_Data1(), FertiliserProducts[[#Headers],[Company]],1)</f>
        <v/>
      </c>
      <c r="U93" s="170" t="str" cm="1">
        <f t="array" ref="U93">Common_InputFunctions.Utility_DisplayArrayInTable(Fertiliser_SourceData.Fertiliser_Products_Data1(), FertiliserProducts[[#Headers],[Company]],1)</f>
        <v/>
      </c>
      <c r="V93" s="170" t="str" cm="1">
        <f t="array" ref="V93">Common_InputFunctions.Utility_DisplayArrayInTable(Fertiliser_SourceData.Fertiliser_Products_Data1(), FertiliserProducts[[#Headers],[Company]],1)</f>
        <v/>
      </c>
      <c r="W93" s="170" t="str" cm="1">
        <f t="array" ref="W93">Common_InputFunctions.Utility_DisplayArrayInTable(Fertiliser_SourceData.Fertiliser_Products_Data1(), FertiliserProducts[[#Headers],[Company]],1)</f>
        <v/>
      </c>
      <c r="X93" s="170" t="str" cm="1">
        <f t="array" ref="X93">Common_InputFunctions.Utility_DisplayArrayInTable(Fertiliser_SourceData.Fertiliser_Products_Data1(), FertiliserProducts[[#Headers],[Company]],1)</f>
        <v/>
      </c>
      <c r="Y93" s="170" t="str" cm="1">
        <f t="array" ref="Y93">Common_InputFunctions.Utility_DisplayArrayInTable(Fertiliser_SourceData.Fertiliser_Products_Data1(), FertiliserProducts[[#Headers],[Company]],1)</f>
        <v/>
      </c>
      <c r="Z93" s="170" t="str" cm="1">
        <f t="array" ref="Z93">Common_InputFunctions.Utility_DisplayArrayInTable(Fertiliser_SourceData.Fertiliser_Products_Data1(), FertiliserProducts[[#Headers],[Company]],1)</f>
        <v/>
      </c>
      <c r="AA93" s="170" t="str" cm="1">
        <f t="array" ref="AA93">Common_InputFunctions.Utility_DisplayArrayInTable(Fertiliser_SourceData.Fertiliser_Products_Data1(), FertiliserProducts[[#Headers],[Company]],1)</f>
        <v/>
      </c>
      <c r="AB93" s="170" t="str" cm="1">
        <f t="array" ref="AB93">Common_InputFunctions.Utility_DisplayArrayInTable(Fertiliser_SourceData.Fertiliser_Products_Data1(), FertiliserProducts[[#Headers],[Company]],1)</f>
        <v/>
      </c>
      <c r="AC93" s="170" t="str" cm="1">
        <f t="array" ref="AC93">Common_InputFunctions.Utility_DisplayArrayInTable(Fertiliser_SourceData.Fertiliser_Products_Data1(), FertiliserProducts[[#Headers],[Company]],1)</f>
        <v/>
      </c>
      <c r="AD93" s="170" t="str" cm="1">
        <f t="array" ref="AD93">Common_InputFunctions.Utility_DisplayArrayInTable(Fertiliser_SourceData.Fertiliser_Products_Data1(), FertiliserProducts[[#Headers],[Company]],1)</f>
        <v/>
      </c>
      <c r="AE93" s="170" t="str" cm="1">
        <f t="array" ref="AE93">Common_InputFunctions.Utility_DisplayArrayInTable(Fertiliser_SourceData.Fertiliser_Products_Data1(), FertiliserProducts[[#Headers],[Company]],1)</f>
        <v/>
      </c>
      <c r="AF93" s="170" t="str" cm="1">
        <f t="array" ref="AF93">Common_InputFunctions.Utility_DisplayArrayInTable(Fertiliser_SourceData.Fertiliser_Products_Data1(), FertiliserProducts[[#Headers],[Company]],1)</f>
        <v/>
      </c>
      <c r="AG93" s="170" t="str" cm="1">
        <f t="array" ref="AG93">Common_InputFunctions.Utility_DisplayArrayInTable(Fertiliser_SourceData.Fertiliser_Products_Data1(), FertiliserProducts[[#Headers],[Company]],1)</f>
        <v/>
      </c>
      <c r="AH93" s="170" t="str" cm="1">
        <f t="array" ref="AH93">Common_InputFunctions.Utility_DisplayArrayInTable(Fertiliser_SourceData.Fertiliser_Products_Data1(), FertiliserProducts[[#Headers],[Company]],1)</f>
        <v/>
      </c>
      <c r="AK93" s="1"/>
      <c r="AL93" s="1"/>
      <c r="AM93" s="1"/>
    </row>
    <row r="94" spans="1:39" ht="20.100000000000001" customHeight="1" x14ac:dyDescent="0.2">
      <c r="D94" s="170" t="str" cm="1">
        <f t="array" ref="D94">Common_InputFunctions.Utility_DisplayArrayInTable(Fertiliser_SourceData.Fertiliser_Products_Data1(), FertiliserProducts[[#Headers],[Company]],1)</f>
        <v>Campbells fertilisers Australia</v>
      </c>
      <c r="E94" s="170" t="str" cm="1">
        <f t="array" ref="E94">Common_InputFunctions.Utility_DisplayArrayInTable(Fertiliser_SourceData.Fertiliser_Products_Data1(), FertiliserProducts[[#Headers],[Company]],1)</f>
        <v>Aqua NitroCal (VI)</v>
      </c>
      <c r="F94" s="170" t="str" cm="1">
        <f t="array" ref="F94">Common_InputFunctions.Utility_DisplayArrayInTable(Fertiliser_SourceData.Fertiliser_Products_Data1(), FertiliserProducts[[#Headers],[Company]],1)</f>
        <v>L</v>
      </c>
      <c r="G94" s="170" cm="1">
        <f t="array" ref="G94">Common_InputFunctions.Utility_DisplayArrayInTable(Fertiliser_SourceData.Fertiliser_Products_Data1(), FertiliserProducts[[#Headers],[Company]],1)</f>
        <v>1.5</v>
      </c>
      <c r="H94" s="170" t="str" cm="1">
        <f t="array" ref="H94">Common_InputFunctions.Utility_DisplayArrayInTable(Fertiliser_SourceData.Fertiliser_Products_Data1(), FertiliserProducts[[#Headers],[Company]],1)</f>
        <v/>
      </c>
      <c r="I94" s="170" t="str" cm="1">
        <f t="array" ref="I94">Common_InputFunctions.Utility_DisplayArrayInTable(Fertiliser_SourceData.Fertiliser_Products_Data1(), FertiliserProducts[[#Headers],[Company]],1)</f>
        <v/>
      </c>
      <c r="J94" s="170" t="str" cm="1">
        <f t="array" ref="J94">Common_InputFunctions.Utility_DisplayArrayInTable(Fertiliser_SourceData.Fertiliser_Products_Data1(), FertiliserProducts[[#Headers],[Company]],1)</f>
        <v/>
      </c>
      <c r="K94" s="170" cm="1">
        <f t="array" ref="K94">Common_InputFunctions.Utility_DisplayArrayInTable(Fertiliser_SourceData.Fertiliser_Products_Data1(), FertiliserProducts[[#Headers],[Company]],1)</f>
        <v>13.2</v>
      </c>
      <c r="L94" s="170" t="str" cm="1">
        <f t="array" ref="L94">Common_InputFunctions.Utility_DisplayArrayInTable(Fertiliser_SourceData.Fertiliser_Products_Data1(), FertiliserProducts[[#Headers],[Company]],1)</f>
        <v/>
      </c>
      <c r="M94" s="170" t="str" cm="1">
        <f t="array" ref="M94">Common_InputFunctions.Utility_DisplayArrayInTable(Fertiliser_SourceData.Fertiliser_Products_Data1(), FertiliserProducts[[#Headers],[Company]],1)</f>
        <v/>
      </c>
      <c r="N94" s="170" t="str" cm="1">
        <f t="array" ref="N94">Common_InputFunctions.Utility_DisplayArrayInTable(Fertiliser_SourceData.Fertiliser_Products_Data1(), FertiliserProducts[[#Headers],[Company]],1)</f>
        <v/>
      </c>
      <c r="O94" s="170" t="str" cm="1">
        <f t="array" ref="O94">Common_InputFunctions.Utility_DisplayArrayInTable(Fertiliser_SourceData.Fertiliser_Products_Data1(), FertiliserProducts[[#Headers],[Company]],1)</f>
        <v>Calcium</v>
      </c>
      <c r="P94" s="170" cm="1">
        <f t="array" ref="P94">Common_InputFunctions.Utility_DisplayArrayInTable(Fertiliser_SourceData.Fertiliser_Products_Data1(), FertiliserProducts[[#Headers],[Company]],1)</f>
        <v>0.187</v>
      </c>
      <c r="Q94" s="170" t="str" cm="1">
        <f t="array" ref="Q94">Common_InputFunctions.Utility_DisplayArrayInTable(Fertiliser_SourceData.Fertiliser_Products_Data1(), FertiliserProducts[[#Headers],[Company]],1)</f>
        <v>Nitrogen - Nitrate</v>
      </c>
      <c r="R94" s="170" cm="1">
        <f t="array" ref="R94">Common_InputFunctions.Utility_DisplayArrayInTable(Fertiliser_SourceData.Fertiliser_Products_Data1(), FertiliserProducts[[#Headers],[Company]],1)</f>
        <v>0.13200000000000001</v>
      </c>
      <c r="S94" s="170" t="str" cm="1">
        <f t="array" ref="S94">Common_InputFunctions.Utility_DisplayArrayInTable(Fertiliser_SourceData.Fertiliser_Products_Data1(), FertiliserProducts[[#Headers],[Company]],1)</f>
        <v/>
      </c>
      <c r="T94" s="170" t="str" cm="1">
        <f t="array" ref="T94">Common_InputFunctions.Utility_DisplayArrayInTable(Fertiliser_SourceData.Fertiliser_Products_Data1(), FertiliserProducts[[#Headers],[Company]],1)</f>
        <v/>
      </c>
      <c r="U94" s="170" t="str" cm="1">
        <f t="array" ref="U94">Common_InputFunctions.Utility_DisplayArrayInTable(Fertiliser_SourceData.Fertiliser_Products_Data1(), FertiliserProducts[[#Headers],[Company]],1)</f>
        <v/>
      </c>
      <c r="V94" s="170" t="str" cm="1">
        <f t="array" ref="V94">Common_InputFunctions.Utility_DisplayArrayInTable(Fertiliser_SourceData.Fertiliser_Products_Data1(), FertiliserProducts[[#Headers],[Company]],1)</f>
        <v/>
      </c>
      <c r="W94" s="170" t="str" cm="1">
        <f t="array" ref="W94">Common_InputFunctions.Utility_DisplayArrayInTable(Fertiliser_SourceData.Fertiliser_Products_Data1(), FertiliserProducts[[#Headers],[Company]],1)</f>
        <v/>
      </c>
      <c r="X94" s="170" t="str" cm="1">
        <f t="array" ref="X94">Common_InputFunctions.Utility_DisplayArrayInTable(Fertiliser_SourceData.Fertiliser_Products_Data1(), FertiliserProducts[[#Headers],[Company]],1)</f>
        <v/>
      </c>
      <c r="Y94" s="170" t="str" cm="1">
        <f t="array" ref="Y94">Common_InputFunctions.Utility_DisplayArrayInTable(Fertiliser_SourceData.Fertiliser_Products_Data1(), FertiliserProducts[[#Headers],[Company]],1)</f>
        <v/>
      </c>
      <c r="Z94" s="170" t="str" cm="1">
        <f t="array" ref="Z94">Common_InputFunctions.Utility_DisplayArrayInTable(Fertiliser_SourceData.Fertiliser_Products_Data1(), FertiliserProducts[[#Headers],[Company]],1)</f>
        <v/>
      </c>
      <c r="AA94" s="170" t="str" cm="1">
        <f t="array" ref="AA94">Common_InputFunctions.Utility_DisplayArrayInTable(Fertiliser_SourceData.Fertiliser_Products_Data1(), FertiliserProducts[[#Headers],[Company]],1)</f>
        <v/>
      </c>
      <c r="AB94" s="170" t="str" cm="1">
        <f t="array" ref="AB94">Common_InputFunctions.Utility_DisplayArrayInTable(Fertiliser_SourceData.Fertiliser_Products_Data1(), FertiliserProducts[[#Headers],[Company]],1)</f>
        <v/>
      </c>
      <c r="AC94" s="170" t="str" cm="1">
        <f t="array" ref="AC94">Common_InputFunctions.Utility_DisplayArrayInTable(Fertiliser_SourceData.Fertiliser_Products_Data1(), FertiliserProducts[[#Headers],[Company]],1)</f>
        <v/>
      </c>
      <c r="AD94" s="170" t="str" cm="1">
        <f t="array" ref="AD94">Common_InputFunctions.Utility_DisplayArrayInTable(Fertiliser_SourceData.Fertiliser_Products_Data1(), FertiliserProducts[[#Headers],[Company]],1)</f>
        <v/>
      </c>
      <c r="AE94" s="170" t="str" cm="1">
        <f t="array" ref="AE94">Common_InputFunctions.Utility_DisplayArrayInTable(Fertiliser_SourceData.Fertiliser_Products_Data1(), FertiliserProducts[[#Headers],[Company]],1)</f>
        <v/>
      </c>
      <c r="AF94" s="170" t="str" cm="1">
        <f t="array" ref="AF94">Common_InputFunctions.Utility_DisplayArrayInTable(Fertiliser_SourceData.Fertiliser_Products_Data1(), FertiliserProducts[[#Headers],[Company]],1)</f>
        <v/>
      </c>
      <c r="AG94" s="170" t="str" cm="1">
        <f t="array" ref="AG94">Common_InputFunctions.Utility_DisplayArrayInTable(Fertiliser_SourceData.Fertiliser_Products_Data1(), FertiliserProducts[[#Headers],[Company]],1)</f>
        <v/>
      </c>
      <c r="AH94" s="170" t="str" cm="1">
        <f t="array" ref="AH94">Common_InputFunctions.Utility_DisplayArrayInTable(Fertiliser_SourceData.Fertiliser_Products_Data1(), FertiliserProducts[[#Headers],[Company]],1)</f>
        <v/>
      </c>
      <c r="AK94" s="1"/>
      <c r="AL94" s="1"/>
      <c r="AM94" s="1"/>
    </row>
    <row r="95" spans="1:39" ht="20.100000000000001" customHeight="1" x14ac:dyDescent="0.2">
      <c r="D95" s="170" t="str" cm="1">
        <f t="array" ref="D95">Common_InputFunctions.Utility_DisplayArrayInTable(Fertiliser_SourceData.Fertiliser_Products_Data1(), FertiliserProducts[[#Headers],[Company]],1)</f>
        <v>Campbells fertilisers Australia</v>
      </c>
      <c r="E95" s="170" t="str" cm="1">
        <f t="array" ref="E95">Common_InputFunctions.Utility_DisplayArrayInTable(Fertiliser_SourceData.Fertiliser_Products_Data1(), FertiliserProducts[[#Headers],[Company]],1)</f>
        <v>Aqua NitroCal Ultimate</v>
      </c>
      <c r="F95" s="170" t="str" cm="1">
        <f t="array" ref="F95">Common_InputFunctions.Utility_DisplayArrayInTable(Fertiliser_SourceData.Fertiliser_Products_Data1(), FertiliserProducts[[#Headers],[Company]],1)</f>
        <v>L</v>
      </c>
      <c r="G95" s="170" cm="1">
        <f t="array" ref="G95">Common_InputFunctions.Utility_DisplayArrayInTable(Fertiliser_SourceData.Fertiliser_Products_Data1(), FertiliserProducts[[#Headers],[Company]],1)</f>
        <v>1.5</v>
      </c>
      <c r="H95" s="170" t="str" cm="1">
        <f t="array" ref="H95">Common_InputFunctions.Utility_DisplayArrayInTable(Fertiliser_SourceData.Fertiliser_Products_Data1(), FertiliserProducts[[#Headers],[Company]],1)</f>
        <v/>
      </c>
      <c r="I95" s="170" t="str" cm="1">
        <f t="array" ref="I95">Common_InputFunctions.Utility_DisplayArrayInTable(Fertiliser_SourceData.Fertiliser_Products_Data1(), FertiliserProducts[[#Headers],[Company]],1)</f>
        <v/>
      </c>
      <c r="J95" s="170" t="str" cm="1">
        <f t="array" ref="J95">Common_InputFunctions.Utility_DisplayArrayInTable(Fertiliser_SourceData.Fertiliser_Products_Data1(), FertiliserProducts[[#Headers],[Company]],1)</f>
        <v/>
      </c>
      <c r="K95" s="170" cm="1">
        <f t="array" ref="K95">Common_InputFunctions.Utility_DisplayArrayInTable(Fertiliser_SourceData.Fertiliser_Products_Data1(), FertiliserProducts[[#Headers],[Company]],1)</f>
        <v>13.2</v>
      </c>
      <c r="L95" s="170" t="str" cm="1">
        <f t="array" ref="L95">Common_InputFunctions.Utility_DisplayArrayInTable(Fertiliser_SourceData.Fertiliser_Products_Data1(), FertiliserProducts[[#Headers],[Company]],1)</f>
        <v/>
      </c>
      <c r="M95" s="170" t="str" cm="1">
        <f t="array" ref="M95">Common_InputFunctions.Utility_DisplayArrayInTable(Fertiliser_SourceData.Fertiliser_Products_Data1(), FertiliserProducts[[#Headers],[Company]],1)</f>
        <v/>
      </c>
      <c r="N95" s="170" t="str" cm="1">
        <f t="array" ref="N95">Common_InputFunctions.Utility_DisplayArrayInTable(Fertiliser_SourceData.Fertiliser_Products_Data1(), FertiliserProducts[[#Headers],[Company]],1)</f>
        <v/>
      </c>
      <c r="O95" s="170" t="str" cm="1">
        <f t="array" ref="O95">Common_InputFunctions.Utility_DisplayArrayInTable(Fertiliser_SourceData.Fertiliser_Products_Data1(), FertiliserProducts[[#Headers],[Company]],1)</f>
        <v>Calcium</v>
      </c>
      <c r="P95" s="170" cm="1">
        <f t="array" ref="P95">Common_InputFunctions.Utility_DisplayArrayInTable(Fertiliser_SourceData.Fertiliser_Products_Data1(), FertiliserProducts[[#Headers],[Company]],1)</f>
        <v>0.183</v>
      </c>
      <c r="Q95" s="170" t="str" cm="1">
        <f t="array" ref="Q95">Common_InputFunctions.Utility_DisplayArrayInTable(Fertiliser_SourceData.Fertiliser_Products_Data1(), FertiliserProducts[[#Headers],[Company]],1)</f>
        <v>Nitrogen - Nitrate</v>
      </c>
      <c r="R95" s="170" cm="1">
        <f t="array" ref="R95">Common_InputFunctions.Utility_DisplayArrayInTable(Fertiliser_SourceData.Fertiliser_Products_Data1(), FertiliserProducts[[#Headers],[Company]],1)</f>
        <v>0.13200000000000001</v>
      </c>
      <c r="S95" s="170" t="str" cm="1">
        <f t="array" ref="S95">Common_InputFunctions.Utility_DisplayArrayInTable(Fertiliser_SourceData.Fertiliser_Products_Data1(), FertiliserProducts[[#Headers],[Company]],1)</f>
        <v/>
      </c>
      <c r="T95" s="170" t="str" cm="1">
        <f t="array" ref="T95">Common_InputFunctions.Utility_DisplayArrayInTable(Fertiliser_SourceData.Fertiliser_Products_Data1(), FertiliserProducts[[#Headers],[Company]],1)</f>
        <v/>
      </c>
      <c r="U95" s="170" t="str" cm="1">
        <f t="array" ref="U95">Common_InputFunctions.Utility_DisplayArrayInTable(Fertiliser_SourceData.Fertiliser_Products_Data1(), FertiliserProducts[[#Headers],[Company]],1)</f>
        <v/>
      </c>
      <c r="V95" s="170" t="str" cm="1">
        <f t="array" ref="V95">Common_InputFunctions.Utility_DisplayArrayInTable(Fertiliser_SourceData.Fertiliser_Products_Data1(), FertiliserProducts[[#Headers],[Company]],1)</f>
        <v/>
      </c>
      <c r="W95" s="170" t="str" cm="1">
        <f t="array" ref="W95">Common_InputFunctions.Utility_DisplayArrayInTable(Fertiliser_SourceData.Fertiliser_Products_Data1(), FertiliserProducts[[#Headers],[Company]],1)</f>
        <v/>
      </c>
      <c r="X95" s="170" t="str" cm="1">
        <f t="array" ref="X95">Common_InputFunctions.Utility_DisplayArrayInTable(Fertiliser_SourceData.Fertiliser_Products_Data1(), FertiliserProducts[[#Headers],[Company]],1)</f>
        <v/>
      </c>
      <c r="Y95" s="170" t="str" cm="1">
        <f t="array" ref="Y95">Common_InputFunctions.Utility_DisplayArrayInTable(Fertiliser_SourceData.Fertiliser_Products_Data1(), FertiliserProducts[[#Headers],[Company]],1)</f>
        <v/>
      </c>
      <c r="Z95" s="170" t="str" cm="1">
        <f t="array" ref="Z95">Common_InputFunctions.Utility_DisplayArrayInTable(Fertiliser_SourceData.Fertiliser_Products_Data1(), FertiliserProducts[[#Headers],[Company]],1)</f>
        <v/>
      </c>
      <c r="AA95" s="170" t="str" cm="1">
        <f t="array" ref="AA95">Common_InputFunctions.Utility_DisplayArrayInTable(Fertiliser_SourceData.Fertiliser_Products_Data1(), FertiliserProducts[[#Headers],[Company]],1)</f>
        <v/>
      </c>
      <c r="AB95" s="170" t="str" cm="1">
        <f t="array" ref="AB95">Common_InputFunctions.Utility_DisplayArrayInTable(Fertiliser_SourceData.Fertiliser_Products_Data1(), FertiliserProducts[[#Headers],[Company]],1)</f>
        <v/>
      </c>
      <c r="AC95" s="170" t="str" cm="1">
        <f t="array" ref="AC95">Common_InputFunctions.Utility_DisplayArrayInTable(Fertiliser_SourceData.Fertiliser_Products_Data1(), FertiliserProducts[[#Headers],[Company]],1)</f>
        <v/>
      </c>
      <c r="AD95" s="170" t="str" cm="1">
        <f t="array" ref="AD95">Common_InputFunctions.Utility_DisplayArrayInTable(Fertiliser_SourceData.Fertiliser_Products_Data1(), FertiliserProducts[[#Headers],[Company]],1)</f>
        <v/>
      </c>
      <c r="AE95" s="170" t="str" cm="1">
        <f t="array" ref="AE95">Common_InputFunctions.Utility_DisplayArrayInTable(Fertiliser_SourceData.Fertiliser_Products_Data1(), FertiliserProducts[[#Headers],[Company]],1)</f>
        <v/>
      </c>
      <c r="AF95" s="170" t="str" cm="1">
        <f t="array" ref="AF95">Common_InputFunctions.Utility_DisplayArrayInTable(Fertiliser_SourceData.Fertiliser_Products_Data1(), FertiliserProducts[[#Headers],[Company]],1)</f>
        <v/>
      </c>
      <c r="AG95" s="170" t="str" cm="1">
        <f t="array" ref="AG95">Common_InputFunctions.Utility_DisplayArrayInTable(Fertiliser_SourceData.Fertiliser_Products_Data1(), FertiliserProducts[[#Headers],[Company]],1)</f>
        <v/>
      </c>
      <c r="AH95" s="170" t="str" cm="1">
        <f t="array" ref="AH95">Common_InputFunctions.Utility_DisplayArrayInTable(Fertiliser_SourceData.Fertiliser_Products_Data1(), FertiliserProducts[[#Headers],[Company]],1)</f>
        <v/>
      </c>
      <c r="AK95" s="1"/>
      <c r="AL95" s="1"/>
      <c r="AM95" s="1"/>
    </row>
    <row r="96" spans="1:39" ht="20.100000000000001" customHeight="1" x14ac:dyDescent="0.2">
      <c r="D96" s="170" t="str" cm="1">
        <f t="array" ref="D96">Common_InputFunctions.Utility_DisplayArrayInTable(Fertiliser_SourceData.Fertiliser_Products_Data1(), FertiliserProducts[[#Headers],[Company]],1)</f>
        <v>Campbells fertilisers Australia</v>
      </c>
      <c r="E96" s="170" t="str" cm="1">
        <f t="array" ref="E96">Common_InputFunctions.Utility_DisplayArrayInTable(Fertiliser_SourceData.Fertiliser_Products_Data1(), FertiliserProducts[[#Headers],[Company]],1)</f>
        <v>Aqua Start</v>
      </c>
      <c r="F96" s="170" t="str" cm="1">
        <f t="array" ref="F96">Common_InputFunctions.Utility_DisplayArrayInTable(Fertiliser_SourceData.Fertiliser_Products_Data1(), FertiliserProducts[[#Headers],[Company]],1)</f>
        <v>L</v>
      </c>
      <c r="G96" s="170" cm="1">
        <f t="array" ref="G96">Common_InputFunctions.Utility_DisplayArrayInTable(Fertiliser_SourceData.Fertiliser_Products_Data1(), FertiliserProducts[[#Headers],[Company]],1)</f>
        <v>1.25</v>
      </c>
      <c r="H96" s="170" t="str" cm="1">
        <f t="array" ref="H96">Common_InputFunctions.Utility_DisplayArrayInTable(Fertiliser_SourceData.Fertiliser_Products_Data1(), FertiliserProducts[[#Headers],[Company]],1)</f>
        <v/>
      </c>
      <c r="I96" s="170" t="str" cm="1">
        <f t="array" ref="I96">Common_InputFunctions.Utility_DisplayArrayInTable(Fertiliser_SourceData.Fertiliser_Products_Data1(), FertiliserProducts[[#Headers],[Company]],1)</f>
        <v/>
      </c>
      <c r="J96" s="170" t="str" cm="1">
        <f t="array" ref="J96">Common_InputFunctions.Utility_DisplayArrayInTable(Fertiliser_SourceData.Fertiliser_Products_Data1(), FertiliserProducts[[#Headers],[Company]],1)</f>
        <v/>
      </c>
      <c r="K96" s="170" cm="1">
        <f t="array" ref="K96">Common_InputFunctions.Utility_DisplayArrayInTable(Fertiliser_SourceData.Fertiliser_Products_Data1(), FertiliserProducts[[#Headers],[Company]],1)</f>
        <v>10.3</v>
      </c>
      <c r="L96" s="170" cm="1">
        <f t="array" ref="L96">Common_InputFunctions.Utility_DisplayArrayInTable(Fertiliser_SourceData.Fertiliser_Products_Data1(), FertiliserProducts[[#Headers],[Company]],1)</f>
        <v>10</v>
      </c>
      <c r="M96" s="170" cm="1">
        <f t="array" ref="M96">Common_InputFunctions.Utility_DisplayArrayInTable(Fertiliser_SourceData.Fertiliser_Products_Data1(), FertiliserProducts[[#Headers],[Company]],1)</f>
        <v>3.4</v>
      </c>
      <c r="N96" s="170" t="str" cm="1">
        <f t="array" ref="N96">Common_InputFunctions.Utility_DisplayArrayInTable(Fertiliser_SourceData.Fertiliser_Products_Data1(), FertiliserProducts[[#Headers],[Company]],1)</f>
        <v/>
      </c>
      <c r="O96" s="170" t="str" cm="1">
        <f t="array" ref="O96">Common_InputFunctions.Utility_DisplayArrayInTable(Fertiliser_SourceData.Fertiliser_Products_Data1(), FertiliserProducts[[#Headers],[Company]],1)</f>
        <v>Nitrogen - Generic</v>
      </c>
      <c r="P96" s="170" cm="1">
        <f t="array" ref="P96">Common_InputFunctions.Utility_DisplayArrayInTable(Fertiliser_SourceData.Fertiliser_Products_Data1(), FertiliserProducts[[#Headers],[Company]],1)</f>
        <v>0.10299999999999999</v>
      </c>
      <c r="Q96" s="170" t="str" cm="1">
        <f t="array" ref="Q96">Common_InputFunctions.Utility_DisplayArrayInTable(Fertiliser_SourceData.Fertiliser_Products_Data1(), FertiliserProducts[[#Headers],[Company]],1)</f>
        <v>Phosphorus - Generic</v>
      </c>
      <c r="R96" s="170" cm="1">
        <f t="array" ref="R96">Common_InputFunctions.Utility_DisplayArrayInTable(Fertiliser_SourceData.Fertiliser_Products_Data1(), FertiliserProducts[[#Headers],[Company]],1)</f>
        <v>0.1</v>
      </c>
      <c r="S96" s="170" t="str" cm="1">
        <f t="array" ref="S96">Common_InputFunctions.Utility_DisplayArrayInTable(Fertiliser_SourceData.Fertiliser_Products_Data1(), FertiliserProducts[[#Headers],[Company]],1)</f>
        <v>Potassium - Generic</v>
      </c>
      <c r="T96" s="170" cm="1">
        <f t="array" ref="T96">Common_InputFunctions.Utility_DisplayArrayInTable(Fertiliser_SourceData.Fertiliser_Products_Data1(), FertiliserProducts[[#Headers],[Company]],1)</f>
        <v>3.4000000000000002E-2</v>
      </c>
      <c r="U96" s="170" t="str" cm="1">
        <f t="array" ref="U96">Common_InputFunctions.Utility_DisplayArrayInTable(Fertiliser_SourceData.Fertiliser_Products_Data1(), FertiliserProducts[[#Headers],[Company]],1)</f>
        <v/>
      </c>
      <c r="V96" s="170" t="str" cm="1">
        <f t="array" ref="V96">Common_InputFunctions.Utility_DisplayArrayInTable(Fertiliser_SourceData.Fertiliser_Products_Data1(), FertiliserProducts[[#Headers],[Company]],1)</f>
        <v/>
      </c>
      <c r="W96" s="170" t="str" cm="1">
        <f t="array" ref="W96">Common_InputFunctions.Utility_DisplayArrayInTable(Fertiliser_SourceData.Fertiliser_Products_Data1(), FertiliserProducts[[#Headers],[Company]],1)</f>
        <v/>
      </c>
      <c r="X96" s="170" t="str" cm="1">
        <f t="array" ref="X96">Common_InputFunctions.Utility_DisplayArrayInTable(Fertiliser_SourceData.Fertiliser_Products_Data1(), FertiliserProducts[[#Headers],[Company]],1)</f>
        <v/>
      </c>
      <c r="Y96" s="170" t="str" cm="1">
        <f t="array" ref="Y96">Common_InputFunctions.Utility_DisplayArrayInTable(Fertiliser_SourceData.Fertiliser_Products_Data1(), FertiliserProducts[[#Headers],[Company]],1)</f>
        <v/>
      </c>
      <c r="Z96" s="170" t="str" cm="1">
        <f t="array" ref="Z96">Common_InputFunctions.Utility_DisplayArrayInTable(Fertiliser_SourceData.Fertiliser_Products_Data1(), FertiliserProducts[[#Headers],[Company]],1)</f>
        <v/>
      </c>
      <c r="AA96" s="170" t="str" cm="1">
        <f t="array" ref="AA96">Common_InputFunctions.Utility_DisplayArrayInTable(Fertiliser_SourceData.Fertiliser_Products_Data1(), FertiliserProducts[[#Headers],[Company]],1)</f>
        <v/>
      </c>
      <c r="AB96" s="170" t="str" cm="1">
        <f t="array" ref="AB96">Common_InputFunctions.Utility_DisplayArrayInTable(Fertiliser_SourceData.Fertiliser_Products_Data1(), FertiliserProducts[[#Headers],[Company]],1)</f>
        <v/>
      </c>
      <c r="AC96" s="170" t="str" cm="1">
        <f t="array" ref="AC96">Common_InputFunctions.Utility_DisplayArrayInTable(Fertiliser_SourceData.Fertiliser_Products_Data1(), FertiliserProducts[[#Headers],[Company]],1)</f>
        <v/>
      </c>
      <c r="AD96" s="170" t="str" cm="1">
        <f t="array" ref="AD96">Common_InputFunctions.Utility_DisplayArrayInTable(Fertiliser_SourceData.Fertiliser_Products_Data1(), FertiliserProducts[[#Headers],[Company]],1)</f>
        <v/>
      </c>
      <c r="AE96" s="170" t="str" cm="1">
        <f t="array" ref="AE96">Common_InputFunctions.Utility_DisplayArrayInTable(Fertiliser_SourceData.Fertiliser_Products_Data1(), FertiliserProducts[[#Headers],[Company]],1)</f>
        <v/>
      </c>
      <c r="AF96" s="170" t="str" cm="1">
        <f t="array" ref="AF96">Common_InputFunctions.Utility_DisplayArrayInTable(Fertiliser_SourceData.Fertiliser_Products_Data1(), FertiliserProducts[[#Headers],[Company]],1)</f>
        <v/>
      </c>
      <c r="AG96" s="170" t="str" cm="1">
        <f t="array" ref="AG96">Common_InputFunctions.Utility_DisplayArrayInTable(Fertiliser_SourceData.Fertiliser_Products_Data1(), FertiliserProducts[[#Headers],[Company]],1)</f>
        <v/>
      </c>
      <c r="AH96" s="170" t="str" cm="1">
        <f t="array" ref="AH96">Common_InputFunctions.Utility_DisplayArrayInTable(Fertiliser_SourceData.Fertiliser_Products_Data1(), FertiliserProducts[[#Headers],[Company]],1)</f>
        <v/>
      </c>
      <c r="AK96" s="1"/>
      <c r="AL96" s="1"/>
      <c r="AM96" s="1"/>
    </row>
    <row r="97" spans="4:39" ht="20.100000000000001" customHeight="1" x14ac:dyDescent="0.2">
      <c r="D97" s="170" t="str" cm="1">
        <f t="array" ref="D97">Common_InputFunctions.Utility_DisplayArrayInTable(Fertiliser_SourceData.Fertiliser_Products_Data1(), FertiliserProducts[[#Headers],[Company]],1)</f>
        <v>Campbells fertilisers Australia</v>
      </c>
      <c r="E97" s="170" t="str" cm="1">
        <f t="array" ref="E97">Common_InputFunctions.Utility_DisplayArrayInTable(Fertiliser_SourceData.Fertiliser_Products_Data1(), FertiliserProducts[[#Headers],[Company]],1)</f>
        <v>Aqua Thio-Complete</v>
      </c>
      <c r="F97" s="170" t="str" cm="1">
        <f t="array" ref="F97">Common_InputFunctions.Utility_DisplayArrayInTable(Fertiliser_SourceData.Fertiliser_Products_Data1(), FertiliserProducts[[#Headers],[Company]],1)</f>
        <v>L</v>
      </c>
      <c r="G97" s="170" cm="1">
        <f t="array" ref="G97">Common_InputFunctions.Utility_DisplayArrayInTable(Fertiliser_SourceData.Fertiliser_Products_Data1(), FertiliserProducts[[#Headers],[Company]],1)</f>
        <v>1.43</v>
      </c>
      <c r="H97" s="170" t="str" cm="1">
        <f t="array" ref="H97">Common_InputFunctions.Utility_DisplayArrayInTable(Fertiliser_SourceData.Fertiliser_Products_Data1(), FertiliserProducts[[#Headers],[Company]],1)</f>
        <v/>
      </c>
      <c r="I97" s="170" t="str" cm="1">
        <f t="array" ref="I97">Common_InputFunctions.Utility_DisplayArrayInTable(Fertiliser_SourceData.Fertiliser_Products_Data1(), FertiliserProducts[[#Headers],[Company]],1)</f>
        <v/>
      </c>
      <c r="J97" s="170" t="str" cm="1">
        <f t="array" ref="J97">Common_InputFunctions.Utility_DisplayArrayInTable(Fertiliser_SourceData.Fertiliser_Products_Data1(), FertiliserProducts[[#Headers],[Company]],1)</f>
        <v/>
      </c>
      <c r="K97" s="170" cm="1">
        <f t="array" ref="K97">Common_InputFunctions.Utility_DisplayArrayInTable(Fertiliser_SourceData.Fertiliser_Products_Data1(), FertiliserProducts[[#Headers],[Company]],1)</f>
        <v>2.5</v>
      </c>
      <c r="L97" s="170" cm="1">
        <f t="array" ref="L97">Common_InputFunctions.Utility_DisplayArrayInTable(Fertiliser_SourceData.Fertiliser_Products_Data1(), FertiliserProducts[[#Headers],[Company]],1)</f>
        <v>3.8</v>
      </c>
      <c r="M97" s="170" cm="1">
        <f t="array" ref="M97">Common_InputFunctions.Utility_DisplayArrayInTable(Fertiliser_SourceData.Fertiliser_Products_Data1(), FertiliserProducts[[#Headers],[Company]],1)</f>
        <v>22.5</v>
      </c>
      <c r="N97" s="170" t="str" cm="1">
        <f t="array" ref="N97">Common_InputFunctions.Utility_DisplayArrayInTable(Fertiliser_SourceData.Fertiliser_Products_Data1(), FertiliserProducts[[#Headers],[Company]],1)</f>
        <v/>
      </c>
      <c r="O97" s="170" t="str" cm="1">
        <f t="array" ref="O97">Common_InputFunctions.Utility_DisplayArrayInTable(Fertiliser_SourceData.Fertiliser_Products_Data1(), FertiliserProducts[[#Headers],[Company]],1)</f>
        <v>Potassium - Generic</v>
      </c>
      <c r="P97" s="170" cm="1">
        <f t="array" ref="P97">Common_InputFunctions.Utility_DisplayArrayInTable(Fertiliser_SourceData.Fertiliser_Products_Data1(), FertiliserProducts[[#Headers],[Company]],1)</f>
        <v>0.22500000000000001</v>
      </c>
      <c r="Q97" s="170" t="str" cm="1">
        <f t="array" ref="Q97">Common_InputFunctions.Utility_DisplayArrayInTable(Fertiliser_SourceData.Fertiliser_Products_Data1(), FertiliserProducts[[#Headers],[Company]],1)</f>
        <v>Phosphorus - Generic</v>
      </c>
      <c r="R97" s="170" cm="1">
        <f t="array" ref="R97">Common_InputFunctions.Utility_DisplayArrayInTable(Fertiliser_SourceData.Fertiliser_Products_Data1(), FertiliserProducts[[#Headers],[Company]],1)</f>
        <v>3.7999999999999999E-2</v>
      </c>
      <c r="S97" s="170" t="str" cm="1">
        <f t="array" ref="S97">Common_InputFunctions.Utility_DisplayArrayInTable(Fertiliser_SourceData.Fertiliser_Products_Data1(), FertiliserProducts[[#Headers],[Company]],1)</f>
        <v>Nitrogen - Generic</v>
      </c>
      <c r="T97" s="170" cm="1">
        <f t="array" ref="T97">Common_InputFunctions.Utility_DisplayArrayInTable(Fertiliser_SourceData.Fertiliser_Products_Data1(), FertiliserProducts[[#Headers],[Company]],1)</f>
        <v>2.5000000000000001E-2</v>
      </c>
      <c r="U97" s="170" t="str" cm="1">
        <f t="array" ref="U97">Common_InputFunctions.Utility_DisplayArrayInTable(Fertiliser_SourceData.Fertiliser_Products_Data1(), FertiliserProducts[[#Headers],[Company]],1)</f>
        <v/>
      </c>
      <c r="V97" s="170" t="str" cm="1">
        <f t="array" ref="V97">Common_InputFunctions.Utility_DisplayArrayInTable(Fertiliser_SourceData.Fertiliser_Products_Data1(), FertiliserProducts[[#Headers],[Company]],1)</f>
        <v/>
      </c>
      <c r="W97" s="170" t="str" cm="1">
        <f t="array" ref="W97">Common_InputFunctions.Utility_DisplayArrayInTable(Fertiliser_SourceData.Fertiliser_Products_Data1(), FertiliserProducts[[#Headers],[Company]],1)</f>
        <v/>
      </c>
      <c r="X97" s="170" t="str" cm="1">
        <f t="array" ref="X97">Common_InputFunctions.Utility_DisplayArrayInTable(Fertiliser_SourceData.Fertiliser_Products_Data1(), FertiliserProducts[[#Headers],[Company]],1)</f>
        <v/>
      </c>
      <c r="Y97" s="170" t="str" cm="1">
        <f t="array" ref="Y97">Common_InputFunctions.Utility_DisplayArrayInTable(Fertiliser_SourceData.Fertiliser_Products_Data1(), FertiliserProducts[[#Headers],[Company]],1)</f>
        <v/>
      </c>
      <c r="Z97" s="170" t="str" cm="1">
        <f t="array" ref="Z97">Common_InputFunctions.Utility_DisplayArrayInTable(Fertiliser_SourceData.Fertiliser_Products_Data1(), FertiliserProducts[[#Headers],[Company]],1)</f>
        <v/>
      </c>
      <c r="AA97" s="170" t="str" cm="1">
        <f t="array" ref="AA97">Common_InputFunctions.Utility_DisplayArrayInTable(Fertiliser_SourceData.Fertiliser_Products_Data1(), FertiliserProducts[[#Headers],[Company]],1)</f>
        <v/>
      </c>
      <c r="AB97" s="170" t="str" cm="1">
        <f t="array" ref="AB97">Common_InputFunctions.Utility_DisplayArrayInTable(Fertiliser_SourceData.Fertiliser_Products_Data1(), FertiliserProducts[[#Headers],[Company]],1)</f>
        <v/>
      </c>
      <c r="AC97" s="170" t="str" cm="1">
        <f t="array" ref="AC97">Common_InputFunctions.Utility_DisplayArrayInTable(Fertiliser_SourceData.Fertiliser_Products_Data1(), FertiliserProducts[[#Headers],[Company]],1)</f>
        <v/>
      </c>
      <c r="AD97" s="170" t="str" cm="1">
        <f t="array" ref="AD97">Common_InputFunctions.Utility_DisplayArrayInTable(Fertiliser_SourceData.Fertiliser_Products_Data1(), FertiliserProducts[[#Headers],[Company]],1)</f>
        <v/>
      </c>
      <c r="AE97" s="170" t="str" cm="1">
        <f t="array" ref="AE97">Common_InputFunctions.Utility_DisplayArrayInTable(Fertiliser_SourceData.Fertiliser_Products_Data1(), FertiliserProducts[[#Headers],[Company]],1)</f>
        <v/>
      </c>
      <c r="AF97" s="170" t="str" cm="1">
        <f t="array" ref="AF97">Common_InputFunctions.Utility_DisplayArrayInTable(Fertiliser_SourceData.Fertiliser_Products_Data1(), FertiliserProducts[[#Headers],[Company]],1)</f>
        <v/>
      </c>
      <c r="AG97" s="170" t="str" cm="1">
        <f t="array" ref="AG97">Common_InputFunctions.Utility_DisplayArrayInTable(Fertiliser_SourceData.Fertiliser_Products_Data1(), FertiliserProducts[[#Headers],[Company]],1)</f>
        <v/>
      </c>
      <c r="AH97" s="170" t="str" cm="1">
        <f t="array" ref="AH97">Common_InputFunctions.Utility_DisplayArrayInTable(Fertiliser_SourceData.Fertiliser_Products_Data1(), FertiliserProducts[[#Headers],[Company]],1)</f>
        <v/>
      </c>
      <c r="AK97" s="1"/>
      <c r="AL97" s="1"/>
      <c r="AM97" s="1"/>
    </row>
    <row r="98" spans="4:39" ht="20.100000000000001" customHeight="1" x14ac:dyDescent="0.2">
      <c r="D98" s="170" t="str" cm="1">
        <f t="array" ref="D98">Common_InputFunctions.Utility_DisplayArrayInTable(Fertiliser_SourceData.Fertiliser_Products_Data1(), FertiliserProducts[[#Headers],[Company]],1)</f>
        <v>Campbells fertilisers Australia</v>
      </c>
      <c r="E98" s="170" t="str" cm="1">
        <f t="array" ref="E98">Common_InputFunctions.Utility_DisplayArrayInTable(Fertiliser_SourceData.Fertiliser_Products_Data1(), FertiliserProducts[[#Headers],[Company]],1)</f>
        <v>Aqua Thio-Emerge</v>
      </c>
      <c r="F98" s="170" t="str" cm="1">
        <f t="array" ref="F98">Common_InputFunctions.Utility_DisplayArrayInTable(Fertiliser_SourceData.Fertiliser_Products_Data1(), FertiliserProducts[[#Headers],[Company]],1)</f>
        <v>L</v>
      </c>
      <c r="G98" s="170" cm="1">
        <f t="array" ref="G98">Common_InputFunctions.Utility_DisplayArrayInTable(Fertiliser_SourceData.Fertiliser_Products_Data1(), FertiliserProducts[[#Headers],[Company]],1)</f>
        <v>1.29</v>
      </c>
      <c r="H98" s="170" t="str" cm="1">
        <f t="array" ref="H98">Common_InputFunctions.Utility_DisplayArrayInTable(Fertiliser_SourceData.Fertiliser_Products_Data1(), FertiliserProducts[[#Headers],[Company]],1)</f>
        <v/>
      </c>
      <c r="I98" s="170" t="str" cm="1">
        <f t="array" ref="I98">Common_InputFunctions.Utility_DisplayArrayInTable(Fertiliser_SourceData.Fertiliser_Products_Data1(), FertiliserProducts[[#Headers],[Company]],1)</f>
        <v/>
      </c>
      <c r="J98" s="170" t="str" cm="1">
        <f t="array" ref="J98">Common_InputFunctions.Utility_DisplayArrayInTable(Fertiliser_SourceData.Fertiliser_Products_Data1(), FertiliserProducts[[#Headers],[Company]],1)</f>
        <v/>
      </c>
      <c r="K98" s="170" cm="1">
        <f t="array" ref="K98">Common_InputFunctions.Utility_DisplayArrayInTable(Fertiliser_SourceData.Fertiliser_Products_Data1(), FertiliserProducts[[#Headers],[Company]],1)</f>
        <v>10.5</v>
      </c>
      <c r="L98" s="170" cm="1">
        <f t="array" ref="L98">Common_InputFunctions.Utility_DisplayArrayInTable(Fertiliser_SourceData.Fertiliser_Products_Data1(), FertiliserProducts[[#Headers],[Company]],1)</f>
        <v>9.4</v>
      </c>
      <c r="M98" s="170" cm="1">
        <f t="array" ref="M98">Common_InputFunctions.Utility_DisplayArrayInTable(Fertiliser_SourceData.Fertiliser_Products_Data1(), FertiliserProducts[[#Headers],[Company]],1)</f>
        <v>4</v>
      </c>
      <c r="N98" s="170" cm="1">
        <f t="array" ref="N98">Common_InputFunctions.Utility_DisplayArrayInTable(Fertiliser_SourceData.Fertiliser_Products_Data1(), FertiliserProducts[[#Headers],[Company]],1)</f>
        <v>3</v>
      </c>
      <c r="O98" s="170" t="str" cm="1">
        <f t="array" ref="O98">Common_InputFunctions.Utility_DisplayArrayInTable(Fertiliser_SourceData.Fertiliser_Products_Data1(), FertiliserProducts[[#Headers],[Company]],1)</f>
        <v>Nitrogen - Generic</v>
      </c>
      <c r="P98" s="170" cm="1">
        <f t="array" ref="P98">Common_InputFunctions.Utility_DisplayArrayInTable(Fertiliser_SourceData.Fertiliser_Products_Data1(), FertiliserProducts[[#Headers],[Company]],1)</f>
        <v>0.105</v>
      </c>
      <c r="Q98" s="170" t="str" cm="1">
        <f t="array" ref="Q98">Common_InputFunctions.Utility_DisplayArrayInTable(Fertiliser_SourceData.Fertiliser_Products_Data1(), FertiliserProducts[[#Headers],[Company]],1)</f>
        <v>Phosphorus - Generic</v>
      </c>
      <c r="R98" s="170" cm="1">
        <f t="array" ref="R98">Common_InputFunctions.Utility_DisplayArrayInTable(Fertiliser_SourceData.Fertiliser_Products_Data1(), FertiliserProducts[[#Headers],[Company]],1)</f>
        <v>9.4E-2</v>
      </c>
      <c r="S98" s="170" t="str" cm="1">
        <f t="array" ref="S98">Common_InputFunctions.Utility_DisplayArrayInTable(Fertiliser_SourceData.Fertiliser_Products_Data1(), FertiliserProducts[[#Headers],[Company]],1)</f>
        <v>Potassium - Generic</v>
      </c>
      <c r="T98" s="170" cm="1">
        <f t="array" ref="T98">Common_InputFunctions.Utility_DisplayArrayInTable(Fertiliser_SourceData.Fertiliser_Products_Data1(), FertiliserProducts[[#Headers],[Company]],1)</f>
        <v>0.04</v>
      </c>
      <c r="U98" s="170" t="str" cm="1">
        <f t="array" ref="U98">Common_InputFunctions.Utility_DisplayArrayInTable(Fertiliser_SourceData.Fertiliser_Products_Data1(), FertiliserProducts[[#Headers],[Company]],1)</f>
        <v>Sulfur - Generic</v>
      </c>
      <c r="V98" s="170" cm="1">
        <f t="array" ref="V98">Common_InputFunctions.Utility_DisplayArrayInTable(Fertiliser_SourceData.Fertiliser_Products_Data1(), FertiliserProducts[[#Headers],[Company]],1)</f>
        <v>0.03</v>
      </c>
      <c r="W98" s="170" t="str" cm="1">
        <f t="array" ref="W98">Common_InputFunctions.Utility_DisplayArrayInTable(Fertiliser_SourceData.Fertiliser_Products_Data1(), FertiliserProducts[[#Headers],[Company]],1)</f>
        <v/>
      </c>
      <c r="X98" s="170" t="str" cm="1">
        <f t="array" ref="X98">Common_InputFunctions.Utility_DisplayArrayInTable(Fertiliser_SourceData.Fertiliser_Products_Data1(), FertiliserProducts[[#Headers],[Company]],1)</f>
        <v/>
      </c>
      <c r="Y98" s="170" t="str" cm="1">
        <f t="array" ref="Y98">Common_InputFunctions.Utility_DisplayArrayInTable(Fertiliser_SourceData.Fertiliser_Products_Data1(), FertiliserProducts[[#Headers],[Company]],1)</f>
        <v/>
      </c>
      <c r="Z98" s="170" t="str" cm="1">
        <f t="array" ref="Z98">Common_InputFunctions.Utility_DisplayArrayInTable(Fertiliser_SourceData.Fertiliser_Products_Data1(), FertiliserProducts[[#Headers],[Company]],1)</f>
        <v/>
      </c>
      <c r="AA98" s="170" t="str" cm="1">
        <f t="array" ref="AA98">Common_InputFunctions.Utility_DisplayArrayInTable(Fertiliser_SourceData.Fertiliser_Products_Data1(), FertiliserProducts[[#Headers],[Company]],1)</f>
        <v/>
      </c>
      <c r="AB98" s="170" t="str" cm="1">
        <f t="array" ref="AB98">Common_InputFunctions.Utility_DisplayArrayInTable(Fertiliser_SourceData.Fertiliser_Products_Data1(), FertiliserProducts[[#Headers],[Company]],1)</f>
        <v/>
      </c>
      <c r="AC98" s="170" t="str" cm="1">
        <f t="array" ref="AC98">Common_InputFunctions.Utility_DisplayArrayInTable(Fertiliser_SourceData.Fertiliser_Products_Data1(), FertiliserProducts[[#Headers],[Company]],1)</f>
        <v/>
      </c>
      <c r="AD98" s="170" t="str" cm="1">
        <f t="array" ref="AD98">Common_InputFunctions.Utility_DisplayArrayInTable(Fertiliser_SourceData.Fertiliser_Products_Data1(), FertiliserProducts[[#Headers],[Company]],1)</f>
        <v/>
      </c>
      <c r="AE98" s="170" t="str" cm="1">
        <f t="array" ref="AE98">Common_InputFunctions.Utility_DisplayArrayInTable(Fertiliser_SourceData.Fertiliser_Products_Data1(), FertiliserProducts[[#Headers],[Company]],1)</f>
        <v/>
      </c>
      <c r="AF98" s="170" t="str" cm="1">
        <f t="array" ref="AF98">Common_InputFunctions.Utility_DisplayArrayInTable(Fertiliser_SourceData.Fertiliser_Products_Data1(), FertiliserProducts[[#Headers],[Company]],1)</f>
        <v/>
      </c>
      <c r="AG98" s="170" t="str" cm="1">
        <f t="array" ref="AG98">Common_InputFunctions.Utility_DisplayArrayInTable(Fertiliser_SourceData.Fertiliser_Products_Data1(), FertiliserProducts[[#Headers],[Company]],1)</f>
        <v/>
      </c>
      <c r="AH98" s="170" t="str" cm="1">
        <f t="array" ref="AH98">Common_InputFunctions.Utility_DisplayArrayInTable(Fertiliser_SourceData.Fertiliser_Products_Data1(), FertiliserProducts[[#Headers],[Company]],1)</f>
        <v/>
      </c>
      <c r="AK98" s="1"/>
      <c r="AL98" s="1"/>
      <c r="AM98" s="1"/>
    </row>
    <row r="99" spans="4:39" ht="20.100000000000001" customHeight="1" x14ac:dyDescent="0.2">
      <c r="D99" s="170" t="str" cm="1">
        <f t="array" ref="D99">Common_InputFunctions.Utility_DisplayArrayInTable(Fertiliser_SourceData.Fertiliser_Products_Data1(), FertiliserProducts[[#Headers],[Company]],1)</f>
        <v>Campbells fertilisers Australia</v>
      </c>
      <c r="E99" s="170" t="str" cm="1">
        <f t="array" ref="E99">Common_InputFunctions.Utility_DisplayArrayInTable(Fertiliser_SourceData.Fertiliser_Products_Data1(), FertiliserProducts[[#Headers],[Company]],1)</f>
        <v>Aqua Thio-Flourish</v>
      </c>
      <c r="F99" s="170" t="str" cm="1">
        <f t="array" ref="F99">Common_InputFunctions.Utility_DisplayArrayInTable(Fertiliser_SourceData.Fertiliser_Products_Data1(), FertiliserProducts[[#Headers],[Company]],1)</f>
        <v>L</v>
      </c>
      <c r="G99" s="170" cm="1">
        <f t="array" ref="G99">Common_InputFunctions.Utility_DisplayArrayInTable(Fertiliser_SourceData.Fertiliser_Products_Data1(), FertiliserProducts[[#Headers],[Company]],1)</f>
        <v>1.32</v>
      </c>
      <c r="H99" s="170" t="str" cm="1">
        <f t="array" ref="H99">Common_InputFunctions.Utility_DisplayArrayInTable(Fertiliser_SourceData.Fertiliser_Products_Data1(), FertiliserProducts[[#Headers],[Company]],1)</f>
        <v/>
      </c>
      <c r="I99" s="170" t="str" cm="1">
        <f t="array" ref="I99">Common_InputFunctions.Utility_DisplayArrayInTable(Fertiliser_SourceData.Fertiliser_Products_Data1(), FertiliserProducts[[#Headers],[Company]],1)</f>
        <v/>
      </c>
      <c r="J99" s="170" t="str" cm="1">
        <f t="array" ref="J99">Common_InputFunctions.Utility_DisplayArrayInTable(Fertiliser_SourceData.Fertiliser_Products_Data1(), FertiliserProducts[[#Headers],[Company]],1)</f>
        <v/>
      </c>
      <c r="K99" s="170" cm="1">
        <f t="array" ref="K99">Common_InputFunctions.Utility_DisplayArrayInTable(Fertiliser_SourceData.Fertiliser_Products_Data1(), FertiliserProducts[[#Headers],[Company]],1)</f>
        <v>9.5</v>
      </c>
      <c r="L99" s="170" cm="1">
        <f t="array" ref="L99">Common_InputFunctions.Utility_DisplayArrayInTable(Fertiliser_SourceData.Fertiliser_Products_Data1(), FertiliserProducts[[#Headers],[Company]],1)</f>
        <v>4.7</v>
      </c>
      <c r="M99" s="170" cm="1">
        <f t="array" ref="M99">Common_InputFunctions.Utility_DisplayArrayInTable(Fertiliser_SourceData.Fertiliser_Products_Data1(), FertiliserProducts[[#Headers],[Company]],1)</f>
        <v>10.8</v>
      </c>
      <c r="N99" s="170" cm="1">
        <f t="array" ref="N99">Common_InputFunctions.Utility_DisplayArrayInTable(Fertiliser_SourceData.Fertiliser_Products_Data1(), FertiliserProducts[[#Headers],[Company]],1)</f>
        <v>8.1</v>
      </c>
      <c r="O99" s="170" t="str" cm="1">
        <f t="array" ref="O99">Common_InputFunctions.Utility_DisplayArrayInTable(Fertiliser_SourceData.Fertiliser_Products_Data1(), FertiliserProducts[[#Headers],[Company]],1)</f>
        <v>Potassium - Generic</v>
      </c>
      <c r="P99" s="170" cm="1">
        <f t="array" ref="P99">Common_InputFunctions.Utility_DisplayArrayInTable(Fertiliser_SourceData.Fertiliser_Products_Data1(), FertiliserProducts[[#Headers],[Company]],1)</f>
        <v>0.108</v>
      </c>
      <c r="Q99" s="170" t="str" cm="1">
        <f t="array" ref="Q99">Common_InputFunctions.Utility_DisplayArrayInTable(Fertiliser_SourceData.Fertiliser_Products_Data1(), FertiliserProducts[[#Headers],[Company]],1)</f>
        <v>Nitrogen - Generic</v>
      </c>
      <c r="R99" s="170" cm="1">
        <f t="array" ref="R99">Common_InputFunctions.Utility_DisplayArrayInTable(Fertiliser_SourceData.Fertiliser_Products_Data1(), FertiliserProducts[[#Headers],[Company]],1)</f>
        <v>9.5000000000000001E-2</v>
      </c>
      <c r="S99" s="170" t="str" cm="1">
        <f t="array" ref="S99">Common_InputFunctions.Utility_DisplayArrayInTable(Fertiliser_SourceData.Fertiliser_Products_Data1(), FertiliserProducts[[#Headers],[Company]],1)</f>
        <v>Sulfur - Generic</v>
      </c>
      <c r="T99" s="170" cm="1">
        <f t="array" ref="T99">Common_InputFunctions.Utility_DisplayArrayInTable(Fertiliser_SourceData.Fertiliser_Products_Data1(), FertiliserProducts[[#Headers],[Company]],1)</f>
        <v>8.1000000000000003E-2</v>
      </c>
      <c r="U99" s="170" t="str" cm="1">
        <f t="array" ref="U99">Common_InputFunctions.Utility_DisplayArrayInTable(Fertiliser_SourceData.Fertiliser_Products_Data1(), FertiliserProducts[[#Headers],[Company]],1)</f>
        <v>Phosphorus - Generic</v>
      </c>
      <c r="V99" s="170" cm="1">
        <f t="array" ref="V99">Common_InputFunctions.Utility_DisplayArrayInTable(Fertiliser_SourceData.Fertiliser_Products_Data1(), FertiliserProducts[[#Headers],[Company]],1)</f>
        <v>4.7E-2</v>
      </c>
      <c r="W99" s="170" t="str" cm="1">
        <f t="array" ref="W99">Common_InputFunctions.Utility_DisplayArrayInTable(Fertiliser_SourceData.Fertiliser_Products_Data1(), FertiliserProducts[[#Headers],[Company]],1)</f>
        <v/>
      </c>
      <c r="X99" s="170" t="str" cm="1">
        <f t="array" ref="X99">Common_InputFunctions.Utility_DisplayArrayInTable(Fertiliser_SourceData.Fertiliser_Products_Data1(), FertiliserProducts[[#Headers],[Company]],1)</f>
        <v/>
      </c>
      <c r="Y99" s="170" t="str" cm="1">
        <f t="array" ref="Y99">Common_InputFunctions.Utility_DisplayArrayInTable(Fertiliser_SourceData.Fertiliser_Products_Data1(), FertiliserProducts[[#Headers],[Company]],1)</f>
        <v/>
      </c>
      <c r="Z99" s="170" t="str" cm="1">
        <f t="array" ref="Z99">Common_InputFunctions.Utility_DisplayArrayInTable(Fertiliser_SourceData.Fertiliser_Products_Data1(), FertiliserProducts[[#Headers],[Company]],1)</f>
        <v/>
      </c>
      <c r="AA99" s="170" t="str" cm="1">
        <f t="array" ref="AA99">Common_InputFunctions.Utility_DisplayArrayInTable(Fertiliser_SourceData.Fertiliser_Products_Data1(), FertiliserProducts[[#Headers],[Company]],1)</f>
        <v/>
      </c>
      <c r="AB99" s="170" t="str" cm="1">
        <f t="array" ref="AB99">Common_InputFunctions.Utility_DisplayArrayInTable(Fertiliser_SourceData.Fertiliser_Products_Data1(), FertiliserProducts[[#Headers],[Company]],1)</f>
        <v/>
      </c>
      <c r="AC99" s="170" t="str" cm="1">
        <f t="array" ref="AC99">Common_InputFunctions.Utility_DisplayArrayInTable(Fertiliser_SourceData.Fertiliser_Products_Data1(), FertiliserProducts[[#Headers],[Company]],1)</f>
        <v/>
      </c>
      <c r="AD99" s="170" t="str" cm="1">
        <f t="array" ref="AD99">Common_InputFunctions.Utility_DisplayArrayInTable(Fertiliser_SourceData.Fertiliser_Products_Data1(), FertiliserProducts[[#Headers],[Company]],1)</f>
        <v/>
      </c>
      <c r="AE99" s="170" t="str" cm="1">
        <f t="array" ref="AE99">Common_InputFunctions.Utility_DisplayArrayInTable(Fertiliser_SourceData.Fertiliser_Products_Data1(), FertiliserProducts[[#Headers],[Company]],1)</f>
        <v/>
      </c>
      <c r="AF99" s="170" t="str" cm="1">
        <f t="array" ref="AF99">Common_InputFunctions.Utility_DisplayArrayInTable(Fertiliser_SourceData.Fertiliser_Products_Data1(), FertiliserProducts[[#Headers],[Company]],1)</f>
        <v/>
      </c>
      <c r="AG99" s="170" t="str" cm="1">
        <f t="array" ref="AG99">Common_InputFunctions.Utility_DisplayArrayInTable(Fertiliser_SourceData.Fertiliser_Products_Data1(), FertiliserProducts[[#Headers],[Company]],1)</f>
        <v/>
      </c>
      <c r="AH99" s="170" t="str" cm="1">
        <f t="array" ref="AH99">Common_InputFunctions.Utility_DisplayArrayInTable(Fertiliser_SourceData.Fertiliser_Products_Data1(), FertiliserProducts[[#Headers],[Company]],1)</f>
        <v/>
      </c>
      <c r="AK99" s="1"/>
      <c r="AL99" s="1"/>
      <c r="AM99" s="1"/>
    </row>
    <row r="100" spans="4:39" ht="20.100000000000001" customHeight="1" x14ac:dyDescent="0.2">
      <c r="D100" s="170" t="str" cm="1">
        <f t="array" ref="D100">Common_InputFunctions.Utility_DisplayArrayInTable(Fertiliser_SourceData.Fertiliser_Products_Data1(), FertiliserProducts[[#Headers],[Company]],1)</f>
        <v>Campbells fertilisers Australia</v>
      </c>
      <c r="E100" s="170" t="str" cm="1">
        <f t="array" ref="E100">Common_InputFunctions.Utility_DisplayArrayInTable(Fertiliser_SourceData.Fertiliser_Products_Data1(), FertiliserProducts[[#Headers],[Company]],1)</f>
        <v>Boost-It</v>
      </c>
      <c r="F100" s="170" t="str" cm="1">
        <f t="array" ref="F100">Common_InputFunctions.Utility_DisplayArrayInTable(Fertiliser_SourceData.Fertiliser_Products_Data1(), FertiliserProducts[[#Headers],[Company]],1)</f>
        <v>kg</v>
      </c>
      <c r="G100" s="170" cm="1">
        <f t="array" ref="G100">Common_InputFunctions.Utility_DisplayArrayInTable(Fertiliser_SourceData.Fertiliser_Products_Data1(), FertiliserProducts[[#Headers],[Company]],1)</f>
        <v>1</v>
      </c>
      <c r="H100" s="170" t="str" cm="1">
        <f t="array" ref="H100">Common_InputFunctions.Utility_DisplayArrayInTable(Fertiliser_SourceData.Fertiliser_Products_Data1(), FertiliserProducts[[#Headers],[Company]],1)</f>
        <v/>
      </c>
      <c r="I100" s="170" t="str" cm="1">
        <f t="array" ref="I100">Common_InputFunctions.Utility_DisplayArrayInTable(Fertiliser_SourceData.Fertiliser_Products_Data1(), FertiliserProducts[[#Headers],[Company]],1)</f>
        <v/>
      </c>
      <c r="J100" s="170" t="str" cm="1">
        <f t="array" ref="J100">Common_InputFunctions.Utility_DisplayArrayInTable(Fertiliser_SourceData.Fertiliser_Products_Data1(), FertiliserProducts[[#Headers],[Company]],1)</f>
        <v/>
      </c>
      <c r="K100" s="170" cm="1">
        <f t="array" ref="K100">Common_InputFunctions.Utility_DisplayArrayInTable(Fertiliser_SourceData.Fertiliser_Products_Data1(), FertiliserProducts[[#Headers],[Company]],1)</f>
        <v>24</v>
      </c>
      <c r="L100" s="170" cm="1">
        <f t="array" ref="L100">Common_InputFunctions.Utility_DisplayArrayInTable(Fertiliser_SourceData.Fertiliser_Products_Data1(), FertiliserProducts[[#Headers],[Company]],1)</f>
        <v>5.2</v>
      </c>
      <c r="M100" s="170" cm="1">
        <f t="array" ref="M100">Common_InputFunctions.Utility_DisplayArrayInTable(Fertiliser_SourceData.Fertiliser_Products_Data1(), FertiliserProducts[[#Headers],[Company]],1)</f>
        <v>8</v>
      </c>
      <c r="N100" s="170" cm="1">
        <f t="array" ref="N100">Common_InputFunctions.Utility_DisplayArrayInTable(Fertiliser_SourceData.Fertiliser_Products_Data1(), FertiliserProducts[[#Headers],[Company]],1)</f>
        <v>5.3</v>
      </c>
      <c r="O100" s="170" t="str" cm="1">
        <f t="array" ref="O100">Common_InputFunctions.Utility_DisplayArrayInTable(Fertiliser_SourceData.Fertiliser_Products_Data1(), FertiliserProducts[[#Headers],[Company]],1)</f>
        <v>Urea</v>
      </c>
      <c r="P100" s="170" cm="1">
        <f t="array" ref="P100">Common_InputFunctions.Utility_DisplayArrayInTable(Fertiliser_SourceData.Fertiliser_Products_Data1(), FertiliserProducts[[#Headers],[Company]],1)</f>
        <v>0.52173899999999995</v>
      </c>
      <c r="Q100" s="170" t="str" cm="1">
        <f t="array" ref="Q100">Common_InputFunctions.Utility_DisplayArrayInTable(Fertiliser_SourceData.Fertiliser_Products_Data1(), FertiliserProducts[[#Headers],[Company]],1)</f>
        <v>Potassium - Generic</v>
      </c>
      <c r="R100" s="170" cm="1">
        <f t="array" ref="R100">Common_InputFunctions.Utility_DisplayArrayInTable(Fertiliser_SourceData.Fertiliser_Products_Data1(), FertiliserProducts[[#Headers],[Company]],1)</f>
        <v>0.08</v>
      </c>
      <c r="S100" s="170" t="str" cm="1">
        <f t="array" ref="S100">Common_InputFunctions.Utility_DisplayArrayInTable(Fertiliser_SourceData.Fertiliser_Products_Data1(), FertiliserProducts[[#Headers],[Company]],1)</f>
        <v>Sulfur - Generic</v>
      </c>
      <c r="T100" s="170" cm="1">
        <f t="array" ref="T100">Common_InputFunctions.Utility_DisplayArrayInTable(Fertiliser_SourceData.Fertiliser_Products_Data1(), FertiliserProducts[[#Headers],[Company]],1)</f>
        <v>5.2999999999999999E-2</v>
      </c>
      <c r="U100" s="170" t="str" cm="1">
        <f t="array" ref="U100">Common_InputFunctions.Utility_DisplayArrayInTable(Fertiliser_SourceData.Fertiliser_Products_Data1(), FertiliserProducts[[#Headers],[Company]],1)</f>
        <v>Phosphorus - Generic</v>
      </c>
      <c r="V100" s="170" cm="1">
        <f t="array" ref="V100">Common_InputFunctions.Utility_DisplayArrayInTable(Fertiliser_SourceData.Fertiliser_Products_Data1(), FertiliserProducts[[#Headers],[Company]],1)</f>
        <v>5.1999999999999998E-2</v>
      </c>
      <c r="W100" s="170" t="str" cm="1">
        <f t="array" ref="W100">Common_InputFunctions.Utility_DisplayArrayInTable(Fertiliser_SourceData.Fertiliser_Products_Data1(), FertiliserProducts[[#Headers],[Company]],1)</f>
        <v>Magnesium</v>
      </c>
      <c r="X100" s="170" cm="1">
        <f t="array" ref="X100">Common_InputFunctions.Utility_DisplayArrayInTable(Fertiliser_SourceData.Fertiliser_Products_Data1(), FertiliserProducts[[#Headers],[Company]],1)</f>
        <v>1.2999999999999999E-2</v>
      </c>
      <c r="Y100" s="170" t="str" cm="1">
        <f t="array" ref="Y100">Common_InputFunctions.Utility_DisplayArrayInTable(Fertiliser_SourceData.Fertiliser_Products_Data1(), FertiliserProducts[[#Headers],[Company]],1)</f>
        <v>Zinc</v>
      </c>
      <c r="Z100" s="170" cm="1">
        <f t="array" ref="Z100">Common_InputFunctions.Utility_DisplayArrayInTable(Fertiliser_SourceData.Fertiliser_Products_Data1(), FertiliserProducts[[#Headers],[Company]],1)</f>
        <v>2E-3</v>
      </c>
      <c r="AA100" s="170" t="str" cm="1">
        <f t="array" ref="AA100">Common_InputFunctions.Utility_DisplayArrayInTable(Fertiliser_SourceData.Fertiliser_Products_Data1(), FertiliserProducts[[#Headers],[Company]],1)</f>
        <v>Manganese</v>
      </c>
      <c r="AB100" s="170" cm="1">
        <f t="array" ref="AB100">Common_InputFunctions.Utility_DisplayArrayInTable(Fertiliser_SourceData.Fertiliser_Products_Data1(), FertiliserProducts[[#Headers],[Company]],1)</f>
        <v>3.5000000000000001E-3</v>
      </c>
      <c r="AC100" s="170" t="str" cm="1">
        <f t="array" ref="AC100">Common_InputFunctions.Utility_DisplayArrayInTable(Fertiliser_SourceData.Fertiliser_Products_Data1(), FertiliserProducts[[#Headers],[Company]],1)</f>
        <v>Iron</v>
      </c>
      <c r="AD100" s="170" cm="1">
        <f t="array" ref="AD100">Common_InputFunctions.Utility_DisplayArrayInTable(Fertiliser_SourceData.Fertiliser_Products_Data1(), FertiliserProducts[[#Headers],[Company]],1)</f>
        <v>1.2999999999999999E-3</v>
      </c>
      <c r="AE100" s="170" t="str" cm="1">
        <f t="array" ref="AE100">Common_InputFunctions.Utility_DisplayArrayInTable(Fertiliser_SourceData.Fertiliser_Products_Data1(), FertiliserProducts[[#Headers],[Company]],1)</f>
        <v>Copper</v>
      </c>
      <c r="AF100" s="170" cm="1">
        <f t="array" ref="AF100">Common_InputFunctions.Utility_DisplayArrayInTable(Fertiliser_SourceData.Fertiliser_Products_Data1(), FertiliserProducts[[#Headers],[Company]],1)</f>
        <v>6.9999999999999999E-4</v>
      </c>
      <c r="AG100" s="170" t="str" cm="1">
        <f t="array" ref="AG100">Common_InputFunctions.Utility_DisplayArrayInTable(Fertiliser_SourceData.Fertiliser_Products_Data1(), FertiliserProducts[[#Headers],[Company]],1)</f>
        <v>Boron</v>
      </c>
      <c r="AH100" s="170"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
      <c r="D101" s="170" t="str" cm="1">
        <f t="array" ref="D101">Common_InputFunctions.Utility_DisplayArrayInTable(Fertiliser_SourceData.Fertiliser_Products_Data1(), FertiliserProducts[[#Headers],[Company]],1)</f>
        <v>Campbells fertilisers Australia</v>
      </c>
      <c r="E101" s="170" t="str" cm="1">
        <f t="array" ref="E101">Common_InputFunctions.Utility_DisplayArrayInTable(Fertiliser_SourceData.Fertiliser_Products_Data1(), FertiliserProducts[[#Headers],[Company]],1)</f>
        <v>Bronze</v>
      </c>
      <c r="F101" s="170" t="str" cm="1">
        <f t="array" ref="F101">Common_InputFunctions.Utility_DisplayArrayInTable(Fertiliser_SourceData.Fertiliser_Products_Data1(), FertiliserProducts[[#Headers],[Company]],1)</f>
        <v>kg</v>
      </c>
      <c r="G101" s="170" cm="1">
        <f t="array" ref="G101">Common_InputFunctions.Utility_DisplayArrayInTable(Fertiliser_SourceData.Fertiliser_Products_Data1(), FertiliserProducts[[#Headers],[Company]],1)</f>
        <v>1</v>
      </c>
      <c r="H101" s="170" t="str" cm="1">
        <f t="array" ref="H101">Common_InputFunctions.Utility_DisplayArrayInTable(Fertiliser_SourceData.Fertiliser_Products_Data1(), FertiliserProducts[[#Headers],[Company]],1)</f>
        <v/>
      </c>
      <c r="I101" s="170" t="str" cm="1">
        <f t="array" ref="I101">Common_InputFunctions.Utility_DisplayArrayInTable(Fertiliser_SourceData.Fertiliser_Products_Data1(), FertiliserProducts[[#Headers],[Company]],1)</f>
        <v/>
      </c>
      <c r="J101" s="170" t="str" cm="1">
        <f t="array" ref="J101">Common_InputFunctions.Utility_DisplayArrayInTable(Fertiliser_SourceData.Fertiliser_Products_Data1(), FertiliserProducts[[#Headers],[Company]],1)</f>
        <v/>
      </c>
      <c r="K101" s="170" cm="1">
        <f t="array" ref="K101">Common_InputFunctions.Utility_DisplayArrayInTable(Fertiliser_SourceData.Fertiliser_Products_Data1(), FertiliserProducts[[#Headers],[Company]],1)</f>
        <v>17</v>
      </c>
      <c r="L101" s="170" cm="1">
        <f t="array" ref="L101">Common_InputFunctions.Utility_DisplayArrayInTable(Fertiliser_SourceData.Fertiliser_Products_Data1(), FertiliserProducts[[#Headers],[Company]],1)</f>
        <v>0.04</v>
      </c>
      <c r="M101" s="170" cm="1">
        <f t="array" ref="M101">Common_InputFunctions.Utility_DisplayArrayInTable(Fertiliser_SourceData.Fertiliser_Products_Data1(), FertiliserProducts[[#Headers],[Company]],1)</f>
        <v>11.6</v>
      </c>
      <c r="N101" s="170" cm="1">
        <f t="array" ref="N101">Common_InputFunctions.Utility_DisplayArrayInTable(Fertiliser_SourceData.Fertiliser_Products_Data1(), FertiliserProducts[[#Headers],[Company]],1)</f>
        <v>0.5</v>
      </c>
      <c r="O101" s="170" t="str" cm="1">
        <f t="array" ref="O101">Common_InputFunctions.Utility_DisplayArrayInTable(Fertiliser_SourceData.Fertiliser_Products_Data1(), FertiliserProducts[[#Headers],[Company]],1)</f>
        <v>Muriate of potash (MOP)</v>
      </c>
      <c r="P101" s="170" cm="1">
        <f t="array" ref="P101">Common_InputFunctions.Utility_DisplayArrayInTable(Fertiliser_SourceData.Fertiliser_Products_Data1(), FertiliserProducts[[#Headers],[Company]],1)</f>
        <v>0.23200000000000001</v>
      </c>
      <c r="Q101" s="170" t="str" cm="1">
        <f t="array" ref="Q101">Common_InputFunctions.Utility_DisplayArrayInTable(Fertiliser_SourceData.Fertiliser_Products_Data1(), FertiliserProducts[[#Headers],[Company]],1)</f>
        <v>Nitrogen - Generic</v>
      </c>
      <c r="R101" s="170" cm="1">
        <f t="array" ref="R101">Common_InputFunctions.Utility_DisplayArrayInTable(Fertiliser_SourceData.Fertiliser_Products_Data1(), FertiliserProducts[[#Headers],[Company]],1)</f>
        <v>0.17</v>
      </c>
      <c r="S101" s="170" t="str" cm="1">
        <f t="array" ref="S101">Common_InputFunctions.Utility_DisplayArrayInTable(Fertiliser_SourceData.Fertiliser_Products_Data1(), FertiliserProducts[[#Headers],[Company]],1)</f>
        <v>Sulfur - Generic</v>
      </c>
      <c r="T101" s="170" cm="1">
        <f t="array" ref="T101">Common_InputFunctions.Utility_DisplayArrayInTable(Fertiliser_SourceData.Fertiliser_Products_Data1(), FertiliserProducts[[#Headers],[Company]],1)</f>
        <v>5.0000000000000001E-3</v>
      </c>
      <c r="U101" s="170" t="str" cm="1">
        <f t="array" ref="U101">Common_InputFunctions.Utility_DisplayArrayInTable(Fertiliser_SourceData.Fertiliser_Products_Data1(), FertiliserProducts[[#Headers],[Company]],1)</f>
        <v>Magnesium</v>
      </c>
      <c r="V101" s="170" cm="1">
        <f t="array" ref="V101">Common_InputFunctions.Utility_DisplayArrayInTable(Fertiliser_SourceData.Fertiliser_Products_Data1(), FertiliserProducts[[#Headers],[Company]],1)</f>
        <v>2.3999999999999998E-3</v>
      </c>
      <c r="W101" s="170" t="str" cm="1">
        <f t="array" ref="W101">Common_InputFunctions.Utility_DisplayArrayInTable(Fertiliser_SourceData.Fertiliser_Products_Data1(), FertiliserProducts[[#Headers],[Company]],1)</f>
        <v>Phosphorus - Generic</v>
      </c>
      <c r="X101" s="170" cm="1">
        <f t="array" ref="X101">Common_InputFunctions.Utility_DisplayArrayInTable(Fertiliser_SourceData.Fertiliser_Products_Data1(), FertiliserProducts[[#Headers],[Company]],1)</f>
        <v>4.0000000000000002E-4</v>
      </c>
      <c r="Y101" s="170" t="str" cm="1">
        <f t="array" ref="Y101">Common_InputFunctions.Utility_DisplayArrayInTable(Fertiliser_SourceData.Fertiliser_Products_Data1(), FertiliserProducts[[#Headers],[Company]],1)</f>
        <v/>
      </c>
      <c r="Z101" s="170" t="str" cm="1">
        <f t="array" ref="Z101">Common_InputFunctions.Utility_DisplayArrayInTable(Fertiliser_SourceData.Fertiliser_Products_Data1(), FertiliserProducts[[#Headers],[Company]],1)</f>
        <v/>
      </c>
      <c r="AA101" s="170" t="str" cm="1">
        <f t="array" ref="AA101">Common_InputFunctions.Utility_DisplayArrayInTable(Fertiliser_SourceData.Fertiliser_Products_Data1(), FertiliserProducts[[#Headers],[Company]],1)</f>
        <v/>
      </c>
      <c r="AB101" s="170" t="str" cm="1">
        <f t="array" ref="AB101">Common_InputFunctions.Utility_DisplayArrayInTable(Fertiliser_SourceData.Fertiliser_Products_Data1(), FertiliserProducts[[#Headers],[Company]],1)</f>
        <v/>
      </c>
      <c r="AC101" s="170" t="str" cm="1">
        <f t="array" ref="AC101">Common_InputFunctions.Utility_DisplayArrayInTable(Fertiliser_SourceData.Fertiliser_Products_Data1(), FertiliserProducts[[#Headers],[Company]],1)</f>
        <v/>
      </c>
      <c r="AD101" s="170" t="str" cm="1">
        <f t="array" ref="AD101">Common_InputFunctions.Utility_DisplayArrayInTable(Fertiliser_SourceData.Fertiliser_Products_Data1(), FertiliserProducts[[#Headers],[Company]],1)</f>
        <v/>
      </c>
      <c r="AE101" s="170" t="str" cm="1">
        <f t="array" ref="AE101">Common_InputFunctions.Utility_DisplayArrayInTable(Fertiliser_SourceData.Fertiliser_Products_Data1(), FertiliserProducts[[#Headers],[Company]],1)</f>
        <v/>
      </c>
      <c r="AF101" s="170" t="str" cm="1">
        <f t="array" ref="AF101">Common_InputFunctions.Utility_DisplayArrayInTable(Fertiliser_SourceData.Fertiliser_Products_Data1(), FertiliserProducts[[#Headers],[Company]],1)</f>
        <v/>
      </c>
      <c r="AG101" s="170" t="str" cm="1">
        <f t="array" ref="AG101">Common_InputFunctions.Utility_DisplayArrayInTable(Fertiliser_SourceData.Fertiliser_Products_Data1(), FertiliserProducts[[#Headers],[Company]],1)</f>
        <v/>
      </c>
      <c r="AH101" s="170" t="str" cm="1">
        <f t="array" ref="AH101">Common_InputFunctions.Utility_DisplayArrayInTable(Fertiliser_SourceData.Fertiliser_Products_Data1(), FertiliserProducts[[#Headers],[Company]],1)</f>
        <v/>
      </c>
      <c r="AK101" s="1"/>
      <c r="AL101" s="1"/>
      <c r="AM101" s="1"/>
    </row>
    <row r="102" spans="4:39" ht="20.100000000000001" customHeight="1" x14ac:dyDescent="0.2">
      <c r="D102" s="170" t="str" cm="1">
        <f t="array" ref="D102">Common_InputFunctions.Utility_DisplayArrayInTable(Fertiliser_SourceData.Fertiliser_Products_Data1(), FertiliserProducts[[#Headers],[Company]],1)</f>
        <v>Campbells fertilisers Australia</v>
      </c>
      <c r="E102" s="170" t="str" cm="1">
        <f t="array" ref="E102">Common_InputFunctions.Utility_DisplayArrayInTable(Fertiliser_SourceData.Fertiliser_Products_Data1(), FertiliserProducts[[#Headers],[Company]],1)</f>
        <v>Calbit C</v>
      </c>
      <c r="F102" s="170" t="str" cm="1">
        <f t="array" ref="F102">Common_InputFunctions.Utility_DisplayArrayInTable(Fertiliser_SourceData.Fertiliser_Products_Data1(), FertiliserProducts[[#Headers],[Company]],1)</f>
        <v>L</v>
      </c>
      <c r="G102" s="170" cm="1">
        <f t="array" ref="G102">Common_InputFunctions.Utility_DisplayArrayInTable(Fertiliser_SourceData.Fertiliser_Products_Data1(), FertiliserProducts[[#Headers],[Company]],1)</f>
        <v>1.45</v>
      </c>
      <c r="H102" s="170" t="str" cm="1">
        <f t="array" ref="H102">Common_InputFunctions.Utility_DisplayArrayInTable(Fertiliser_SourceData.Fertiliser_Products_Data1(), FertiliserProducts[[#Headers],[Company]],1)</f>
        <v/>
      </c>
      <c r="I102" s="170" t="str" cm="1">
        <f t="array" ref="I102">Common_InputFunctions.Utility_DisplayArrayInTable(Fertiliser_SourceData.Fertiliser_Products_Data1(), FertiliserProducts[[#Headers],[Company]],1)</f>
        <v/>
      </c>
      <c r="J102" s="170" t="str" cm="1">
        <f t="array" ref="J102">Common_InputFunctions.Utility_DisplayArrayInTable(Fertiliser_SourceData.Fertiliser_Products_Data1(), FertiliserProducts[[#Headers],[Company]],1)</f>
        <v/>
      </c>
      <c r="K102" s="170" t="str" cm="1">
        <f t="array" ref="K102">Common_InputFunctions.Utility_DisplayArrayInTable(Fertiliser_SourceData.Fertiliser_Products_Data1(), FertiliserProducts[[#Headers],[Company]],1)</f>
        <v/>
      </c>
      <c r="L102" s="170" t="str" cm="1">
        <f t="array" ref="L102">Common_InputFunctions.Utility_DisplayArrayInTable(Fertiliser_SourceData.Fertiliser_Products_Data1(), FertiliserProducts[[#Headers],[Company]],1)</f>
        <v/>
      </c>
      <c r="M102" s="170" t="str" cm="1">
        <f t="array" ref="M102">Common_InputFunctions.Utility_DisplayArrayInTable(Fertiliser_SourceData.Fertiliser_Products_Data1(), FertiliserProducts[[#Headers],[Company]],1)</f>
        <v/>
      </c>
      <c r="N102" s="170" t="str" cm="1">
        <f t="array" ref="N102">Common_InputFunctions.Utility_DisplayArrayInTable(Fertiliser_SourceData.Fertiliser_Products_Data1(), FertiliserProducts[[#Headers],[Company]],1)</f>
        <v/>
      </c>
      <c r="O102" s="170" t="str" cm="1">
        <f t="array" ref="O102">Common_InputFunctions.Utility_DisplayArrayInTable(Fertiliser_SourceData.Fertiliser_Products_Data1(), FertiliserProducts[[#Headers],[Company]],1)</f>
        <v>Calcium</v>
      </c>
      <c r="P102" s="170" cm="1">
        <f t="array" ref="P102">Common_InputFunctions.Utility_DisplayArrayInTable(Fertiliser_SourceData.Fertiliser_Products_Data1(), FertiliserProducts[[#Headers],[Company]],1)</f>
        <v>0.107</v>
      </c>
      <c r="Q102" s="170" t="str" cm="1">
        <f t="array" ref="Q102">Common_InputFunctions.Utility_DisplayArrayInTable(Fertiliser_SourceData.Fertiliser_Products_Data1(), FertiliserProducts[[#Headers],[Company]],1)</f>
        <v/>
      </c>
      <c r="R102" s="170" t="str" cm="1">
        <f t="array" ref="R102">Common_InputFunctions.Utility_DisplayArrayInTable(Fertiliser_SourceData.Fertiliser_Products_Data1(), FertiliserProducts[[#Headers],[Company]],1)</f>
        <v/>
      </c>
      <c r="S102" s="170" t="str" cm="1">
        <f t="array" ref="S102">Common_InputFunctions.Utility_DisplayArrayInTable(Fertiliser_SourceData.Fertiliser_Products_Data1(), FertiliserProducts[[#Headers],[Company]],1)</f>
        <v/>
      </c>
      <c r="T102" s="170" t="str" cm="1">
        <f t="array" ref="T102">Common_InputFunctions.Utility_DisplayArrayInTable(Fertiliser_SourceData.Fertiliser_Products_Data1(), FertiliserProducts[[#Headers],[Company]],1)</f>
        <v/>
      </c>
      <c r="U102" s="170" t="str" cm="1">
        <f t="array" ref="U102">Common_InputFunctions.Utility_DisplayArrayInTable(Fertiliser_SourceData.Fertiliser_Products_Data1(), FertiliserProducts[[#Headers],[Company]],1)</f>
        <v/>
      </c>
      <c r="V102" s="170" t="str" cm="1">
        <f t="array" ref="V102">Common_InputFunctions.Utility_DisplayArrayInTable(Fertiliser_SourceData.Fertiliser_Products_Data1(), FertiliserProducts[[#Headers],[Company]],1)</f>
        <v/>
      </c>
      <c r="W102" s="170" t="str" cm="1">
        <f t="array" ref="W102">Common_InputFunctions.Utility_DisplayArrayInTable(Fertiliser_SourceData.Fertiliser_Products_Data1(), FertiliserProducts[[#Headers],[Company]],1)</f>
        <v/>
      </c>
      <c r="X102" s="170" t="str" cm="1">
        <f t="array" ref="X102">Common_InputFunctions.Utility_DisplayArrayInTable(Fertiliser_SourceData.Fertiliser_Products_Data1(), FertiliserProducts[[#Headers],[Company]],1)</f>
        <v/>
      </c>
      <c r="Y102" s="170" t="str" cm="1">
        <f t="array" ref="Y102">Common_InputFunctions.Utility_DisplayArrayInTable(Fertiliser_SourceData.Fertiliser_Products_Data1(), FertiliserProducts[[#Headers],[Company]],1)</f>
        <v/>
      </c>
      <c r="Z102" s="170" t="str" cm="1">
        <f t="array" ref="Z102">Common_InputFunctions.Utility_DisplayArrayInTable(Fertiliser_SourceData.Fertiliser_Products_Data1(), FertiliserProducts[[#Headers],[Company]],1)</f>
        <v/>
      </c>
      <c r="AA102" s="170" t="str" cm="1">
        <f t="array" ref="AA102">Common_InputFunctions.Utility_DisplayArrayInTable(Fertiliser_SourceData.Fertiliser_Products_Data1(), FertiliserProducts[[#Headers],[Company]],1)</f>
        <v/>
      </c>
      <c r="AB102" s="170" t="str" cm="1">
        <f t="array" ref="AB102">Common_InputFunctions.Utility_DisplayArrayInTable(Fertiliser_SourceData.Fertiliser_Products_Data1(), FertiliserProducts[[#Headers],[Company]],1)</f>
        <v/>
      </c>
      <c r="AC102" s="170" t="str" cm="1">
        <f t="array" ref="AC102">Common_InputFunctions.Utility_DisplayArrayInTable(Fertiliser_SourceData.Fertiliser_Products_Data1(), FertiliserProducts[[#Headers],[Company]],1)</f>
        <v/>
      </c>
      <c r="AD102" s="170" t="str" cm="1">
        <f t="array" ref="AD102">Common_InputFunctions.Utility_DisplayArrayInTable(Fertiliser_SourceData.Fertiliser_Products_Data1(), FertiliserProducts[[#Headers],[Company]],1)</f>
        <v/>
      </c>
      <c r="AE102" s="170" t="str" cm="1">
        <f t="array" ref="AE102">Common_InputFunctions.Utility_DisplayArrayInTable(Fertiliser_SourceData.Fertiliser_Products_Data1(), FertiliserProducts[[#Headers],[Company]],1)</f>
        <v/>
      </c>
      <c r="AF102" s="170" t="str" cm="1">
        <f t="array" ref="AF102">Common_InputFunctions.Utility_DisplayArrayInTable(Fertiliser_SourceData.Fertiliser_Products_Data1(), FertiliserProducts[[#Headers],[Company]],1)</f>
        <v/>
      </c>
      <c r="AG102" s="170" t="str" cm="1">
        <f t="array" ref="AG102">Common_InputFunctions.Utility_DisplayArrayInTable(Fertiliser_SourceData.Fertiliser_Products_Data1(), FertiliserProducts[[#Headers],[Company]],1)</f>
        <v/>
      </c>
      <c r="AH102" s="170" t="str" cm="1">
        <f t="array" ref="AH102">Common_InputFunctions.Utility_DisplayArrayInTable(Fertiliser_SourceData.Fertiliser_Products_Data1(), FertiliserProducts[[#Headers],[Company]],1)</f>
        <v/>
      </c>
      <c r="AK102" s="1"/>
      <c r="AL102" s="1"/>
      <c r="AM102" s="1"/>
    </row>
    <row r="103" spans="4:39" ht="20.100000000000001" customHeight="1" x14ac:dyDescent="0.2">
      <c r="D103" s="170" t="str" cm="1">
        <f t="array" ref="D103">Common_InputFunctions.Utility_DisplayArrayInTable(Fertiliser_SourceData.Fertiliser_Products_Data1(), FertiliserProducts[[#Headers],[Company]],1)</f>
        <v>Campbells fertilisers Australia</v>
      </c>
      <c r="E103" s="170" t="str" cm="1">
        <f t="array" ref="E103">Common_InputFunctions.Utility_DisplayArrayInTable(Fertiliser_SourceData.Fertiliser_Products_Data1(), FertiliserProducts[[#Headers],[Company]],1)</f>
        <v>Compass</v>
      </c>
      <c r="F103" s="170" t="str" cm="1">
        <f t="array" ref="F103">Common_InputFunctions.Utility_DisplayArrayInTable(Fertiliser_SourceData.Fertiliser_Products_Data1(), FertiliserProducts[[#Headers],[Company]],1)</f>
        <v>kg</v>
      </c>
      <c r="G103" s="170" cm="1">
        <f t="array" ref="G103">Common_InputFunctions.Utility_DisplayArrayInTable(Fertiliser_SourceData.Fertiliser_Products_Data1(), FertiliserProducts[[#Headers],[Company]],1)</f>
        <v>1</v>
      </c>
      <c r="H103" s="170" t="str" cm="1">
        <f t="array" ref="H103">Common_InputFunctions.Utility_DisplayArrayInTable(Fertiliser_SourceData.Fertiliser_Products_Data1(), FertiliserProducts[[#Headers],[Company]],1)</f>
        <v/>
      </c>
      <c r="I103" s="170" t="str" cm="1">
        <f t="array" ref="I103">Common_InputFunctions.Utility_DisplayArrayInTable(Fertiliser_SourceData.Fertiliser_Products_Data1(), FertiliserProducts[[#Headers],[Company]],1)</f>
        <v/>
      </c>
      <c r="J103" s="170" t="str" cm="1">
        <f t="array" ref="J103">Common_InputFunctions.Utility_DisplayArrayInTable(Fertiliser_SourceData.Fertiliser_Products_Data1(), FertiliserProducts[[#Headers],[Company]],1)</f>
        <v/>
      </c>
      <c r="K103" s="170" cm="1">
        <f t="array" ref="K103">Common_InputFunctions.Utility_DisplayArrayInTable(Fertiliser_SourceData.Fertiliser_Products_Data1(), FertiliserProducts[[#Headers],[Company]],1)</f>
        <v>15</v>
      </c>
      <c r="L103" s="170" cm="1">
        <f t="array" ref="L103">Common_InputFunctions.Utility_DisplayArrayInTable(Fertiliser_SourceData.Fertiliser_Products_Data1(), FertiliserProducts[[#Headers],[Company]],1)</f>
        <v>6.5</v>
      </c>
      <c r="M103" s="170" cm="1">
        <f t="array" ref="M103">Common_InputFunctions.Utility_DisplayArrayInTable(Fertiliser_SourceData.Fertiliser_Products_Data1(), FertiliserProducts[[#Headers],[Company]],1)</f>
        <v>12.5</v>
      </c>
      <c r="N103" s="170" cm="1">
        <f t="array" ref="N103">Common_InputFunctions.Utility_DisplayArrayInTable(Fertiliser_SourceData.Fertiliser_Products_Data1(), FertiliserProducts[[#Headers],[Company]],1)</f>
        <v>6</v>
      </c>
      <c r="O103" s="170" t="str" cm="1">
        <f t="array" ref="O103">Common_InputFunctions.Utility_DisplayArrayInTable(Fertiliser_SourceData.Fertiliser_Products_Data1(), FertiliserProducts[[#Headers],[Company]],1)</f>
        <v>Nitrogen - Ammoniacal</v>
      </c>
      <c r="P103" s="170" cm="1">
        <f t="array" ref="P103">Common_InputFunctions.Utility_DisplayArrayInTable(Fertiliser_SourceData.Fertiliser_Products_Data1(), FertiliserProducts[[#Headers],[Company]],1)</f>
        <v>7.4999999999999997E-2</v>
      </c>
      <c r="Q103" s="170" t="str" cm="1">
        <f t="array" ref="Q103">Common_InputFunctions.Utility_DisplayArrayInTable(Fertiliser_SourceData.Fertiliser_Products_Data1(), FertiliserProducts[[#Headers],[Company]],1)</f>
        <v>Nitrogen - Nitrate</v>
      </c>
      <c r="R103" s="170" cm="1">
        <f t="array" ref="R103">Common_InputFunctions.Utility_DisplayArrayInTable(Fertiliser_SourceData.Fertiliser_Products_Data1(), FertiliserProducts[[#Headers],[Company]],1)</f>
        <v>7.4999999999999997E-2</v>
      </c>
      <c r="S103" s="170" t="str" cm="1">
        <f t="array" ref="S103">Common_InputFunctions.Utility_DisplayArrayInTable(Fertiliser_SourceData.Fertiliser_Products_Data1(), FertiliserProducts[[#Headers],[Company]],1)</f>
        <v>Potassium - Generic</v>
      </c>
      <c r="T103" s="170" cm="1">
        <f t="array" ref="T103">Common_InputFunctions.Utility_DisplayArrayInTable(Fertiliser_SourceData.Fertiliser_Products_Data1(), FertiliserProducts[[#Headers],[Company]],1)</f>
        <v>0.125</v>
      </c>
      <c r="U103" s="170" t="str" cm="1">
        <f t="array" ref="U103">Common_InputFunctions.Utility_DisplayArrayInTable(Fertiliser_SourceData.Fertiliser_Products_Data1(), FertiliserProducts[[#Headers],[Company]],1)</f>
        <v>Phosphorus - Generic</v>
      </c>
      <c r="V103" s="170" cm="1">
        <f t="array" ref="V103">Common_InputFunctions.Utility_DisplayArrayInTable(Fertiliser_SourceData.Fertiliser_Products_Data1(), FertiliserProducts[[#Headers],[Company]],1)</f>
        <v>6.5000000000000002E-2</v>
      </c>
      <c r="W103" s="170" t="str" cm="1">
        <f t="array" ref="W103">Common_InputFunctions.Utility_DisplayArrayInTable(Fertiliser_SourceData.Fertiliser_Products_Data1(), FertiliserProducts[[#Headers],[Company]],1)</f>
        <v>Sulfur - Generic</v>
      </c>
      <c r="X103" s="170" cm="1">
        <f t="array" ref="X103">Common_InputFunctions.Utility_DisplayArrayInTable(Fertiliser_SourceData.Fertiliser_Products_Data1(), FertiliserProducts[[#Headers],[Company]],1)</f>
        <v>0.06</v>
      </c>
      <c r="Y103" s="170" t="str" cm="1">
        <f t="array" ref="Y103">Common_InputFunctions.Utility_DisplayArrayInTable(Fertiliser_SourceData.Fertiliser_Products_Data1(), FertiliserProducts[[#Headers],[Company]],1)</f>
        <v/>
      </c>
      <c r="Z103" s="170" t="str" cm="1">
        <f t="array" ref="Z103">Common_InputFunctions.Utility_DisplayArrayInTable(Fertiliser_SourceData.Fertiliser_Products_Data1(), FertiliserProducts[[#Headers],[Company]],1)</f>
        <v/>
      </c>
      <c r="AA103" s="170" t="str" cm="1">
        <f t="array" ref="AA103">Common_InputFunctions.Utility_DisplayArrayInTable(Fertiliser_SourceData.Fertiliser_Products_Data1(), FertiliserProducts[[#Headers],[Company]],1)</f>
        <v/>
      </c>
      <c r="AB103" s="170" t="str" cm="1">
        <f t="array" ref="AB103">Common_InputFunctions.Utility_DisplayArrayInTable(Fertiliser_SourceData.Fertiliser_Products_Data1(), FertiliserProducts[[#Headers],[Company]],1)</f>
        <v/>
      </c>
      <c r="AC103" s="170" t="str" cm="1">
        <f t="array" ref="AC103">Common_InputFunctions.Utility_DisplayArrayInTable(Fertiliser_SourceData.Fertiliser_Products_Data1(), FertiliserProducts[[#Headers],[Company]],1)</f>
        <v/>
      </c>
      <c r="AD103" s="170" t="str" cm="1">
        <f t="array" ref="AD103">Common_InputFunctions.Utility_DisplayArrayInTable(Fertiliser_SourceData.Fertiliser_Products_Data1(), FertiliserProducts[[#Headers],[Company]],1)</f>
        <v/>
      </c>
      <c r="AE103" s="170" t="str" cm="1">
        <f t="array" ref="AE103">Common_InputFunctions.Utility_DisplayArrayInTable(Fertiliser_SourceData.Fertiliser_Products_Data1(), FertiliserProducts[[#Headers],[Company]],1)</f>
        <v/>
      </c>
      <c r="AF103" s="170" t="str" cm="1">
        <f t="array" ref="AF103">Common_InputFunctions.Utility_DisplayArrayInTable(Fertiliser_SourceData.Fertiliser_Products_Data1(), FertiliserProducts[[#Headers],[Company]],1)</f>
        <v/>
      </c>
      <c r="AG103" s="170" t="str" cm="1">
        <f t="array" ref="AG103">Common_InputFunctions.Utility_DisplayArrayInTable(Fertiliser_SourceData.Fertiliser_Products_Data1(), FertiliserProducts[[#Headers],[Company]],1)</f>
        <v/>
      </c>
      <c r="AH103" s="170" t="str" cm="1">
        <f t="array" ref="AH103">Common_InputFunctions.Utility_DisplayArrayInTable(Fertiliser_SourceData.Fertiliser_Products_Data1(), FertiliserProducts[[#Headers],[Company]],1)</f>
        <v/>
      </c>
      <c r="AK103" s="1"/>
      <c r="AL103" s="1"/>
      <c r="AM103" s="1"/>
    </row>
    <row r="104" spans="4:39" ht="20.100000000000001" customHeight="1" x14ac:dyDescent="0.2">
      <c r="D104" s="170" t="str" cm="1">
        <f t="array" ref="D104">Common_InputFunctions.Utility_DisplayArrayInTable(Fertiliser_SourceData.Fertiliser_Products_Data1(), FertiliserProducts[[#Headers],[Company]],1)</f>
        <v>Campbells fertilisers Australia</v>
      </c>
      <c r="E104" s="170" t="str" cm="1">
        <f t="array" ref="E104">Common_InputFunctions.Utility_DisplayArrayInTable(Fertiliser_SourceData.Fertiliser_Products_Data1(), FertiliserProducts[[#Headers],[Company]],1)</f>
        <v>CoRoN 12-0-10</v>
      </c>
      <c r="F104" s="170" t="str" cm="1">
        <f t="array" ref="F104">Common_InputFunctions.Utility_DisplayArrayInTable(Fertiliser_SourceData.Fertiliser_Products_Data1(), FertiliserProducts[[#Headers],[Company]],1)</f>
        <v>L</v>
      </c>
      <c r="G104" s="170" cm="1">
        <f t="array" ref="G104">Common_InputFunctions.Utility_DisplayArrayInTable(Fertiliser_SourceData.Fertiliser_Products_Data1(), FertiliserProducts[[#Headers],[Company]],1)</f>
        <v>1.2150000000000001</v>
      </c>
      <c r="H104" s="170" t="str" cm="1">
        <f t="array" ref="H104">Common_InputFunctions.Utility_DisplayArrayInTable(Fertiliser_SourceData.Fertiliser_Products_Data1(), FertiliserProducts[[#Headers],[Company]],1)</f>
        <v/>
      </c>
      <c r="I104" s="170" t="str" cm="1">
        <f t="array" ref="I104">Common_InputFunctions.Utility_DisplayArrayInTable(Fertiliser_SourceData.Fertiliser_Products_Data1(), FertiliserProducts[[#Headers],[Company]],1)</f>
        <v/>
      </c>
      <c r="J104" s="170" t="str" cm="1">
        <f t="array" ref="J104">Common_InputFunctions.Utility_DisplayArrayInTable(Fertiliser_SourceData.Fertiliser_Products_Data1(), FertiliserProducts[[#Headers],[Company]],1)</f>
        <v/>
      </c>
      <c r="K104" s="170" cm="1">
        <f t="array" ref="K104">Common_InputFunctions.Utility_DisplayArrayInTable(Fertiliser_SourceData.Fertiliser_Products_Data1(), FertiliserProducts[[#Headers],[Company]],1)</f>
        <v>12</v>
      </c>
      <c r="L104" s="170" t="str" cm="1">
        <f t="array" ref="L104">Common_InputFunctions.Utility_DisplayArrayInTable(Fertiliser_SourceData.Fertiliser_Products_Data1(), FertiliserProducts[[#Headers],[Company]],1)</f>
        <v/>
      </c>
      <c r="M104" s="170" cm="1">
        <f t="array" ref="M104">Common_InputFunctions.Utility_DisplayArrayInTable(Fertiliser_SourceData.Fertiliser_Products_Data1(), FertiliserProducts[[#Headers],[Company]],1)</f>
        <v>10</v>
      </c>
      <c r="N104" s="170" t="str" cm="1">
        <f t="array" ref="N104">Common_InputFunctions.Utility_DisplayArrayInTable(Fertiliser_SourceData.Fertiliser_Products_Data1(), FertiliserProducts[[#Headers],[Company]],1)</f>
        <v/>
      </c>
      <c r="O104" s="170" t="str" cm="1">
        <f t="array" ref="O104">Common_InputFunctions.Utility_DisplayArrayInTable(Fertiliser_SourceData.Fertiliser_Products_Data1(), FertiliserProducts[[#Headers],[Company]],1)</f>
        <v>Urea</v>
      </c>
      <c r="P104" s="170" cm="1">
        <f t="array" ref="P104">Common_InputFunctions.Utility_DisplayArrayInTable(Fertiliser_SourceData.Fertiliser_Products_Data1(), FertiliserProducts[[#Headers],[Company]],1)</f>
        <v>0.19565199999999999</v>
      </c>
      <c r="Q104" s="170" t="str" cm="1">
        <f t="array" ref="Q104">Common_InputFunctions.Utility_DisplayArrayInTable(Fertiliser_SourceData.Fertiliser_Products_Data1(), FertiliserProducts[[#Headers],[Company]],1)</f>
        <v>Potassium - Generic</v>
      </c>
      <c r="R104" s="170" cm="1">
        <f t="array" ref="R104">Common_InputFunctions.Utility_DisplayArrayInTable(Fertiliser_SourceData.Fertiliser_Products_Data1(), FertiliserProducts[[#Headers],[Company]],1)</f>
        <v>0.1</v>
      </c>
      <c r="S104" s="170" t="str" cm="1">
        <f t="array" ref="S104">Common_InputFunctions.Utility_DisplayArrayInTable(Fertiliser_SourceData.Fertiliser_Products_Data1(), FertiliserProducts[[#Headers],[Company]],1)</f>
        <v>Nitrogen - Generic</v>
      </c>
      <c r="T104" s="170" cm="1">
        <f t="array" ref="T104">Common_InputFunctions.Utility_DisplayArrayInTable(Fertiliser_SourceData.Fertiliser_Products_Data1(), FertiliserProducts[[#Headers],[Company]],1)</f>
        <v>0.03</v>
      </c>
      <c r="U104" s="170" t="str" cm="1">
        <f t="array" ref="U104">Common_InputFunctions.Utility_DisplayArrayInTable(Fertiliser_SourceData.Fertiliser_Products_Data1(), FertiliserProducts[[#Headers],[Company]],1)</f>
        <v>Boron</v>
      </c>
      <c r="V104" s="170" cm="1">
        <f t="array" ref="V104">Common_InputFunctions.Utility_DisplayArrayInTable(Fertiliser_SourceData.Fertiliser_Products_Data1(), FertiliserProducts[[#Headers],[Company]],1)</f>
        <v>5.0000000000000001E-3</v>
      </c>
      <c r="W104" s="170" t="str" cm="1">
        <f t="array" ref="W104">Common_InputFunctions.Utility_DisplayArrayInTable(Fertiliser_SourceData.Fertiliser_Products_Data1(), FertiliserProducts[[#Headers],[Company]],1)</f>
        <v/>
      </c>
      <c r="X104" s="170" t="str" cm="1">
        <f t="array" ref="X104">Common_InputFunctions.Utility_DisplayArrayInTable(Fertiliser_SourceData.Fertiliser_Products_Data1(), FertiliserProducts[[#Headers],[Company]],1)</f>
        <v/>
      </c>
      <c r="Y104" s="170" t="str" cm="1">
        <f t="array" ref="Y104">Common_InputFunctions.Utility_DisplayArrayInTable(Fertiliser_SourceData.Fertiliser_Products_Data1(), FertiliserProducts[[#Headers],[Company]],1)</f>
        <v/>
      </c>
      <c r="Z104" s="170" t="str" cm="1">
        <f t="array" ref="Z104">Common_InputFunctions.Utility_DisplayArrayInTable(Fertiliser_SourceData.Fertiliser_Products_Data1(), FertiliserProducts[[#Headers],[Company]],1)</f>
        <v/>
      </c>
      <c r="AA104" s="170" t="str" cm="1">
        <f t="array" ref="AA104">Common_InputFunctions.Utility_DisplayArrayInTable(Fertiliser_SourceData.Fertiliser_Products_Data1(), FertiliserProducts[[#Headers],[Company]],1)</f>
        <v/>
      </c>
      <c r="AB104" s="170" t="str" cm="1">
        <f t="array" ref="AB104">Common_InputFunctions.Utility_DisplayArrayInTable(Fertiliser_SourceData.Fertiliser_Products_Data1(), FertiliserProducts[[#Headers],[Company]],1)</f>
        <v/>
      </c>
      <c r="AC104" s="170" t="str" cm="1">
        <f t="array" ref="AC104">Common_InputFunctions.Utility_DisplayArrayInTable(Fertiliser_SourceData.Fertiliser_Products_Data1(), FertiliserProducts[[#Headers],[Company]],1)</f>
        <v/>
      </c>
      <c r="AD104" s="170" t="str" cm="1">
        <f t="array" ref="AD104">Common_InputFunctions.Utility_DisplayArrayInTable(Fertiliser_SourceData.Fertiliser_Products_Data1(), FertiliserProducts[[#Headers],[Company]],1)</f>
        <v/>
      </c>
      <c r="AE104" s="170" t="str" cm="1">
        <f t="array" ref="AE104">Common_InputFunctions.Utility_DisplayArrayInTable(Fertiliser_SourceData.Fertiliser_Products_Data1(), FertiliserProducts[[#Headers],[Company]],1)</f>
        <v/>
      </c>
      <c r="AF104" s="170" t="str" cm="1">
        <f t="array" ref="AF104">Common_InputFunctions.Utility_DisplayArrayInTable(Fertiliser_SourceData.Fertiliser_Products_Data1(), FertiliserProducts[[#Headers],[Company]],1)</f>
        <v/>
      </c>
      <c r="AG104" s="170" t="str" cm="1">
        <f t="array" ref="AG104">Common_InputFunctions.Utility_DisplayArrayInTable(Fertiliser_SourceData.Fertiliser_Products_Data1(), FertiliserProducts[[#Headers],[Company]],1)</f>
        <v/>
      </c>
      <c r="AH104" s="170" t="str" cm="1">
        <f t="array" ref="AH104">Common_InputFunctions.Utility_DisplayArrayInTable(Fertiliser_SourceData.Fertiliser_Products_Data1(), FertiliserProducts[[#Headers],[Company]],1)</f>
        <v/>
      </c>
      <c r="AK104" s="1"/>
      <c r="AL104" s="1"/>
      <c r="AM104" s="1"/>
    </row>
    <row r="105" spans="4:39" ht="20.100000000000001" customHeight="1" x14ac:dyDescent="0.2">
      <c r="D105" s="170" t="str" cm="1">
        <f t="array" ref="D105">Common_InputFunctions.Utility_DisplayArrayInTable(Fertiliser_SourceData.Fertiliser_Products_Data1(), FertiliserProducts[[#Headers],[Company]],1)</f>
        <v>Campbells fertilisers Australia</v>
      </c>
      <c r="E105" s="170" t="str" cm="1">
        <f t="array" ref="E105">Common_InputFunctions.Utility_DisplayArrayInTable(Fertiliser_SourceData.Fertiliser_Products_Data1(), FertiliserProducts[[#Headers],[Company]],1)</f>
        <v>Maximum Quick-N</v>
      </c>
      <c r="F105" s="170" t="str" cm="1">
        <f t="array" ref="F105">Common_InputFunctions.Utility_DisplayArrayInTable(Fertiliser_SourceData.Fertiliser_Products_Data1(), FertiliserProducts[[#Headers],[Company]],1)</f>
        <v>kg</v>
      </c>
      <c r="G105" s="170" cm="1">
        <f t="array" ref="G105">Common_InputFunctions.Utility_DisplayArrayInTable(Fertiliser_SourceData.Fertiliser_Products_Data1(), FertiliserProducts[[#Headers],[Company]],1)</f>
        <v>1</v>
      </c>
      <c r="H105" s="170" t="str" cm="1">
        <f t="array" ref="H105">Common_InputFunctions.Utility_DisplayArrayInTable(Fertiliser_SourceData.Fertiliser_Products_Data1(), FertiliserProducts[[#Headers],[Company]],1)</f>
        <v/>
      </c>
      <c r="I105" s="170" t="str" cm="1">
        <f t="array" ref="I105">Common_InputFunctions.Utility_DisplayArrayInTable(Fertiliser_SourceData.Fertiliser_Products_Data1(), FertiliserProducts[[#Headers],[Company]],1)</f>
        <v/>
      </c>
      <c r="J105" s="170" t="str" cm="1">
        <f t="array" ref="J105">Common_InputFunctions.Utility_DisplayArrayInTable(Fertiliser_SourceData.Fertiliser_Products_Data1(), FertiliserProducts[[#Headers],[Company]],1)</f>
        <v/>
      </c>
      <c r="K105" s="170" cm="1">
        <f t="array" ref="K105">Common_InputFunctions.Utility_DisplayArrayInTable(Fertiliser_SourceData.Fertiliser_Products_Data1(), FertiliserProducts[[#Headers],[Company]],1)</f>
        <v>21.66</v>
      </c>
      <c r="L105" s="170" t="str" cm="1">
        <f t="array" ref="L105">Common_InputFunctions.Utility_DisplayArrayInTable(Fertiliser_SourceData.Fertiliser_Products_Data1(), FertiliserProducts[[#Headers],[Company]],1)</f>
        <v/>
      </c>
      <c r="M105" s="170" t="str" cm="1">
        <f t="array" ref="M105">Common_InputFunctions.Utility_DisplayArrayInTable(Fertiliser_SourceData.Fertiliser_Products_Data1(), FertiliserProducts[[#Headers],[Company]],1)</f>
        <v/>
      </c>
      <c r="N105" s="170" cm="1">
        <f t="array" ref="N105">Common_InputFunctions.Utility_DisplayArrayInTable(Fertiliser_SourceData.Fertiliser_Products_Data1(), FertiliserProducts[[#Headers],[Company]],1)</f>
        <v>13.2</v>
      </c>
      <c r="O105" s="170" t="str" cm="1">
        <f t="array" ref="O105">Common_InputFunctions.Utility_DisplayArrayInTable(Fertiliser_SourceData.Fertiliser_Products_Data1(), FertiliserProducts[[#Headers],[Company]],1)</f>
        <v>Sulphate of ammonia (SOA)</v>
      </c>
      <c r="P105" s="170" cm="1">
        <f t="array" ref="P105">Common_InputFunctions.Utility_DisplayArrayInTable(Fertiliser_SourceData.Fertiliser_Products_Data1(), FertiliserProducts[[#Headers],[Company]],1)</f>
        <v>0.55000000000000004</v>
      </c>
      <c r="Q105" s="170" t="str" cm="1">
        <f t="array" ref="Q105">Common_InputFunctions.Utility_DisplayArrayInTable(Fertiliser_SourceData.Fertiliser_Products_Data1(), FertiliserProducts[[#Headers],[Company]],1)</f>
        <v>Ammonium nitrate (AN)</v>
      </c>
      <c r="R105" s="170" cm="1">
        <f t="array" ref="R105">Common_InputFunctions.Utility_DisplayArrayInTable(Fertiliser_SourceData.Fertiliser_Products_Data1(), FertiliserProducts[[#Headers],[Company]],1)</f>
        <v>0.3</v>
      </c>
      <c r="S105" s="170" t="str" cm="1">
        <f t="array" ref="S105">Common_InputFunctions.Utility_DisplayArrayInTable(Fertiliser_SourceData.Fertiliser_Products_Data1(), FertiliserProducts[[#Headers],[Company]],1)</f>
        <v/>
      </c>
      <c r="T105" s="170" t="str" cm="1">
        <f t="array" ref="T105">Common_InputFunctions.Utility_DisplayArrayInTable(Fertiliser_SourceData.Fertiliser_Products_Data1(), FertiliserProducts[[#Headers],[Company]],1)</f>
        <v/>
      </c>
      <c r="U105" s="170" t="str" cm="1">
        <f t="array" ref="U105">Common_InputFunctions.Utility_DisplayArrayInTable(Fertiliser_SourceData.Fertiliser_Products_Data1(), FertiliserProducts[[#Headers],[Company]],1)</f>
        <v/>
      </c>
      <c r="V105" s="170" t="str" cm="1">
        <f t="array" ref="V105">Common_InputFunctions.Utility_DisplayArrayInTable(Fertiliser_SourceData.Fertiliser_Products_Data1(), FertiliserProducts[[#Headers],[Company]],1)</f>
        <v/>
      </c>
      <c r="W105" s="170" t="str" cm="1">
        <f t="array" ref="W105">Common_InputFunctions.Utility_DisplayArrayInTable(Fertiliser_SourceData.Fertiliser_Products_Data1(), FertiliserProducts[[#Headers],[Company]],1)</f>
        <v/>
      </c>
      <c r="X105" s="170" t="str" cm="1">
        <f t="array" ref="X105">Common_InputFunctions.Utility_DisplayArrayInTable(Fertiliser_SourceData.Fertiliser_Products_Data1(), FertiliserProducts[[#Headers],[Company]],1)</f>
        <v/>
      </c>
      <c r="Y105" s="170" t="str" cm="1">
        <f t="array" ref="Y105">Common_InputFunctions.Utility_DisplayArrayInTable(Fertiliser_SourceData.Fertiliser_Products_Data1(), FertiliserProducts[[#Headers],[Company]],1)</f>
        <v/>
      </c>
      <c r="Z105" s="170" t="str" cm="1">
        <f t="array" ref="Z105">Common_InputFunctions.Utility_DisplayArrayInTable(Fertiliser_SourceData.Fertiliser_Products_Data1(), FertiliserProducts[[#Headers],[Company]],1)</f>
        <v/>
      </c>
      <c r="AA105" s="170" t="str" cm="1">
        <f t="array" ref="AA105">Common_InputFunctions.Utility_DisplayArrayInTable(Fertiliser_SourceData.Fertiliser_Products_Data1(), FertiliserProducts[[#Headers],[Company]],1)</f>
        <v/>
      </c>
      <c r="AB105" s="170" t="str" cm="1">
        <f t="array" ref="AB105">Common_InputFunctions.Utility_DisplayArrayInTable(Fertiliser_SourceData.Fertiliser_Products_Data1(), FertiliserProducts[[#Headers],[Company]],1)</f>
        <v/>
      </c>
      <c r="AC105" s="170" t="str" cm="1">
        <f t="array" ref="AC105">Common_InputFunctions.Utility_DisplayArrayInTable(Fertiliser_SourceData.Fertiliser_Products_Data1(), FertiliserProducts[[#Headers],[Company]],1)</f>
        <v/>
      </c>
      <c r="AD105" s="170" t="str" cm="1">
        <f t="array" ref="AD105">Common_InputFunctions.Utility_DisplayArrayInTable(Fertiliser_SourceData.Fertiliser_Products_Data1(), FertiliserProducts[[#Headers],[Company]],1)</f>
        <v/>
      </c>
      <c r="AE105" s="170" t="str" cm="1">
        <f t="array" ref="AE105">Common_InputFunctions.Utility_DisplayArrayInTable(Fertiliser_SourceData.Fertiliser_Products_Data1(), FertiliserProducts[[#Headers],[Company]],1)</f>
        <v/>
      </c>
      <c r="AF105" s="170" t="str" cm="1">
        <f t="array" ref="AF105">Common_InputFunctions.Utility_DisplayArrayInTable(Fertiliser_SourceData.Fertiliser_Products_Data1(), FertiliserProducts[[#Headers],[Company]],1)</f>
        <v/>
      </c>
      <c r="AG105" s="170" t="str" cm="1">
        <f t="array" ref="AG105">Common_InputFunctions.Utility_DisplayArrayInTable(Fertiliser_SourceData.Fertiliser_Products_Data1(), FertiliserProducts[[#Headers],[Company]],1)</f>
        <v/>
      </c>
      <c r="AH105" s="170" t="str" cm="1">
        <f t="array" ref="AH105">Common_InputFunctions.Utility_DisplayArrayInTable(Fertiliser_SourceData.Fertiliser_Products_Data1(), FertiliserProducts[[#Headers],[Company]],1)</f>
        <v/>
      </c>
      <c r="AK105" s="1"/>
      <c r="AL105" s="1"/>
      <c r="AM105" s="1"/>
    </row>
    <row r="106" spans="4:39" ht="20.100000000000001" customHeight="1" x14ac:dyDescent="0.2">
      <c r="D106" s="170" t="str" cm="1">
        <f t="array" ref="D106">Common_InputFunctions.Utility_DisplayArrayInTable(Fertiliser_SourceData.Fertiliser_Products_Data1(), FertiliserProducts[[#Headers],[Company]],1)</f>
        <v>SL Tec</v>
      </c>
      <c r="E106" s="170" t="str" cm="1">
        <f t="array" ref="E106">Common_InputFunctions.Utility_DisplayArrayInTable(Fertiliser_SourceData.Fertiliser_Products_Data1(), FertiliserProducts[[#Headers],[Company]],1)</f>
        <v>Crop Booster PLUS</v>
      </c>
      <c r="F106" s="170" t="str" cm="1">
        <f t="array" ref="F106">Common_InputFunctions.Utility_DisplayArrayInTable(Fertiliser_SourceData.Fertiliser_Products_Data1(), FertiliserProducts[[#Headers],[Company]],1)</f>
        <v>L</v>
      </c>
      <c r="G106" s="170" cm="1">
        <f t="array" ref="G106">Common_InputFunctions.Utility_DisplayArrayInTable(Fertiliser_SourceData.Fertiliser_Products_Data1(), FertiliserProducts[[#Headers],[Company]],1)</f>
        <v>1.319</v>
      </c>
      <c r="H106" s="170" t="str" cm="1">
        <f t="array" ref="H106">Common_InputFunctions.Utility_DisplayArrayInTable(Fertiliser_SourceData.Fertiliser_Products_Data1(), FertiliserProducts[[#Headers],[Company]],1)</f>
        <v/>
      </c>
      <c r="I106" s="170" t="str" cm="1">
        <f t="array" ref="I106">Common_InputFunctions.Utility_DisplayArrayInTable(Fertiliser_SourceData.Fertiliser_Products_Data1(), FertiliserProducts[[#Headers],[Company]],1)</f>
        <v/>
      </c>
      <c r="J106" s="170" t="str" cm="1">
        <f t="array" ref="J106">Common_InputFunctions.Utility_DisplayArrayInTable(Fertiliser_SourceData.Fertiliser_Products_Data1(), FertiliserProducts[[#Headers],[Company]],1)</f>
        <v/>
      </c>
      <c r="K106" s="170" cm="1">
        <f t="array" ref="K106">Common_InputFunctions.Utility_DisplayArrayInTable(Fertiliser_SourceData.Fertiliser_Products_Data1(), FertiliserProducts[[#Headers],[Company]],1)</f>
        <v>5</v>
      </c>
      <c r="L106" s="170" cm="1">
        <f t="array" ref="L106">Common_InputFunctions.Utility_DisplayArrayInTable(Fertiliser_SourceData.Fertiliser_Products_Data1(), FertiliserProducts[[#Headers],[Company]],1)</f>
        <v>15</v>
      </c>
      <c r="M106" s="170" cm="1">
        <f t="array" ref="M106">Common_InputFunctions.Utility_DisplayArrayInTable(Fertiliser_SourceData.Fertiliser_Products_Data1(), FertiliserProducts[[#Headers],[Company]],1)</f>
        <v>2.1</v>
      </c>
      <c r="N106" s="170" t="str" cm="1">
        <f t="array" ref="N106">Common_InputFunctions.Utility_DisplayArrayInTable(Fertiliser_SourceData.Fertiliser_Products_Data1(), FertiliserProducts[[#Headers],[Company]],1)</f>
        <v/>
      </c>
      <c r="O106" s="170" t="str" cm="1">
        <f t="array" ref="O106">Common_InputFunctions.Utility_DisplayArrayInTable(Fertiliser_SourceData.Fertiliser_Products_Data1(), FertiliserProducts[[#Headers],[Company]],1)</f>
        <v>Phosphorus - Generic</v>
      </c>
      <c r="P106" s="170" cm="1">
        <f t="array" ref="P106">Common_InputFunctions.Utility_DisplayArrayInTable(Fertiliser_SourceData.Fertiliser_Products_Data1(), FertiliserProducts[[#Headers],[Company]],1)</f>
        <v>0.15</v>
      </c>
      <c r="Q106" s="170" t="str" cm="1">
        <f t="array" ref="Q106">Common_InputFunctions.Utility_DisplayArrayInTable(Fertiliser_SourceData.Fertiliser_Products_Data1(), FertiliserProducts[[#Headers],[Company]],1)</f>
        <v>Calcium</v>
      </c>
      <c r="R106" s="170" cm="1">
        <f t="array" ref="R106">Common_InputFunctions.Utility_DisplayArrayInTable(Fertiliser_SourceData.Fertiliser_Products_Data1(), FertiliserProducts[[#Headers],[Company]],1)</f>
        <v>0.04</v>
      </c>
      <c r="S106" s="170" t="str" cm="1">
        <f t="array" ref="S106">Common_InputFunctions.Utility_DisplayArrayInTable(Fertiliser_SourceData.Fertiliser_Products_Data1(), FertiliserProducts[[#Headers],[Company]],1)</f>
        <v>Nitrogen - Ammoniacal</v>
      </c>
      <c r="T106" s="170" cm="1">
        <f t="array" ref="T106">Common_InputFunctions.Utility_DisplayArrayInTable(Fertiliser_SourceData.Fertiliser_Products_Data1(), FertiliserProducts[[#Headers],[Company]],1)</f>
        <v>2.9000000000000001E-2</v>
      </c>
      <c r="U106" s="170" t="str" cm="1">
        <f t="array" ref="U106">Common_InputFunctions.Utility_DisplayArrayInTable(Fertiliser_SourceData.Fertiliser_Products_Data1(), FertiliserProducts[[#Headers],[Company]],1)</f>
        <v>Nitrogen - Nitrate</v>
      </c>
      <c r="V106" s="170" cm="1">
        <f t="array" ref="V106">Common_InputFunctions.Utility_DisplayArrayInTable(Fertiliser_SourceData.Fertiliser_Products_Data1(), FertiliserProducts[[#Headers],[Company]],1)</f>
        <v>2.1000000000000001E-2</v>
      </c>
      <c r="W106" s="170" t="str" cm="1">
        <f t="array" ref="W106">Common_InputFunctions.Utility_DisplayArrayInTable(Fertiliser_SourceData.Fertiliser_Products_Data1(), FertiliserProducts[[#Headers],[Company]],1)</f>
        <v>Potassium - Generic</v>
      </c>
      <c r="X106" s="170" cm="1">
        <f t="array" ref="X106">Common_InputFunctions.Utility_DisplayArrayInTable(Fertiliser_SourceData.Fertiliser_Products_Data1(), FertiliserProducts[[#Headers],[Company]],1)</f>
        <v>2.1000000000000001E-2</v>
      </c>
      <c r="Y106" s="170" t="str" cm="1">
        <f t="array" ref="Y106">Common_InputFunctions.Utility_DisplayArrayInTable(Fertiliser_SourceData.Fertiliser_Products_Data1(), FertiliserProducts[[#Headers],[Company]],1)</f>
        <v>Copper</v>
      </c>
      <c r="Z106" s="170" cm="1">
        <f t="array" ref="Z106">Common_InputFunctions.Utility_DisplayArrayInTable(Fertiliser_SourceData.Fertiliser_Products_Data1(), FertiliserProducts[[#Headers],[Company]],1)</f>
        <v>5.0000000000000001E-3</v>
      </c>
      <c r="AA106" s="170" t="str" cm="1">
        <f t="array" ref="AA106">Common_InputFunctions.Utility_DisplayArrayInTable(Fertiliser_SourceData.Fertiliser_Products_Data1(), FertiliserProducts[[#Headers],[Company]],1)</f>
        <v>Zinc</v>
      </c>
      <c r="AB106" s="170" cm="1">
        <f t="array" ref="AB106">Common_InputFunctions.Utility_DisplayArrayInTable(Fertiliser_SourceData.Fertiliser_Products_Data1(), FertiliserProducts[[#Headers],[Company]],1)</f>
        <v>4.0000000000000001E-3</v>
      </c>
      <c r="AC106" s="170" t="str" cm="1">
        <f t="array" ref="AC106">Common_InputFunctions.Utility_DisplayArrayInTable(Fertiliser_SourceData.Fertiliser_Products_Data1(), FertiliserProducts[[#Headers],[Company]],1)</f>
        <v>Manganese</v>
      </c>
      <c r="AD106" s="170" cm="1">
        <f t="array" ref="AD106">Common_InputFunctions.Utility_DisplayArrayInTable(Fertiliser_SourceData.Fertiliser_Products_Data1(), FertiliserProducts[[#Headers],[Company]],1)</f>
        <v>4.0000000000000001E-3</v>
      </c>
      <c r="AE106" s="170" t="str" cm="1">
        <f t="array" ref="AE106">Common_InputFunctions.Utility_DisplayArrayInTable(Fertiliser_SourceData.Fertiliser_Products_Data1(), FertiliserProducts[[#Headers],[Company]],1)</f>
        <v>Magnesium</v>
      </c>
      <c r="AF106" s="170" cm="1">
        <f t="array" ref="AF106">Common_InputFunctions.Utility_DisplayArrayInTable(Fertiliser_SourceData.Fertiliser_Products_Data1(), FertiliserProducts[[#Headers],[Company]],1)</f>
        <v>2E-3</v>
      </c>
      <c r="AG106" s="170" t="str" cm="1">
        <f t="array" ref="AG106">Common_InputFunctions.Utility_DisplayArrayInTable(Fertiliser_SourceData.Fertiliser_Products_Data1(), FertiliserProducts[[#Headers],[Company]],1)</f>
        <v/>
      </c>
      <c r="AH106" s="170" t="str" cm="1">
        <f t="array" ref="AH106">Common_InputFunctions.Utility_DisplayArrayInTable(Fertiliser_SourceData.Fertiliser_Products_Data1(), FertiliserProducts[[#Headers],[Company]],1)</f>
        <v/>
      </c>
      <c r="AK106" s="1"/>
      <c r="AL106" s="1"/>
      <c r="AM106" s="1"/>
    </row>
    <row r="107" spans="4:39" ht="20.100000000000001" customHeight="1" x14ac:dyDescent="0.2">
      <c r="D107" s="170" t="str" cm="1">
        <f t="array" ref="D107">Common_InputFunctions.Utility_DisplayArrayInTable(Fertiliser_SourceData.Fertiliser_Products_Data1(), FertiliserProducts[[#Headers],[Company]],1)</f>
        <v>Risso-Chemical</v>
      </c>
      <c r="E107" s="170" t="str" cm="1">
        <f t="array" ref="E107">Common_InputFunctions.Utility_DisplayArrayInTable(Fertiliser_SourceData.Fertiliser_Products_Data1(), FertiliserProducts[[#Headers],[Company]],1)</f>
        <v>Ammonium Bicarbonate</v>
      </c>
      <c r="F107" s="170" t="str" cm="1">
        <f t="array" ref="F107">Common_InputFunctions.Utility_DisplayArrayInTable(Fertiliser_SourceData.Fertiliser_Products_Data1(), FertiliserProducts[[#Headers],[Company]],1)</f>
        <v>kg</v>
      </c>
      <c r="G107" s="170" cm="1">
        <f t="array" ref="G107">Common_InputFunctions.Utility_DisplayArrayInTable(Fertiliser_SourceData.Fertiliser_Products_Data1(), FertiliserProducts[[#Headers],[Company]],1)</f>
        <v>1</v>
      </c>
      <c r="H107" s="170" t="str" cm="1">
        <f t="array" ref="H107">Common_InputFunctions.Utility_DisplayArrayInTable(Fertiliser_SourceData.Fertiliser_Products_Data1(), FertiliserProducts[[#Headers],[Company]],1)</f>
        <v/>
      </c>
      <c r="I107" s="170" t="str" cm="1">
        <f t="array" ref="I107">Common_InputFunctions.Utility_DisplayArrayInTable(Fertiliser_SourceData.Fertiliser_Products_Data1(), FertiliserProducts[[#Headers],[Company]],1)</f>
        <v/>
      </c>
      <c r="J107" s="170" t="str" cm="1">
        <f t="array" ref="J107">Common_InputFunctions.Utility_DisplayArrayInTable(Fertiliser_SourceData.Fertiliser_Products_Data1(), FertiliserProducts[[#Headers],[Company]],1)</f>
        <v>China</v>
      </c>
      <c r="K107" s="170" cm="1">
        <f t="array" ref="K107">Common_InputFunctions.Utility_DisplayArrayInTable(Fertiliser_SourceData.Fertiliser_Products_Data1(), FertiliserProducts[[#Headers],[Company]],1)</f>
        <v>17.7</v>
      </c>
      <c r="L107" s="170" t="str" cm="1">
        <f t="array" ref="L107">Common_InputFunctions.Utility_DisplayArrayInTable(Fertiliser_SourceData.Fertiliser_Products_Data1(), FertiliserProducts[[#Headers],[Company]],1)</f>
        <v/>
      </c>
      <c r="M107" s="170" t="str" cm="1">
        <f t="array" ref="M107">Common_InputFunctions.Utility_DisplayArrayInTable(Fertiliser_SourceData.Fertiliser_Products_Data1(), FertiliserProducts[[#Headers],[Company]],1)</f>
        <v/>
      </c>
      <c r="N107" s="170" t="str" cm="1">
        <f t="array" ref="N107">Common_InputFunctions.Utility_DisplayArrayInTable(Fertiliser_SourceData.Fertiliser_Products_Data1(), FertiliserProducts[[#Headers],[Company]],1)</f>
        <v/>
      </c>
      <c r="O107" s="170" t="str" cm="1">
        <f t="array" ref="O107">Common_InputFunctions.Utility_DisplayArrayInTable(Fertiliser_SourceData.Fertiliser_Products_Data1(), FertiliserProducts[[#Headers],[Company]],1)</f>
        <v>Nitrogen - Ammoniacal</v>
      </c>
      <c r="P107" s="170" cm="1">
        <f t="array" ref="P107">Common_InputFunctions.Utility_DisplayArrayInTable(Fertiliser_SourceData.Fertiliser_Products_Data1(), FertiliserProducts[[#Headers],[Company]],1)</f>
        <v>0.17699999999999999</v>
      </c>
      <c r="Q107" s="170" t="str" cm="1">
        <f t="array" ref="Q107">Common_InputFunctions.Utility_DisplayArrayInTable(Fertiliser_SourceData.Fertiliser_Products_Data1(), FertiliserProducts[[#Headers],[Company]],1)</f>
        <v/>
      </c>
      <c r="R107" s="170" t="str" cm="1">
        <f t="array" ref="R107">Common_InputFunctions.Utility_DisplayArrayInTable(Fertiliser_SourceData.Fertiliser_Products_Data1(), FertiliserProducts[[#Headers],[Company]],1)</f>
        <v/>
      </c>
      <c r="S107" s="170" t="str" cm="1">
        <f t="array" ref="S107">Common_InputFunctions.Utility_DisplayArrayInTable(Fertiliser_SourceData.Fertiliser_Products_Data1(), FertiliserProducts[[#Headers],[Company]],1)</f>
        <v/>
      </c>
      <c r="T107" s="170" t="str" cm="1">
        <f t="array" ref="T107">Common_InputFunctions.Utility_DisplayArrayInTable(Fertiliser_SourceData.Fertiliser_Products_Data1(), FertiliserProducts[[#Headers],[Company]],1)</f>
        <v/>
      </c>
      <c r="U107" s="170" t="str" cm="1">
        <f t="array" ref="U107">Common_InputFunctions.Utility_DisplayArrayInTable(Fertiliser_SourceData.Fertiliser_Products_Data1(), FertiliserProducts[[#Headers],[Company]],1)</f>
        <v/>
      </c>
      <c r="V107" s="170" t="str" cm="1">
        <f t="array" ref="V107">Common_InputFunctions.Utility_DisplayArrayInTable(Fertiliser_SourceData.Fertiliser_Products_Data1(), FertiliserProducts[[#Headers],[Company]],1)</f>
        <v/>
      </c>
      <c r="W107" s="170" t="str" cm="1">
        <f t="array" ref="W107">Common_InputFunctions.Utility_DisplayArrayInTable(Fertiliser_SourceData.Fertiliser_Products_Data1(), FertiliserProducts[[#Headers],[Company]],1)</f>
        <v/>
      </c>
      <c r="X107" s="170" t="str" cm="1">
        <f t="array" ref="X107">Common_InputFunctions.Utility_DisplayArrayInTable(Fertiliser_SourceData.Fertiliser_Products_Data1(), FertiliserProducts[[#Headers],[Company]],1)</f>
        <v/>
      </c>
      <c r="Y107" s="170" t="str" cm="1">
        <f t="array" ref="Y107">Common_InputFunctions.Utility_DisplayArrayInTable(Fertiliser_SourceData.Fertiliser_Products_Data1(), FertiliserProducts[[#Headers],[Company]],1)</f>
        <v/>
      </c>
      <c r="Z107" s="170" t="str" cm="1">
        <f t="array" ref="Z107">Common_InputFunctions.Utility_DisplayArrayInTable(Fertiliser_SourceData.Fertiliser_Products_Data1(), FertiliserProducts[[#Headers],[Company]],1)</f>
        <v/>
      </c>
      <c r="AA107" s="170" t="str" cm="1">
        <f t="array" ref="AA107">Common_InputFunctions.Utility_DisplayArrayInTable(Fertiliser_SourceData.Fertiliser_Products_Data1(), FertiliserProducts[[#Headers],[Company]],1)</f>
        <v/>
      </c>
      <c r="AB107" s="170" t="str" cm="1">
        <f t="array" ref="AB107">Common_InputFunctions.Utility_DisplayArrayInTable(Fertiliser_SourceData.Fertiliser_Products_Data1(), FertiliserProducts[[#Headers],[Company]],1)</f>
        <v/>
      </c>
      <c r="AC107" s="170" t="str" cm="1">
        <f t="array" ref="AC107">Common_InputFunctions.Utility_DisplayArrayInTable(Fertiliser_SourceData.Fertiliser_Products_Data1(), FertiliserProducts[[#Headers],[Company]],1)</f>
        <v/>
      </c>
      <c r="AD107" s="170" t="str" cm="1">
        <f t="array" ref="AD107">Common_InputFunctions.Utility_DisplayArrayInTable(Fertiliser_SourceData.Fertiliser_Products_Data1(), FertiliserProducts[[#Headers],[Company]],1)</f>
        <v/>
      </c>
      <c r="AE107" s="170" t="str" cm="1">
        <f t="array" ref="AE107">Common_InputFunctions.Utility_DisplayArrayInTable(Fertiliser_SourceData.Fertiliser_Products_Data1(), FertiliserProducts[[#Headers],[Company]],1)</f>
        <v/>
      </c>
      <c r="AF107" s="170" t="str" cm="1">
        <f t="array" ref="AF107">Common_InputFunctions.Utility_DisplayArrayInTable(Fertiliser_SourceData.Fertiliser_Products_Data1(), FertiliserProducts[[#Headers],[Company]],1)</f>
        <v/>
      </c>
      <c r="AG107" s="170" t="str" cm="1">
        <f t="array" ref="AG107">Common_InputFunctions.Utility_DisplayArrayInTable(Fertiliser_SourceData.Fertiliser_Products_Data1(), FertiliserProducts[[#Headers],[Company]],1)</f>
        <v/>
      </c>
      <c r="AH107" s="170" t="str" cm="1">
        <f t="array" ref="AH107">Common_InputFunctions.Utility_DisplayArrayInTable(Fertiliser_SourceData.Fertiliser_Products_Data1(), FertiliserProducts[[#Headers],[Company]],1)</f>
        <v/>
      </c>
      <c r="AK107" s="1"/>
      <c r="AL107" s="1"/>
      <c r="AM107" s="1"/>
    </row>
    <row r="108" spans="4:39" ht="20.100000000000001" customHeight="1" x14ac:dyDescent="0.2">
      <c r="D108" s="170" t="str" cm="1">
        <f t="array" ref="D108">Common_InputFunctions.Utility_DisplayArrayInTable(Fertiliser_SourceData.Fertiliser_Products_Data1(), FertiliserProducts[[#Headers],[Company]],1)</f>
        <v>Risso-Chemical</v>
      </c>
      <c r="E108" s="170" t="str" cm="1">
        <f t="array" ref="E108">Common_InputFunctions.Utility_DisplayArrayInTable(Fertiliser_SourceData.Fertiliser_Products_Data1(), FertiliserProducts[[#Headers],[Company]],1)</f>
        <v>Ammonium Sulfate</v>
      </c>
      <c r="F108" s="170" t="str" cm="1">
        <f t="array" ref="F108">Common_InputFunctions.Utility_DisplayArrayInTable(Fertiliser_SourceData.Fertiliser_Products_Data1(), FertiliserProducts[[#Headers],[Company]],1)</f>
        <v>kg</v>
      </c>
      <c r="G108" s="170" cm="1">
        <f t="array" ref="G108">Common_InputFunctions.Utility_DisplayArrayInTable(Fertiliser_SourceData.Fertiliser_Products_Data1(), FertiliserProducts[[#Headers],[Company]],1)</f>
        <v>1</v>
      </c>
      <c r="H108" s="170" t="str" cm="1">
        <f t="array" ref="H108">Common_InputFunctions.Utility_DisplayArrayInTable(Fertiliser_SourceData.Fertiliser_Products_Data1(), FertiliserProducts[[#Headers],[Company]],1)</f>
        <v/>
      </c>
      <c r="I108" s="170" t="str" cm="1">
        <f t="array" ref="I108">Common_InputFunctions.Utility_DisplayArrayInTable(Fertiliser_SourceData.Fertiliser_Products_Data1(), FertiliserProducts[[#Headers],[Company]],1)</f>
        <v/>
      </c>
      <c r="J108" s="170" t="str" cm="1">
        <f t="array" ref="J108">Common_InputFunctions.Utility_DisplayArrayInTable(Fertiliser_SourceData.Fertiliser_Products_Data1(), FertiliserProducts[[#Headers],[Company]],1)</f>
        <v>China</v>
      </c>
      <c r="K108" s="170" cm="1">
        <f t="array" ref="K108">Common_InputFunctions.Utility_DisplayArrayInTable(Fertiliser_SourceData.Fertiliser_Products_Data1(), FertiliserProducts[[#Headers],[Company]],1)</f>
        <v>21</v>
      </c>
      <c r="L108" s="170" t="str" cm="1">
        <f t="array" ref="L108">Common_InputFunctions.Utility_DisplayArrayInTable(Fertiliser_SourceData.Fertiliser_Products_Data1(), FertiliserProducts[[#Headers],[Company]],1)</f>
        <v/>
      </c>
      <c r="M108" s="170" t="str" cm="1">
        <f t="array" ref="M108">Common_InputFunctions.Utility_DisplayArrayInTable(Fertiliser_SourceData.Fertiliser_Products_Data1(), FertiliserProducts[[#Headers],[Company]],1)</f>
        <v/>
      </c>
      <c r="N108" s="170" cm="1">
        <f t="array" ref="N108">Common_InputFunctions.Utility_DisplayArrayInTable(Fertiliser_SourceData.Fertiliser_Products_Data1(), FertiliserProducts[[#Headers],[Company]],1)</f>
        <v>24</v>
      </c>
      <c r="O108" s="170" t="str" cm="1">
        <f t="array" ref="O108">Common_InputFunctions.Utility_DisplayArrayInTable(Fertiliser_SourceData.Fertiliser_Products_Data1(), FertiliserProducts[[#Headers],[Company]],1)</f>
        <v>Sulfur - Generic</v>
      </c>
      <c r="P108" s="170" cm="1">
        <f t="array" ref="P108">Common_InputFunctions.Utility_DisplayArrayInTable(Fertiliser_SourceData.Fertiliser_Products_Data1(), FertiliserProducts[[#Headers],[Company]],1)</f>
        <v>0.24</v>
      </c>
      <c r="Q108" s="170" t="str" cm="1">
        <f t="array" ref="Q108">Common_InputFunctions.Utility_DisplayArrayInTable(Fertiliser_SourceData.Fertiliser_Products_Data1(), FertiliserProducts[[#Headers],[Company]],1)</f>
        <v>Nitrogen - Ammoniacal</v>
      </c>
      <c r="R108" s="170" cm="1">
        <f t="array" ref="R108">Common_InputFunctions.Utility_DisplayArrayInTable(Fertiliser_SourceData.Fertiliser_Products_Data1(), FertiliserProducts[[#Headers],[Company]],1)</f>
        <v>0.21</v>
      </c>
      <c r="S108" s="170" t="str" cm="1">
        <f t="array" ref="S108">Common_InputFunctions.Utility_DisplayArrayInTable(Fertiliser_SourceData.Fertiliser_Products_Data1(), FertiliserProducts[[#Headers],[Company]],1)</f>
        <v/>
      </c>
      <c r="T108" s="170" t="str" cm="1">
        <f t="array" ref="T108">Common_InputFunctions.Utility_DisplayArrayInTable(Fertiliser_SourceData.Fertiliser_Products_Data1(), FertiliserProducts[[#Headers],[Company]],1)</f>
        <v/>
      </c>
      <c r="U108" s="170" t="str" cm="1">
        <f t="array" ref="U108">Common_InputFunctions.Utility_DisplayArrayInTable(Fertiliser_SourceData.Fertiliser_Products_Data1(), FertiliserProducts[[#Headers],[Company]],1)</f>
        <v/>
      </c>
      <c r="V108" s="170" t="str" cm="1">
        <f t="array" ref="V108">Common_InputFunctions.Utility_DisplayArrayInTable(Fertiliser_SourceData.Fertiliser_Products_Data1(), FertiliserProducts[[#Headers],[Company]],1)</f>
        <v/>
      </c>
      <c r="W108" s="170" t="str" cm="1">
        <f t="array" ref="W108">Common_InputFunctions.Utility_DisplayArrayInTable(Fertiliser_SourceData.Fertiliser_Products_Data1(), FertiliserProducts[[#Headers],[Company]],1)</f>
        <v/>
      </c>
      <c r="X108" s="170" t="str" cm="1">
        <f t="array" ref="X108">Common_InputFunctions.Utility_DisplayArrayInTable(Fertiliser_SourceData.Fertiliser_Products_Data1(), FertiliserProducts[[#Headers],[Company]],1)</f>
        <v/>
      </c>
      <c r="Y108" s="170" t="str" cm="1">
        <f t="array" ref="Y108">Common_InputFunctions.Utility_DisplayArrayInTable(Fertiliser_SourceData.Fertiliser_Products_Data1(), FertiliserProducts[[#Headers],[Company]],1)</f>
        <v/>
      </c>
      <c r="Z108" s="170" t="str" cm="1">
        <f t="array" ref="Z108">Common_InputFunctions.Utility_DisplayArrayInTable(Fertiliser_SourceData.Fertiliser_Products_Data1(), FertiliserProducts[[#Headers],[Company]],1)</f>
        <v/>
      </c>
      <c r="AA108" s="170" t="str" cm="1">
        <f t="array" ref="AA108">Common_InputFunctions.Utility_DisplayArrayInTable(Fertiliser_SourceData.Fertiliser_Products_Data1(), FertiliserProducts[[#Headers],[Company]],1)</f>
        <v/>
      </c>
      <c r="AB108" s="170" t="str" cm="1">
        <f t="array" ref="AB108">Common_InputFunctions.Utility_DisplayArrayInTable(Fertiliser_SourceData.Fertiliser_Products_Data1(), FertiliserProducts[[#Headers],[Company]],1)</f>
        <v/>
      </c>
      <c r="AC108" s="170" t="str" cm="1">
        <f t="array" ref="AC108">Common_InputFunctions.Utility_DisplayArrayInTable(Fertiliser_SourceData.Fertiliser_Products_Data1(), FertiliserProducts[[#Headers],[Company]],1)</f>
        <v/>
      </c>
      <c r="AD108" s="170" t="str" cm="1">
        <f t="array" ref="AD108">Common_InputFunctions.Utility_DisplayArrayInTable(Fertiliser_SourceData.Fertiliser_Products_Data1(), FertiliserProducts[[#Headers],[Company]],1)</f>
        <v/>
      </c>
      <c r="AE108" s="170" t="str" cm="1">
        <f t="array" ref="AE108">Common_InputFunctions.Utility_DisplayArrayInTable(Fertiliser_SourceData.Fertiliser_Products_Data1(), FertiliserProducts[[#Headers],[Company]],1)</f>
        <v/>
      </c>
      <c r="AF108" s="170" t="str" cm="1">
        <f t="array" ref="AF108">Common_InputFunctions.Utility_DisplayArrayInTable(Fertiliser_SourceData.Fertiliser_Products_Data1(), FertiliserProducts[[#Headers],[Company]],1)</f>
        <v/>
      </c>
      <c r="AG108" s="170" t="str" cm="1">
        <f t="array" ref="AG108">Common_InputFunctions.Utility_DisplayArrayInTable(Fertiliser_SourceData.Fertiliser_Products_Data1(), FertiliserProducts[[#Headers],[Company]],1)</f>
        <v/>
      </c>
      <c r="AH108" s="170" t="str" cm="1">
        <f t="array" ref="AH108">Common_InputFunctions.Utility_DisplayArrayInTable(Fertiliser_SourceData.Fertiliser_Products_Data1(), FertiliserProducts[[#Headers],[Company]],1)</f>
        <v/>
      </c>
      <c r="AK108" s="1"/>
      <c r="AL108" s="1"/>
      <c r="AM108" s="1"/>
    </row>
    <row r="109" spans="4:39" ht="20.100000000000001" customHeight="1" x14ac:dyDescent="0.2">
      <c r="D109" s="170" t="str" cm="1">
        <f t="array" ref="D109">Common_InputFunctions.Utility_DisplayArrayInTable(Fertiliser_SourceData.Fertiliser_Products_Data1(), FertiliserProducts[[#Headers],[Company]],1)</f>
        <v>Ravensdown</v>
      </c>
      <c r="E109" s="170" t="str" cm="1">
        <f t="array" ref="E109">Common_InputFunctions.Utility_DisplayArrayInTable(Fertiliser_SourceData.Fertiliser_Products_Data1(), FertiliserProducts[[#Headers],[Company]],1)</f>
        <v>Ammonium Sulphate - Granular</v>
      </c>
      <c r="F109" s="170" t="str" cm="1">
        <f t="array" ref="F109">Common_InputFunctions.Utility_DisplayArrayInTable(Fertiliser_SourceData.Fertiliser_Products_Data1(), FertiliserProducts[[#Headers],[Company]],1)</f>
        <v>kg</v>
      </c>
      <c r="G109" s="170" cm="1">
        <f t="array" ref="G109">Common_InputFunctions.Utility_DisplayArrayInTable(Fertiliser_SourceData.Fertiliser_Products_Data1(), FertiliserProducts[[#Headers],[Company]],1)</f>
        <v>1</v>
      </c>
      <c r="H109" s="170" t="str" cm="1">
        <f t="array" ref="H109">Common_InputFunctions.Utility_DisplayArrayInTable(Fertiliser_SourceData.Fertiliser_Products_Data1(), FertiliserProducts[[#Headers],[Company]],1)</f>
        <v/>
      </c>
      <c r="I109" s="170" t="str" cm="1">
        <f t="array" ref="I109">Common_InputFunctions.Utility_DisplayArrayInTable(Fertiliser_SourceData.Fertiliser_Products_Data1(), FertiliserProducts[[#Headers],[Company]],1)</f>
        <v/>
      </c>
      <c r="J109" s="170" t="str" cm="1">
        <f t="array" ref="J109">Common_InputFunctions.Utility_DisplayArrayInTable(Fertiliser_SourceData.Fertiliser_Products_Data1(), FertiliserProducts[[#Headers],[Company]],1)</f>
        <v/>
      </c>
      <c r="K109" s="170" cm="1">
        <f t="array" ref="K109">Common_InputFunctions.Utility_DisplayArrayInTable(Fertiliser_SourceData.Fertiliser_Products_Data1(), FertiliserProducts[[#Headers],[Company]],1)</f>
        <v>21</v>
      </c>
      <c r="L109" s="170" t="str" cm="1">
        <f t="array" ref="L109">Common_InputFunctions.Utility_DisplayArrayInTable(Fertiliser_SourceData.Fertiliser_Products_Data1(), FertiliserProducts[[#Headers],[Company]],1)</f>
        <v/>
      </c>
      <c r="M109" s="170" t="str" cm="1">
        <f t="array" ref="M109">Common_InputFunctions.Utility_DisplayArrayInTable(Fertiliser_SourceData.Fertiliser_Products_Data1(), FertiliserProducts[[#Headers],[Company]],1)</f>
        <v/>
      </c>
      <c r="N109" s="170" cm="1">
        <f t="array" ref="N109">Common_InputFunctions.Utility_DisplayArrayInTable(Fertiliser_SourceData.Fertiliser_Products_Data1(), FertiliserProducts[[#Headers],[Company]],1)</f>
        <v>24</v>
      </c>
      <c r="O109" s="170" t="str" cm="1">
        <f t="array" ref="O109">Common_InputFunctions.Utility_DisplayArrayInTable(Fertiliser_SourceData.Fertiliser_Products_Data1(), FertiliserProducts[[#Headers],[Company]],1)</f>
        <v>Sulphate of ammonia (SOA)</v>
      </c>
      <c r="P109" s="170" cm="1">
        <f t="array" ref="P109">Common_InputFunctions.Utility_DisplayArrayInTable(Fertiliser_SourceData.Fertiliser_Products_Data1(), FertiliserProducts[[#Headers],[Company]],1)</f>
        <v>1</v>
      </c>
      <c r="Q109" s="170" t="str" cm="1">
        <f t="array" ref="Q109">Common_InputFunctions.Utility_DisplayArrayInTable(Fertiliser_SourceData.Fertiliser_Products_Data1(), FertiliserProducts[[#Headers],[Company]],1)</f>
        <v/>
      </c>
      <c r="R109" s="170" t="str" cm="1">
        <f t="array" ref="R109">Common_InputFunctions.Utility_DisplayArrayInTable(Fertiliser_SourceData.Fertiliser_Products_Data1(), FertiliserProducts[[#Headers],[Company]],1)</f>
        <v/>
      </c>
      <c r="S109" s="170" t="str" cm="1">
        <f t="array" ref="S109">Common_InputFunctions.Utility_DisplayArrayInTable(Fertiliser_SourceData.Fertiliser_Products_Data1(), FertiliserProducts[[#Headers],[Company]],1)</f>
        <v/>
      </c>
      <c r="T109" s="170" t="str" cm="1">
        <f t="array" ref="T109">Common_InputFunctions.Utility_DisplayArrayInTable(Fertiliser_SourceData.Fertiliser_Products_Data1(), FertiliserProducts[[#Headers],[Company]],1)</f>
        <v/>
      </c>
      <c r="U109" s="170" t="str" cm="1">
        <f t="array" ref="U109">Common_InputFunctions.Utility_DisplayArrayInTable(Fertiliser_SourceData.Fertiliser_Products_Data1(), FertiliserProducts[[#Headers],[Company]],1)</f>
        <v/>
      </c>
      <c r="V109" s="170" t="str" cm="1">
        <f t="array" ref="V109">Common_InputFunctions.Utility_DisplayArrayInTable(Fertiliser_SourceData.Fertiliser_Products_Data1(), FertiliserProducts[[#Headers],[Company]],1)</f>
        <v/>
      </c>
      <c r="W109" s="170" t="str" cm="1">
        <f t="array" ref="W109">Common_InputFunctions.Utility_DisplayArrayInTable(Fertiliser_SourceData.Fertiliser_Products_Data1(), FertiliserProducts[[#Headers],[Company]],1)</f>
        <v/>
      </c>
      <c r="X109" s="170" t="str" cm="1">
        <f t="array" ref="X109">Common_InputFunctions.Utility_DisplayArrayInTable(Fertiliser_SourceData.Fertiliser_Products_Data1(), FertiliserProducts[[#Headers],[Company]],1)</f>
        <v/>
      </c>
      <c r="Y109" s="170" t="str" cm="1">
        <f t="array" ref="Y109">Common_InputFunctions.Utility_DisplayArrayInTable(Fertiliser_SourceData.Fertiliser_Products_Data1(), FertiliserProducts[[#Headers],[Company]],1)</f>
        <v/>
      </c>
      <c r="Z109" s="170" t="str" cm="1">
        <f t="array" ref="Z109">Common_InputFunctions.Utility_DisplayArrayInTable(Fertiliser_SourceData.Fertiliser_Products_Data1(), FertiliserProducts[[#Headers],[Company]],1)</f>
        <v/>
      </c>
      <c r="AA109" s="170" t="str" cm="1">
        <f t="array" ref="AA109">Common_InputFunctions.Utility_DisplayArrayInTable(Fertiliser_SourceData.Fertiliser_Products_Data1(), FertiliserProducts[[#Headers],[Company]],1)</f>
        <v/>
      </c>
      <c r="AB109" s="170" t="str" cm="1">
        <f t="array" ref="AB109">Common_InputFunctions.Utility_DisplayArrayInTable(Fertiliser_SourceData.Fertiliser_Products_Data1(), FertiliserProducts[[#Headers],[Company]],1)</f>
        <v/>
      </c>
      <c r="AC109" s="170" t="str" cm="1">
        <f t="array" ref="AC109">Common_InputFunctions.Utility_DisplayArrayInTable(Fertiliser_SourceData.Fertiliser_Products_Data1(), FertiliserProducts[[#Headers],[Company]],1)</f>
        <v/>
      </c>
      <c r="AD109" s="170" t="str" cm="1">
        <f t="array" ref="AD109">Common_InputFunctions.Utility_DisplayArrayInTable(Fertiliser_SourceData.Fertiliser_Products_Data1(), FertiliserProducts[[#Headers],[Company]],1)</f>
        <v/>
      </c>
      <c r="AE109" s="170" t="str" cm="1">
        <f t="array" ref="AE109">Common_InputFunctions.Utility_DisplayArrayInTable(Fertiliser_SourceData.Fertiliser_Products_Data1(), FertiliserProducts[[#Headers],[Company]],1)</f>
        <v/>
      </c>
      <c r="AF109" s="170" t="str" cm="1">
        <f t="array" ref="AF109">Common_InputFunctions.Utility_DisplayArrayInTable(Fertiliser_SourceData.Fertiliser_Products_Data1(), FertiliserProducts[[#Headers],[Company]],1)</f>
        <v/>
      </c>
      <c r="AG109" s="170" t="str" cm="1">
        <f t="array" ref="AG109">Common_InputFunctions.Utility_DisplayArrayInTable(Fertiliser_SourceData.Fertiliser_Products_Data1(), FertiliserProducts[[#Headers],[Company]],1)</f>
        <v/>
      </c>
      <c r="AH109" s="170" t="str" cm="1">
        <f t="array" ref="AH109">Common_InputFunctions.Utility_DisplayArrayInTable(Fertiliser_SourceData.Fertiliser_Products_Data1(), FertiliserProducts[[#Headers],[Company]],1)</f>
        <v/>
      </c>
      <c r="AK109" s="1"/>
      <c r="AL109" s="1"/>
      <c r="AM109" s="1"/>
    </row>
    <row r="110" spans="4:39" ht="20.100000000000001" customHeight="1" x14ac:dyDescent="0.2">
      <c r="D110" s="170" t="str" cm="1">
        <f t="array" ref="D110">Common_InputFunctions.Utility_DisplayArrayInTable(Fertiliser_SourceData.Fertiliser_Products_Data1(), FertiliserProducts[[#Headers],[Company]],1)</f>
        <v>Impact Fertilisers</v>
      </c>
      <c r="E110" s="170" t="str" cm="1">
        <f t="array" ref="E110">Common_InputFunctions.Utility_DisplayArrayInTable(Fertiliser_SourceData.Fertiliser_Products_Data1(), FertiliserProducts[[#Headers],[Company]],1)</f>
        <v>Di-Ammonium Phosphate (DAP)</v>
      </c>
      <c r="F110" s="170" t="str" cm="1">
        <f t="array" ref="F110">Common_InputFunctions.Utility_DisplayArrayInTable(Fertiliser_SourceData.Fertiliser_Products_Data1(), FertiliserProducts[[#Headers],[Company]],1)</f>
        <v>kg</v>
      </c>
      <c r="G110" s="170" cm="1">
        <f t="array" ref="G110">Common_InputFunctions.Utility_DisplayArrayInTable(Fertiliser_SourceData.Fertiliser_Products_Data1(), FertiliserProducts[[#Headers],[Company]],1)</f>
        <v>1</v>
      </c>
      <c r="H110" s="170" t="str" cm="1">
        <f t="array" ref="H110">Common_InputFunctions.Utility_DisplayArrayInTable(Fertiliser_SourceData.Fertiliser_Products_Data1(), FertiliserProducts[[#Headers],[Company]],1)</f>
        <v/>
      </c>
      <c r="I110" s="170" t="str" cm="1">
        <f t="array" ref="I110">Common_InputFunctions.Utility_DisplayArrayInTable(Fertiliser_SourceData.Fertiliser_Products_Data1(), FertiliserProducts[[#Headers],[Company]],1)</f>
        <v/>
      </c>
      <c r="J110" s="170" t="str" cm="1">
        <f t="array" ref="J110">Common_InputFunctions.Utility_DisplayArrayInTable(Fertiliser_SourceData.Fertiliser_Products_Data1(), FertiliserProducts[[#Headers],[Company]],1)</f>
        <v/>
      </c>
      <c r="K110" s="170" cm="1">
        <f t="array" ref="K110">Common_InputFunctions.Utility_DisplayArrayInTable(Fertiliser_SourceData.Fertiliser_Products_Data1(), FertiliserProducts[[#Headers],[Company]],1)</f>
        <v>18</v>
      </c>
      <c r="L110" s="170" cm="1">
        <f t="array" ref="L110">Common_InputFunctions.Utility_DisplayArrayInTable(Fertiliser_SourceData.Fertiliser_Products_Data1(), FertiliserProducts[[#Headers],[Company]],1)</f>
        <v>20</v>
      </c>
      <c r="M110" s="170" t="str" cm="1">
        <f t="array" ref="M110">Common_InputFunctions.Utility_DisplayArrayInTable(Fertiliser_SourceData.Fertiliser_Products_Data1(), FertiliserProducts[[#Headers],[Company]],1)</f>
        <v/>
      </c>
      <c r="N110" s="170" t="str" cm="1">
        <f t="array" ref="N110">Common_InputFunctions.Utility_DisplayArrayInTable(Fertiliser_SourceData.Fertiliser_Products_Data1(), FertiliserProducts[[#Headers],[Company]],1)</f>
        <v/>
      </c>
      <c r="O110" s="170" t="str" cm="1">
        <f t="array" ref="O110">Common_InputFunctions.Utility_DisplayArrayInTable(Fertiliser_SourceData.Fertiliser_Products_Data1(), FertiliserProducts[[#Headers],[Company]],1)</f>
        <v>Diammonium phosphate (DAP)</v>
      </c>
      <c r="P110" s="170" cm="1">
        <f t="array" ref="P110">Common_InputFunctions.Utility_DisplayArrayInTable(Fertiliser_SourceData.Fertiliser_Products_Data1(), FertiliserProducts[[#Headers],[Company]],1)</f>
        <v>1</v>
      </c>
      <c r="Q110" s="170" t="str" cm="1">
        <f t="array" ref="Q110">Common_InputFunctions.Utility_DisplayArrayInTable(Fertiliser_SourceData.Fertiliser_Products_Data1(), FertiliserProducts[[#Headers],[Company]],1)</f>
        <v/>
      </c>
      <c r="R110" s="170" t="str" cm="1">
        <f t="array" ref="R110">Common_InputFunctions.Utility_DisplayArrayInTable(Fertiliser_SourceData.Fertiliser_Products_Data1(), FertiliserProducts[[#Headers],[Company]],1)</f>
        <v/>
      </c>
      <c r="S110" s="170" t="str" cm="1">
        <f t="array" ref="S110">Common_InputFunctions.Utility_DisplayArrayInTable(Fertiliser_SourceData.Fertiliser_Products_Data1(), FertiliserProducts[[#Headers],[Company]],1)</f>
        <v/>
      </c>
      <c r="T110" s="170" t="str" cm="1">
        <f t="array" ref="T110">Common_InputFunctions.Utility_DisplayArrayInTable(Fertiliser_SourceData.Fertiliser_Products_Data1(), FertiliserProducts[[#Headers],[Company]],1)</f>
        <v/>
      </c>
      <c r="U110" s="170" t="str" cm="1">
        <f t="array" ref="U110">Common_InputFunctions.Utility_DisplayArrayInTable(Fertiliser_SourceData.Fertiliser_Products_Data1(), FertiliserProducts[[#Headers],[Company]],1)</f>
        <v/>
      </c>
      <c r="V110" s="170" t="str" cm="1">
        <f t="array" ref="V110">Common_InputFunctions.Utility_DisplayArrayInTable(Fertiliser_SourceData.Fertiliser_Products_Data1(), FertiliserProducts[[#Headers],[Company]],1)</f>
        <v/>
      </c>
      <c r="W110" s="170" t="str" cm="1">
        <f t="array" ref="W110">Common_InputFunctions.Utility_DisplayArrayInTable(Fertiliser_SourceData.Fertiliser_Products_Data1(), FertiliserProducts[[#Headers],[Company]],1)</f>
        <v/>
      </c>
      <c r="X110" s="170" t="str" cm="1">
        <f t="array" ref="X110">Common_InputFunctions.Utility_DisplayArrayInTable(Fertiliser_SourceData.Fertiliser_Products_Data1(), FertiliserProducts[[#Headers],[Company]],1)</f>
        <v/>
      </c>
      <c r="Y110" s="170" t="str" cm="1">
        <f t="array" ref="Y110">Common_InputFunctions.Utility_DisplayArrayInTable(Fertiliser_SourceData.Fertiliser_Products_Data1(), FertiliserProducts[[#Headers],[Company]],1)</f>
        <v/>
      </c>
      <c r="Z110" s="170" t="str" cm="1">
        <f t="array" ref="Z110">Common_InputFunctions.Utility_DisplayArrayInTable(Fertiliser_SourceData.Fertiliser_Products_Data1(), FertiliserProducts[[#Headers],[Company]],1)</f>
        <v/>
      </c>
      <c r="AA110" s="170" t="str" cm="1">
        <f t="array" ref="AA110">Common_InputFunctions.Utility_DisplayArrayInTable(Fertiliser_SourceData.Fertiliser_Products_Data1(), FertiliserProducts[[#Headers],[Company]],1)</f>
        <v/>
      </c>
      <c r="AB110" s="170" t="str" cm="1">
        <f t="array" ref="AB110">Common_InputFunctions.Utility_DisplayArrayInTable(Fertiliser_SourceData.Fertiliser_Products_Data1(), FertiliserProducts[[#Headers],[Company]],1)</f>
        <v/>
      </c>
      <c r="AC110" s="170" t="str" cm="1">
        <f t="array" ref="AC110">Common_InputFunctions.Utility_DisplayArrayInTable(Fertiliser_SourceData.Fertiliser_Products_Data1(), FertiliserProducts[[#Headers],[Company]],1)</f>
        <v/>
      </c>
      <c r="AD110" s="170" t="str" cm="1">
        <f t="array" ref="AD110">Common_InputFunctions.Utility_DisplayArrayInTable(Fertiliser_SourceData.Fertiliser_Products_Data1(), FertiliserProducts[[#Headers],[Company]],1)</f>
        <v/>
      </c>
      <c r="AE110" s="170" t="str" cm="1">
        <f t="array" ref="AE110">Common_InputFunctions.Utility_DisplayArrayInTable(Fertiliser_SourceData.Fertiliser_Products_Data1(), FertiliserProducts[[#Headers],[Company]],1)</f>
        <v/>
      </c>
      <c r="AF110" s="170" t="str" cm="1">
        <f t="array" ref="AF110">Common_InputFunctions.Utility_DisplayArrayInTable(Fertiliser_SourceData.Fertiliser_Products_Data1(), FertiliserProducts[[#Headers],[Company]],1)</f>
        <v/>
      </c>
      <c r="AG110" s="170" t="str" cm="1">
        <f t="array" ref="AG110">Common_InputFunctions.Utility_DisplayArrayInTable(Fertiliser_SourceData.Fertiliser_Products_Data1(), FertiliserProducts[[#Headers],[Company]],1)</f>
        <v/>
      </c>
      <c r="AH110" s="170" t="str" cm="1">
        <f t="array" ref="AH110">Common_InputFunctions.Utility_DisplayArrayInTable(Fertiliser_SourceData.Fertiliser_Products_Data1(), FertiliserProducts[[#Headers],[Company]],1)</f>
        <v/>
      </c>
      <c r="AK110" s="1"/>
      <c r="AL110" s="1"/>
      <c r="AM110" s="1"/>
    </row>
    <row r="111" spans="4:39" ht="20.100000000000001" customHeight="1" x14ac:dyDescent="0.2">
      <c r="D111" s="170" t="str" cm="1">
        <f t="array" ref="D111">Common_InputFunctions.Utility_DisplayArrayInTable(Fertiliser_SourceData.Fertiliser_Products_Data1(), FertiliserProducts[[#Headers],[Company]],1)</f>
        <v>Incitec Pivot Fertilisers</v>
      </c>
      <c r="E111" s="170" t="str" cm="1">
        <f t="array" ref="E111">Common_InputFunctions.Utility_DisplayArrayInTable(Fertiliser_SourceData.Fertiliser_Products_Data1(), FertiliserProducts[[#Headers],[Company]],1)</f>
        <v>Basalt BooSSta</v>
      </c>
      <c r="F111" s="170" t="str" cm="1">
        <f t="array" ref="F111">Common_InputFunctions.Utility_DisplayArrayInTable(Fertiliser_SourceData.Fertiliser_Products_Data1(), FertiliserProducts[[#Headers],[Company]],1)</f>
        <v>kg</v>
      </c>
      <c r="G111" s="170" cm="1">
        <f t="array" ref="G111">Common_InputFunctions.Utility_DisplayArrayInTable(Fertiliser_SourceData.Fertiliser_Products_Data1(), FertiliserProducts[[#Headers],[Company]],1)</f>
        <v>1</v>
      </c>
      <c r="H111" s="170" t="str" cm="1">
        <f t="array" ref="H111">Common_InputFunctions.Utility_DisplayArrayInTable(Fertiliser_SourceData.Fertiliser_Products_Data1(), FertiliserProducts[[#Headers],[Company]],1)</f>
        <v/>
      </c>
      <c r="I111" s="170" t="str" cm="1">
        <f t="array" ref="I111">Common_InputFunctions.Utility_DisplayArrayInTable(Fertiliser_SourceData.Fertiliser_Products_Data1(), FertiliserProducts[[#Headers],[Company]],1)</f>
        <v/>
      </c>
      <c r="J111" s="170" t="str" cm="1">
        <f t="array" ref="J111">Common_InputFunctions.Utility_DisplayArrayInTable(Fertiliser_SourceData.Fertiliser_Products_Data1(), FertiliserProducts[[#Headers],[Company]],1)</f>
        <v/>
      </c>
      <c r="K111" s="170" cm="1">
        <f t="array" ref="K111">Common_InputFunctions.Utility_DisplayArrayInTable(Fertiliser_SourceData.Fertiliser_Products_Data1(), FertiliserProducts[[#Headers],[Company]],1)</f>
        <v>8</v>
      </c>
      <c r="L111" s="170" cm="1">
        <f t="array" ref="L111">Common_InputFunctions.Utility_DisplayArrayInTable(Fertiliser_SourceData.Fertiliser_Products_Data1(), FertiliserProducts[[#Headers],[Company]],1)</f>
        <v>14</v>
      </c>
      <c r="M111" s="170" t="str" cm="1">
        <f t="array" ref="M111">Common_InputFunctions.Utility_DisplayArrayInTable(Fertiliser_SourceData.Fertiliser_Products_Data1(), FertiliserProducts[[#Headers],[Company]],1)</f>
        <v/>
      </c>
      <c r="N111" s="170" cm="1">
        <f t="array" ref="N111">Common_InputFunctions.Utility_DisplayArrayInTable(Fertiliser_SourceData.Fertiliser_Products_Data1(), FertiliserProducts[[#Headers],[Company]],1)</f>
        <v>27.6</v>
      </c>
      <c r="O111" s="170" t="str" cm="1">
        <f t="array" ref="O111">Common_InputFunctions.Utility_DisplayArrayInTable(Fertiliser_SourceData.Fertiliser_Products_Data1(), FertiliserProducts[[#Headers],[Company]],1)</f>
        <v>Sulfur - Generic</v>
      </c>
      <c r="P111" s="170" cm="1">
        <f t="array" ref="P111">Common_InputFunctions.Utility_DisplayArrayInTable(Fertiliser_SourceData.Fertiliser_Products_Data1(), FertiliserProducts[[#Headers],[Company]],1)</f>
        <v>0.27600000000000002</v>
      </c>
      <c r="Q111" s="170" t="str" cm="1">
        <f t="array" ref="Q111">Common_InputFunctions.Utility_DisplayArrayInTable(Fertiliser_SourceData.Fertiliser_Products_Data1(), FertiliserProducts[[#Headers],[Company]],1)</f>
        <v>Phosphorus - Generic</v>
      </c>
      <c r="R111" s="170" cm="1">
        <f t="array" ref="R111">Common_InputFunctions.Utility_DisplayArrayInTable(Fertiliser_SourceData.Fertiliser_Products_Data1(), FertiliserProducts[[#Headers],[Company]],1)</f>
        <v>0.14000000000000001</v>
      </c>
      <c r="S111" s="170" t="str" cm="1">
        <f t="array" ref="S111">Common_InputFunctions.Utility_DisplayArrayInTable(Fertiliser_SourceData.Fertiliser_Products_Data1(), FertiliserProducts[[#Headers],[Company]],1)</f>
        <v>Nitrogen - Generic</v>
      </c>
      <c r="T111" s="170" cm="1">
        <f t="array" ref="T111">Common_InputFunctions.Utility_DisplayArrayInTable(Fertiliser_SourceData.Fertiliser_Products_Data1(), FertiliserProducts[[#Headers],[Company]],1)</f>
        <v>0.08</v>
      </c>
      <c r="U111" s="170" t="str" cm="1">
        <f t="array" ref="U111">Common_InputFunctions.Utility_DisplayArrayInTable(Fertiliser_SourceData.Fertiliser_Products_Data1(), FertiliserProducts[[#Headers],[Company]],1)</f>
        <v>Fluoride</v>
      </c>
      <c r="V111" s="170" cm="1">
        <f t="array" ref="V111">Common_InputFunctions.Utility_DisplayArrayInTable(Fertiliser_SourceData.Fertiliser_Products_Data1(), FertiliserProducts[[#Headers],[Company]],1)</f>
        <v>2.4E-2</v>
      </c>
      <c r="W111" s="170" t="str" cm="1">
        <f t="array" ref="W111">Common_InputFunctions.Utility_DisplayArrayInTable(Fertiliser_SourceData.Fertiliser_Products_Data1(), FertiliserProducts[[#Headers],[Company]],1)</f>
        <v/>
      </c>
      <c r="X111" s="170" t="str" cm="1">
        <f t="array" ref="X111">Common_InputFunctions.Utility_DisplayArrayInTable(Fertiliser_SourceData.Fertiliser_Products_Data1(), FertiliserProducts[[#Headers],[Company]],1)</f>
        <v/>
      </c>
      <c r="Y111" s="170" t="str" cm="1">
        <f t="array" ref="Y111">Common_InputFunctions.Utility_DisplayArrayInTable(Fertiliser_SourceData.Fertiliser_Products_Data1(), FertiliserProducts[[#Headers],[Company]],1)</f>
        <v/>
      </c>
      <c r="Z111" s="170" t="str" cm="1">
        <f t="array" ref="Z111">Common_InputFunctions.Utility_DisplayArrayInTable(Fertiliser_SourceData.Fertiliser_Products_Data1(), FertiliserProducts[[#Headers],[Company]],1)</f>
        <v/>
      </c>
      <c r="AA111" s="170" t="str" cm="1">
        <f t="array" ref="AA111">Common_InputFunctions.Utility_DisplayArrayInTable(Fertiliser_SourceData.Fertiliser_Products_Data1(), FertiliserProducts[[#Headers],[Company]],1)</f>
        <v/>
      </c>
      <c r="AB111" s="170" t="str" cm="1">
        <f t="array" ref="AB111">Common_InputFunctions.Utility_DisplayArrayInTable(Fertiliser_SourceData.Fertiliser_Products_Data1(), FertiliserProducts[[#Headers],[Company]],1)</f>
        <v/>
      </c>
      <c r="AC111" s="170" t="str" cm="1">
        <f t="array" ref="AC111">Common_InputFunctions.Utility_DisplayArrayInTable(Fertiliser_SourceData.Fertiliser_Products_Data1(), FertiliserProducts[[#Headers],[Company]],1)</f>
        <v/>
      </c>
      <c r="AD111" s="170" t="str" cm="1">
        <f t="array" ref="AD111">Common_InputFunctions.Utility_DisplayArrayInTable(Fertiliser_SourceData.Fertiliser_Products_Data1(), FertiliserProducts[[#Headers],[Company]],1)</f>
        <v/>
      </c>
      <c r="AE111" s="170" t="str" cm="1">
        <f t="array" ref="AE111">Common_InputFunctions.Utility_DisplayArrayInTable(Fertiliser_SourceData.Fertiliser_Products_Data1(), FertiliserProducts[[#Headers],[Company]],1)</f>
        <v/>
      </c>
      <c r="AF111" s="170" t="str" cm="1">
        <f t="array" ref="AF111">Common_InputFunctions.Utility_DisplayArrayInTable(Fertiliser_SourceData.Fertiliser_Products_Data1(), FertiliserProducts[[#Headers],[Company]],1)</f>
        <v/>
      </c>
      <c r="AG111" s="170" t="str" cm="1">
        <f t="array" ref="AG111">Common_InputFunctions.Utility_DisplayArrayInTable(Fertiliser_SourceData.Fertiliser_Products_Data1(), FertiliserProducts[[#Headers],[Company]],1)</f>
        <v/>
      </c>
      <c r="AH111" s="170" t="str" cm="1">
        <f t="array" ref="AH111">Common_InputFunctions.Utility_DisplayArrayInTable(Fertiliser_SourceData.Fertiliser_Products_Data1(), FertiliserProducts[[#Headers],[Company]],1)</f>
        <v/>
      </c>
      <c r="AK111" s="1"/>
      <c r="AL111" s="1"/>
      <c r="AM111" s="1"/>
    </row>
    <row r="112" spans="4:39" ht="20.100000000000001" customHeight="1" x14ac:dyDescent="0.2">
      <c r="D112" s="170" t="str" cm="1">
        <f t="array" ref="D112">Common_InputFunctions.Utility_DisplayArrayInTable(Fertiliser_SourceData.Fertiliser_Products_Data1(), FertiliserProducts[[#Headers],[Company]],1)</f>
        <v>Summit Fertilizers</v>
      </c>
      <c r="E112" s="170" t="str" cm="1">
        <f t="array" ref="E112">Common_InputFunctions.Utility_DisplayArrayInTable(Fertiliser_SourceData.Fertiliser_Products_Data1(), FertiliserProducts[[#Headers],[Company]],1)</f>
        <v>DAPSZC</v>
      </c>
      <c r="F112" s="170" t="str" cm="1">
        <f t="array" ref="F112">Common_InputFunctions.Utility_DisplayArrayInTable(Fertiliser_SourceData.Fertiliser_Products_Data1(), FertiliserProducts[[#Headers],[Company]],1)</f>
        <v>kg</v>
      </c>
      <c r="G112" s="170" cm="1">
        <f t="array" ref="G112">Common_InputFunctions.Utility_DisplayArrayInTable(Fertiliser_SourceData.Fertiliser_Products_Data1(), FertiliserProducts[[#Headers],[Company]],1)</f>
        <v>1</v>
      </c>
      <c r="H112" s="170" t="str" cm="1">
        <f t="array" ref="H112">Common_InputFunctions.Utility_DisplayArrayInTable(Fertiliser_SourceData.Fertiliser_Products_Data1(), FertiliserProducts[[#Headers],[Company]],1)</f>
        <v/>
      </c>
      <c r="I112" s="170" t="str" cm="1">
        <f t="array" ref="I112">Common_InputFunctions.Utility_DisplayArrayInTable(Fertiliser_SourceData.Fertiliser_Products_Data1(), FertiliserProducts[[#Headers],[Company]],1)</f>
        <v/>
      </c>
      <c r="J112" s="170" t="str" cm="1">
        <f t="array" ref="J112">Common_InputFunctions.Utility_DisplayArrayInTable(Fertiliser_SourceData.Fertiliser_Products_Data1(), FertiliserProducts[[#Headers],[Company]],1)</f>
        <v/>
      </c>
      <c r="K112" s="170" cm="1">
        <f t="array" ref="K112">Common_InputFunctions.Utility_DisplayArrayInTable(Fertiliser_SourceData.Fertiliser_Products_Data1(), FertiliserProducts[[#Headers],[Company]],1)</f>
        <v>16.899999999999999</v>
      </c>
      <c r="L112" s="170" cm="1">
        <f t="array" ref="L112">Common_InputFunctions.Utility_DisplayArrayInTable(Fertiliser_SourceData.Fertiliser_Products_Data1(), FertiliserProducts[[#Headers],[Company]],1)</f>
        <v>18.2</v>
      </c>
      <c r="M112" s="170" t="str" cm="1">
        <f t="array" ref="M112">Common_InputFunctions.Utility_DisplayArrayInTable(Fertiliser_SourceData.Fertiliser_Products_Data1(), FertiliserProducts[[#Headers],[Company]],1)</f>
        <v/>
      </c>
      <c r="N112" s="170" cm="1">
        <f t="array" ref="N112">Common_InputFunctions.Utility_DisplayArrayInTable(Fertiliser_SourceData.Fertiliser_Products_Data1(), FertiliserProducts[[#Headers],[Company]],1)</f>
        <v>8</v>
      </c>
      <c r="O112" s="170" t="str" cm="1">
        <f t="array" ref="O112">Common_InputFunctions.Utility_DisplayArrayInTable(Fertiliser_SourceData.Fertiliser_Products_Data1(), FertiliserProducts[[#Headers],[Company]],1)</f>
        <v>Phosphorus - Generic</v>
      </c>
      <c r="P112" s="170" cm="1">
        <f t="array" ref="P112">Common_InputFunctions.Utility_DisplayArrayInTable(Fertiliser_SourceData.Fertiliser_Products_Data1(), FertiliserProducts[[#Headers],[Company]],1)</f>
        <v>0.182</v>
      </c>
      <c r="Q112" s="170" t="str" cm="1">
        <f t="array" ref="Q112">Common_InputFunctions.Utility_DisplayArrayInTable(Fertiliser_SourceData.Fertiliser_Products_Data1(), FertiliserProducts[[#Headers],[Company]],1)</f>
        <v>Nitrogen - Generic</v>
      </c>
      <c r="R112" s="170" cm="1">
        <f t="array" ref="R112">Common_InputFunctions.Utility_DisplayArrayInTable(Fertiliser_SourceData.Fertiliser_Products_Data1(), FertiliserProducts[[#Headers],[Company]],1)</f>
        <v>0.16900000000000001</v>
      </c>
      <c r="S112" s="170" t="str" cm="1">
        <f t="array" ref="S112">Common_InputFunctions.Utility_DisplayArrayInTable(Fertiliser_SourceData.Fertiliser_Products_Data1(), FertiliserProducts[[#Headers],[Company]],1)</f>
        <v>Sulfur - Generic</v>
      </c>
      <c r="T112" s="170" cm="1">
        <f t="array" ref="T112">Common_InputFunctions.Utility_DisplayArrayInTable(Fertiliser_SourceData.Fertiliser_Products_Data1(), FertiliserProducts[[#Headers],[Company]],1)</f>
        <v>0.08</v>
      </c>
      <c r="U112" s="170" t="str" cm="1">
        <f t="array" ref="U112">Common_InputFunctions.Utility_DisplayArrayInTable(Fertiliser_SourceData.Fertiliser_Products_Data1(), FertiliserProducts[[#Headers],[Company]],1)</f>
        <v>Zinc</v>
      </c>
      <c r="V112" s="170" cm="1">
        <f t="array" ref="V112">Common_InputFunctions.Utility_DisplayArrayInTable(Fertiliser_SourceData.Fertiliser_Products_Data1(), FertiliserProducts[[#Headers],[Company]],1)</f>
        <v>2E-3</v>
      </c>
      <c r="W112" s="170" t="str" cm="1">
        <f t="array" ref="W112">Common_InputFunctions.Utility_DisplayArrayInTable(Fertiliser_SourceData.Fertiliser_Products_Data1(), FertiliserProducts[[#Headers],[Company]],1)</f>
        <v>Copper</v>
      </c>
      <c r="X112" s="170" cm="1">
        <f t="array" ref="X112">Common_InputFunctions.Utility_DisplayArrayInTable(Fertiliser_SourceData.Fertiliser_Products_Data1(), FertiliserProducts[[#Headers],[Company]],1)</f>
        <v>1E-3</v>
      </c>
      <c r="Y112" s="170" t="str" cm="1">
        <f t="array" ref="Y112">Common_InputFunctions.Utility_DisplayArrayInTable(Fertiliser_SourceData.Fertiliser_Products_Data1(), FertiliserProducts[[#Headers],[Company]],1)</f>
        <v/>
      </c>
      <c r="Z112" s="170" t="str" cm="1">
        <f t="array" ref="Z112">Common_InputFunctions.Utility_DisplayArrayInTable(Fertiliser_SourceData.Fertiliser_Products_Data1(), FertiliserProducts[[#Headers],[Company]],1)</f>
        <v/>
      </c>
      <c r="AA112" s="170" t="str" cm="1">
        <f t="array" ref="AA112">Common_InputFunctions.Utility_DisplayArrayInTable(Fertiliser_SourceData.Fertiliser_Products_Data1(), FertiliserProducts[[#Headers],[Company]],1)</f>
        <v/>
      </c>
      <c r="AB112" s="170" t="str" cm="1">
        <f t="array" ref="AB112">Common_InputFunctions.Utility_DisplayArrayInTable(Fertiliser_SourceData.Fertiliser_Products_Data1(), FertiliserProducts[[#Headers],[Company]],1)</f>
        <v/>
      </c>
      <c r="AC112" s="170" t="str" cm="1">
        <f t="array" ref="AC112">Common_InputFunctions.Utility_DisplayArrayInTable(Fertiliser_SourceData.Fertiliser_Products_Data1(), FertiliserProducts[[#Headers],[Company]],1)</f>
        <v/>
      </c>
      <c r="AD112" s="170" t="str" cm="1">
        <f t="array" ref="AD112">Common_InputFunctions.Utility_DisplayArrayInTable(Fertiliser_SourceData.Fertiliser_Products_Data1(), FertiliserProducts[[#Headers],[Company]],1)</f>
        <v/>
      </c>
      <c r="AE112" s="170" t="str" cm="1">
        <f t="array" ref="AE112">Common_InputFunctions.Utility_DisplayArrayInTable(Fertiliser_SourceData.Fertiliser_Products_Data1(), FertiliserProducts[[#Headers],[Company]],1)</f>
        <v/>
      </c>
      <c r="AF112" s="170" t="str" cm="1">
        <f t="array" ref="AF112">Common_InputFunctions.Utility_DisplayArrayInTable(Fertiliser_SourceData.Fertiliser_Products_Data1(), FertiliserProducts[[#Headers],[Company]],1)</f>
        <v/>
      </c>
      <c r="AG112" s="170" t="str" cm="1">
        <f t="array" ref="AG112">Common_InputFunctions.Utility_DisplayArrayInTable(Fertiliser_SourceData.Fertiliser_Products_Data1(), FertiliserProducts[[#Headers],[Company]],1)</f>
        <v/>
      </c>
      <c r="AH112" s="170" t="str" cm="1">
        <f t="array" ref="AH112">Common_InputFunctions.Utility_DisplayArrayInTable(Fertiliser_SourceData.Fertiliser_Products_Data1(), FertiliserProducts[[#Headers],[Company]],1)</f>
        <v/>
      </c>
      <c r="AK112" s="1"/>
      <c r="AL112" s="1"/>
      <c r="AM112" s="1"/>
    </row>
    <row r="113" spans="1:39" ht="20.100000000000001" customHeight="1" x14ac:dyDescent="0.2">
      <c r="D113" s="170" t="str" cm="1">
        <f t="array" ref="D113">Common_InputFunctions.Utility_DisplayArrayInTable(Fertiliser_SourceData.Fertiliser_Products_Data1(), FertiliserProducts[[#Headers],[Company]],1)</f>
        <v>Incitec Pivot Fertilisers</v>
      </c>
      <c r="E113" s="170" t="str" cm="1">
        <f t="array" ref="E113">Common_InputFunctions.Utility_DisplayArrayInTable(Fertiliser_SourceData.Fertiliser_Products_Data1(), FertiliserProducts[[#Headers],[Company]],1)</f>
        <v>Easy N</v>
      </c>
      <c r="F113" s="170" t="str" cm="1">
        <f t="array" ref="F113">Common_InputFunctions.Utility_DisplayArrayInTable(Fertiliser_SourceData.Fertiliser_Products_Data1(), FertiliserProducts[[#Headers],[Company]],1)</f>
        <v>L</v>
      </c>
      <c r="G113" s="170" cm="1">
        <f t="array" ref="G113">Common_InputFunctions.Utility_DisplayArrayInTable(Fertiliser_SourceData.Fertiliser_Products_Data1(), FertiliserProducts[[#Headers],[Company]],1)</f>
        <v>1.32</v>
      </c>
      <c r="H113" s="170" t="str" cm="1">
        <f t="array" ref="H113">Common_InputFunctions.Utility_DisplayArrayInTable(Fertiliser_SourceData.Fertiliser_Products_Data1(), FertiliserProducts[[#Headers],[Company]],1)</f>
        <v/>
      </c>
      <c r="I113" s="170" t="str" cm="1">
        <f t="array" ref="I113">Common_InputFunctions.Utility_DisplayArrayInTable(Fertiliser_SourceData.Fertiliser_Products_Data1(), FertiliserProducts[[#Headers],[Company]],1)</f>
        <v/>
      </c>
      <c r="J113" s="170" t="str" cm="1">
        <f t="array" ref="J113">Common_InputFunctions.Utility_DisplayArrayInTable(Fertiliser_SourceData.Fertiliser_Products_Data1(), FertiliserProducts[[#Headers],[Company]],1)</f>
        <v/>
      </c>
      <c r="K113" s="170" cm="1">
        <f t="array" ref="K113">Common_InputFunctions.Utility_DisplayArrayInTable(Fertiliser_SourceData.Fertiliser_Products_Data1(), FertiliserProducts[[#Headers],[Company]],1)</f>
        <v>42.5</v>
      </c>
      <c r="L113" s="170" t="str" cm="1">
        <f t="array" ref="L113">Common_InputFunctions.Utility_DisplayArrayInTable(Fertiliser_SourceData.Fertiliser_Products_Data1(), FertiliserProducts[[#Headers],[Company]],1)</f>
        <v/>
      </c>
      <c r="M113" s="170" t="str" cm="1">
        <f t="array" ref="M113">Common_InputFunctions.Utility_DisplayArrayInTable(Fertiliser_SourceData.Fertiliser_Products_Data1(), FertiliserProducts[[#Headers],[Company]],1)</f>
        <v/>
      </c>
      <c r="N113" s="170" t="str" cm="1">
        <f t="array" ref="N113">Common_InputFunctions.Utility_DisplayArrayInTable(Fertiliser_SourceData.Fertiliser_Products_Data1(), FertiliserProducts[[#Headers],[Company]],1)</f>
        <v/>
      </c>
      <c r="O113" s="170" t="str" cm="1">
        <f t="array" ref="O113">Common_InputFunctions.Utility_DisplayArrayInTable(Fertiliser_SourceData.Fertiliser_Products_Data1(), FertiliserProducts[[#Headers],[Company]],1)</f>
        <v>Urea</v>
      </c>
      <c r="P113" s="170" cm="1">
        <f t="array" ref="P113">Common_InputFunctions.Utility_DisplayArrayInTable(Fertiliser_SourceData.Fertiliser_Products_Data1(), FertiliserProducts[[#Headers],[Company]],1)</f>
        <v>0.467391</v>
      </c>
      <c r="Q113" s="170" t="str" cm="1">
        <f t="array" ref="Q113">Common_InputFunctions.Utility_DisplayArrayInTable(Fertiliser_SourceData.Fertiliser_Products_Data1(), FertiliserProducts[[#Headers],[Company]],1)</f>
        <v>Nitrogen - Nitrate</v>
      </c>
      <c r="R113" s="170" cm="1">
        <f t="array" ref="R113">Common_InputFunctions.Utility_DisplayArrayInTable(Fertiliser_SourceData.Fertiliser_Products_Data1(), FertiliserProducts[[#Headers],[Company]],1)</f>
        <v>0.105</v>
      </c>
      <c r="S113" s="170" t="str" cm="1">
        <f t="array" ref="S113">Common_InputFunctions.Utility_DisplayArrayInTable(Fertiliser_SourceData.Fertiliser_Products_Data1(), FertiliserProducts[[#Headers],[Company]],1)</f>
        <v>Nitrogen - Ammoniacal</v>
      </c>
      <c r="T113" s="170" cm="1">
        <f t="array" ref="T113">Common_InputFunctions.Utility_DisplayArrayInTable(Fertiliser_SourceData.Fertiliser_Products_Data1(), FertiliserProducts[[#Headers],[Company]],1)</f>
        <v>0.105</v>
      </c>
      <c r="U113" s="170" t="str" cm="1">
        <f t="array" ref="U113">Common_InputFunctions.Utility_DisplayArrayInTable(Fertiliser_SourceData.Fertiliser_Products_Data1(), FertiliserProducts[[#Headers],[Company]],1)</f>
        <v>Biuret</v>
      </c>
      <c r="V113" s="170" cm="1">
        <f t="array" ref="V113">Common_InputFunctions.Utility_DisplayArrayInTable(Fertiliser_SourceData.Fertiliser_Products_Data1(), FertiliserProducts[[#Headers],[Company]],1)</f>
        <v>6.0000000000000001E-3</v>
      </c>
      <c r="W113" s="170" t="str" cm="1">
        <f t="array" ref="W113">Common_InputFunctions.Utility_DisplayArrayInTable(Fertiliser_SourceData.Fertiliser_Products_Data1(), FertiliserProducts[[#Headers],[Company]],1)</f>
        <v/>
      </c>
      <c r="X113" s="170" t="str" cm="1">
        <f t="array" ref="X113">Common_InputFunctions.Utility_DisplayArrayInTable(Fertiliser_SourceData.Fertiliser_Products_Data1(), FertiliserProducts[[#Headers],[Company]],1)</f>
        <v/>
      </c>
      <c r="Y113" s="170" t="str" cm="1">
        <f t="array" ref="Y113">Common_InputFunctions.Utility_DisplayArrayInTable(Fertiliser_SourceData.Fertiliser_Products_Data1(), FertiliserProducts[[#Headers],[Company]],1)</f>
        <v/>
      </c>
      <c r="Z113" s="170" t="str" cm="1">
        <f t="array" ref="Z113">Common_InputFunctions.Utility_DisplayArrayInTable(Fertiliser_SourceData.Fertiliser_Products_Data1(), FertiliserProducts[[#Headers],[Company]],1)</f>
        <v/>
      </c>
      <c r="AA113" s="170" t="str" cm="1">
        <f t="array" ref="AA113">Common_InputFunctions.Utility_DisplayArrayInTable(Fertiliser_SourceData.Fertiliser_Products_Data1(), FertiliserProducts[[#Headers],[Company]],1)</f>
        <v/>
      </c>
      <c r="AB113" s="170" t="str" cm="1">
        <f t="array" ref="AB113">Common_InputFunctions.Utility_DisplayArrayInTable(Fertiliser_SourceData.Fertiliser_Products_Data1(), FertiliserProducts[[#Headers],[Company]],1)</f>
        <v/>
      </c>
      <c r="AC113" s="170" t="str" cm="1">
        <f t="array" ref="AC113">Common_InputFunctions.Utility_DisplayArrayInTable(Fertiliser_SourceData.Fertiliser_Products_Data1(), FertiliserProducts[[#Headers],[Company]],1)</f>
        <v/>
      </c>
      <c r="AD113" s="170" t="str" cm="1">
        <f t="array" ref="AD113">Common_InputFunctions.Utility_DisplayArrayInTable(Fertiliser_SourceData.Fertiliser_Products_Data1(), FertiliserProducts[[#Headers],[Company]],1)</f>
        <v/>
      </c>
      <c r="AE113" s="170" t="str" cm="1">
        <f t="array" ref="AE113">Common_InputFunctions.Utility_DisplayArrayInTable(Fertiliser_SourceData.Fertiliser_Products_Data1(), FertiliserProducts[[#Headers],[Company]],1)</f>
        <v/>
      </c>
      <c r="AF113" s="170" t="str" cm="1">
        <f t="array" ref="AF113">Common_InputFunctions.Utility_DisplayArrayInTable(Fertiliser_SourceData.Fertiliser_Products_Data1(), FertiliserProducts[[#Headers],[Company]],1)</f>
        <v/>
      </c>
      <c r="AG113" s="170" t="str" cm="1">
        <f t="array" ref="AG113">Common_InputFunctions.Utility_DisplayArrayInTable(Fertiliser_SourceData.Fertiliser_Products_Data1(), FertiliserProducts[[#Headers],[Company]],1)</f>
        <v/>
      </c>
      <c r="AH113" s="170" t="str" cm="1">
        <f t="array" ref="AH113">Common_InputFunctions.Utility_DisplayArrayInTable(Fertiliser_SourceData.Fertiliser_Products_Data1(), FertiliserProducts[[#Headers],[Company]],1)</f>
        <v/>
      </c>
      <c r="AK113" s="1"/>
      <c r="AL113" s="1"/>
      <c r="AM113" s="1"/>
    </row>
    <row r="114" spans="1:39" ht="20.100000000000001" customHeight="1" x14ac:dyDescent="0.2">
      <c r="D114" s="170" t="str" cm="1">
        <f t="array" ref="D114">Common_InputFunctions.Utility_DisplayArrayInTable(Fertiliser_SourceData.Fertiliser_Products_Data1(), FertiliserProducts[[#Headers],[Company]],1)</f>
        <v>Risso-Chemical</v>
      </c>
      <c r="E114" s="170" t="str" cm="1">
        <f t="array" ref="E114">Common_InputFunctions.Utility_DisplayArrayInTable(Fertiliser_SourceData.Fertiliser_Products_Data1(), FertiliserProducts[[#Headers],[Company]],1)</f>
        <v>Calcium Ammonium nitrate</v>
      </c>
      <c r="F114" s="170" t="str" cm="1">
        <f t="array" ref="F114">Common_InputFunctions.Utility_DisplayArrayInTable(Fertiliser_SourceData.Fertiliser_Products_Data1(), FertiliserProducts[[#Headers],[Company]],1)</f>
        <v>kg</v>
      </c>
      <c r="G114" s="170" cm="1">
        <f t="array" ref="G114">Common_InputFunctions.Utility_DisplayArrayInTable(Fertiliser_SourceData.Fertiliser_Products_Data1(), FertiliserProducts[[#Headers],[Company]],1)</f>
        <v>1</v>
      </c>
      <c r="H114" s="170" t="str" cm="1">
        <f t="array" ref="H114">Common_InputFunctions.Utility_DisplayArrayInTable(Fertiliser_SourceData.Fertiliser_Products_Data1(), FertiliserProducts[[#Headers],[Company]],1)</f>
        <v/>
      </c>
      <c r="I114" s="170" t="str" cm="1">
        <f t="array" ref="I114">Common_InputFunctions.Utility_DisplayArrayInTable(Fertiliser_SourceData.Fertiliser_Products_Data1(), FertiliserProducts[[#Headers],[Company]],1)</f>
        <v/>
      </c>
      <c r="J114" s="170" t="str" cm="1">
        <f t="array" ref="J114">Common_InputFunctions.Utility_DisplayArrayInTable(Fertiliser_SourceData.Fertiliser_Products_Data1(), FertiliserProducts[[#Headers],[Company]],1)</f>
        <v>China</v>
      </c>
      <c r="K114" s="170" cm="1">
        <f t="array" ref="K114">Common_InputFunctions.Utility_DisplayArrayInTable(Fertiliser_SourceData.Fertiliser_Products_Data1(), FertiliserProducts[[#Headers],[Company]],1)</f>
        <v>40.5</v>
      </c>
      <c r="L114" s="170" t="str" cm="1">
        <f t="array" ref="L114">Common_InputFunctions.Utility_DisplayArrayInTable(Fertiliser_SourceData.Fertiliser_Products_Data1(), FertiliserProducts[[#Headers],[Company]],1)</f>
        <v/>
      </c>
      <c r="M114" s="170" t="str" cm="1">
        <f t="array" ref="M114">Common_InputFunctions.Utility_DisplayArrayInTable(Fertiliser_SourceData.Fertiliser_Products_Data1(), FertiliserProducts[[#Headers],[Company]],1)</f>
        <v/>
      </c>
      <c r="N114" s="170" t="str" cm="1">
        <f t="array" ref="N114">Common_InputFunctions.Utility_DisplayArrayInTable(Fertiliser_SourceData.Fertiliser_Products_Data1(), FertiliserProducts[[#Headers],[Company]],1)</f>
        <v/>
      </c>
      <c r="O114" s="170" t="str" cm="1">
        <f t="array" ref="O114">Common_InputFunctions.Utility_DisplayArrayInTable(Fertiliser_SourceData.Fertiliser_Products_Data1(), FertiliserProducts[[#Headers],[Company]],1)</f>
        <v>Nitrogen - Ammoniacal</v>
      </c>
      <c r="P114" s="170" cm="1">
        <f t="array" ref="P114">Common_InputFunctions.Utility_DisplayArrayInTable(Fertiliser_SourceData.Fertiliser_Products_Data1(), FertiliserProducts[[#Headers],[Company]],1)</f>
        <v>0.27</v>
      </c>
      <c r="Q114" s="170" t="str" cm="1">
        <f t="array" ref="Q114">Common_InputFunctions.Utility_DisplayArrayInTable(Fertiliser_SourceData.Fertiliser_Products_Data1(), FertiliserProducts[[#Headers],[Company]],1)</f>
        <v>Nitrogen - Nitrate</v>
      </c>
      <c r="R114" s="170" cm="1">
        <f t="array" ref="R114">Common_InputFunctions.Utility_DisplayArrayInTable(Fertiliser_SourceData.Fertiliser_Products_Data1(), FertiliserProducts[[#Headers],[Company]],1)</f>
        <v>0.13500000000000001</v>
      </c>
      <c r="S114" s="170" t="str" cm="1">
        <f t="array" ref="S114">Common_InputFunctions.Utility_DisplayArrayInTable(Fertiliser_SourceData.Fertiliser_Products_Data1(), FertiliserProducts[[#Headers],[Company]],1)</f>
        <v>Calcium</v>
      </c>
      <c r="T114" s="170" cm="1">
        <f t="array" ref="T114">Common_InputFunctions.Utility_DisplayArrayInTable(Fertiliser_SourceData.Fertiliser_Products_Data1(), FertiliserProducts[[#Headers],[Company]],1)</f>
        <v>0.12</v>
      </c>
      <c r="U114" s="170" t="str" cm="1">
        <f t="array" ref="U114">Common_InputFunctions.Utility_DisplayArrayInTable(Fertiliser_SourceData.Fertiliser_Products_Data1(), FertiliserProducts[[#Headers],[Company]],1)</f>
        <v/>
      </c>
      <c r="V114" s="170" t="str" cm="1">
        <f t="array" ref="V114">Common_InputFunctions.Utility_DisplayArrayInTable(Fertiliser_SourceData.Fertiliser_Products_Data1(), FertiliserProducts[[#Headers],[Company]],1)</f>
        <v/>
      </c>
      <c r="W114" s="170" t="str" cm="1">
        <f t="array" ref="W114">Common_InputFunctions.Utility_DisplayArrayInTable(Fertiliser_SourceData.Fertiliser_Products_Data1(), FertiliserProducts[[#Headers],[Company]],1)</f>
        <v/>
      </c>
      <c r="X114" s="170" t="str" cm="1">
        <f t="array" ref="X114">Common_InputFunctions.Utility_DisplayArrayInTable(Fertiliser_SourceData.Fertiliser_Products_Data1(), FertiliserProducts[[#Headers],[Company]],1)</f>
        <v/>
      </c>
      <c r="Y114" s="170" t="str" cm="1">
        <f t="array" ref="Y114">Common_InputFunctions.Utility_DisplayArrayInTable(Fertiliser_SourceData.Fertiliser_Products_Data1(), FertiliserProducts[[#Headers],[Company]],1)</f>
        <v/>
      </c>
      <c r="Z114" s="170" t="str" cm="1">
        <f t="array" ref="Z114">Common_InputFunctions.Utility_DisplayArrayInTable(Fertiliser_SourceData.Fertiliser_Products_Data1(), FertiliserProducts[[#Headers],[Company]],1)</f>
        <v/>
      </c>
      <c r="AA114" s="170" t="str" cm="1">
        <f t="array" ref="AA114">Common_InputFunctions.Utility_DisplayArrayInTable(Fertiliser_SourceData.Fertiliser_Products_Data1(), FertiliserProducts[[#Headers],[Company]],1)</f>
        <v/>
      </c>
      <c r="AB114" s="170" t="str" cm="1">
        <f t="array" ref="AB114">Common_InputFunctions.Utility_DisplayArrayInTable(Fertiliser_SourceData.Fertiliser_Products_Data1(), FertiliserProducts[[#Headers],[Company]],1)</f>
        <v/>
      </c>
      <c r="AC114" s="170" t="str" cm="1">
        <f t="array" ref="AC114">Common_InputFunctions.Utility_DisplayArrayInTable(Fertiliser_SourceData.Fertiliser_Products_Data1(), FertiliserProducts[[#Headers],[Company]],1)</f>
        <v/>
      </c>
      <c r="AD114" s="170" t="str" cm="1">
        <f t="array" ref="AD114">Common_InputFunctions.Utility_DisplayArrayInTable(Fertiliser_SourceData.Fertiliser_Products_Data1(), FertiliserProducts[[#Headers],[Company]],1)</f>
        <v/>
      </c>
      <c r="AE114" s="170" t="str" cm="1">
        <f t="array" ref="AE114">Common_InputFunctions.Utility_DisplayArrayInTable(Fertiliser_SourceData.Fertiliser_Products_Data1(), FertiliserProducts[[#Headers],[Company]],1)</f>
        <v/>
      </c>
      <c r="AF114" s="170" t="str" cm="1">
        <f t="array" ref="AF114">Common_InputFunctions.Utility_DisplayArrayInTable(Fertiliser_SourceData.Fertiliser_Products_Data1(), FertiliserProducts[[#Headers],[Company]],1)</f>
        <v/>
      </c>
      <c r="AG114" s="170" t="str" cm="1">
        <f t="array" ref="AG114">Common_InputFunctions.Utility_DisplayArrayInTable(Fertiliser_SourceData.Fertiliser_Products_Data1(), FertiliserProducts[[#Headers],[Company]],1)</f>
        <v/>
      </c>
      <c r="AH114" s="170" t="str" cm="1">
        <f t="array" ref="AH114">Common_InputFunctions.Utility_DisplayArrayInTable(Fertiliser_SourceData.Fertiliser_Products_Data1(), FertiliserProducts[[#Headers],[Company]],1)</f>
        <v/>
      </c>
      <c r="AK114" s="1"/>
      <c r="AL114" s="1"/>
      <c r="AM114" s="1"/>
    </row>
    <row r="115" spans="1:39" ht="20.100000000000001" customHeight="1" x14ac:dyDescent="0.2">
      <c r="D115" s="170" t="str" cm="1">
        <f t="array" ref="D115">Common_InputFunctions.Utility_DisplayArrayInTable(Fertiliser_SourceData.Fertiliser_Products_Data1(), FertiliserProducts[[#Headers],[Company]],1)</f>
        <v>SL Tec</v>
      </c>
      <c r="E115" s="170" t="str" cm="1">
        <f t="array" ref="E115">Common_InputFunctions.Utility_DisplayArrayInTable(Fertiliser_SourceData.Fertiliser_Products_Data1(), FertiliserProducts[[#Headers],[Company]],1)</f>
        <v>CellCAL Plus</v>
      </c>
      <c r="F115" s="170" t="str" cm="1">
        <f t="array" ref="F115">Common_InputFunctions.Utility_DisplayArrayInTable(Fertiliser_SourceData.Fertiliser_Products_Data1(), FertiliserProducts[[#Headers],[Company]],1)</f>
        <v>L</v>
      </c>
      <c r="G115" s="170" cm="1">
        <f t="array" ref="G115">Common_InputFunctions.Utility_DisplayArrayInTable(Fertiliser_SourceData.Fertiliser_Products_Data1(), FertiliserProducts[[#Headers],[Company]],1)</f>
        <v>1.1379999999999999</v>
      </c>
      <c r="H115" s="170" t="str" cm="1">
        <f t="array" ref="H115">Common_InputFunctions.Utility_DisplayArrayInTable(Fertiliser_SourceData.Fertiliser_Products_Data1(), FertiliserProducts[[#Headers],[Company]],1)</f>
        <v/>
      </c>
      <c r="I115" s="170" t="str" cm="1">
        <f t="array" ref="I115">Common_InputFunctions.Utility_DisplayArrayInTable(Fertiliser_SourceData.Fertiliser_Products_Data1(), FertiliserProducts[[#Headers],[Company]],1)</f>
        <v/>
      </c>
      <c r="J115" s="170" t="str" cm="1">
        <f t="array" ref="J115">Common_InputFunctions.Utility_DisplayArrayInTable(Fertiliser_SourceData.Fertiliser_Products_Data1(), FertiliserProducts[[#Headers],[Company]],1)</f>
        <v/>
      </c>
      <c r="K115" s="170" t="str" cm="1">
        <f t="array" ref="K115">Common_InputFunctions.Utility_DisplayArrayInTable(Fertiliser_SourceData.Fertiliser_Products_Data1(), FertiliserProducts[[#Headers],[Company]],1)</f>
        <v/>
      </c>
      <c r="L115" s="170" t="str" cm="1">
        <f t="array" ref="L115">Common_InputFunctions.Utility_DisplayArrayInTable(Fertiliser_SourceData.Fertiliser_Products_Data1(), FertiliserProducts[[#Headers],[Company]],1)</f>
        <v/>
      </c>
      <c r="M115" s="170" t="str" cm="1">
        <f t="array" ref="M115">Common_InputFunctions.Utility_DisplayArrayInTable(Fertiliser_SourceData.Fertiliser_Products_Data1(), FertiliserProducts[[#Headers],[Company]],1)</f>
        <v/>
      </c>
      <c r="N115" s="170" t="str" cm="1">
        <f t="array" ref="N115">Common_InputFunctions.Utility_DisplayArrayInTable(Fertiliser_SourceData.Fertiliser_Products_Data1(), FertiliserProducts[[#Headers],[Company]],1)</f>
        <v/>
      </c>
      <c r="O115" s="170" t="str" cm="1">
        <f t="array" ref="O115">Common_InputFunctions.Utility_DisplayArrayInTable(Fertiliser_SourceData.Fertiliser_Products_Data1(), FertiliserProducts[[#Headers],[Company]],1)</f>
        <v>Calcium</v>
      </c>
      <c r="P115" s="170" cm="1">
        <f t="array" ref="P115">Common_InputFunctions.Utility_DisplayArrayInTable(Fertiliser_SourceData.Fertiliser_Products_Data1(), FertiliserProducts[[#Headers],[Company]],1)</f>
        <v>5.8999999999999997E-2</v>
      </c>
      <c r="Q115" s="170" t="str" cm="1">
        <f t="array" ref="Q115">Common_InputFunctions.Utility_DisplayArrayInTable(Fertiliser_SourceData.Fertiliser_Products_Data1(), FertiliserProducts[[#Headers],[Company]],1)</f>
        <v>Copper</v>
      </c>
      <c r="R115" s="170" cm="1">
        <f t="array" ref="R115">Common_InputFunctions.Utility_DisplayArrayInTable(Fertiliser_SourceData.Fertiliser_Products_Data1(), FertiliserProducts[[#Headers],[Company]],1)</f>
        <v>3.0000000000000001E-3</v>
      </c>
      <c r="S115" s="170" t="str" cm="1">
        <f t="array" ref="S115">Common_InputFunctions.Utility_DisplayArrayInTable(Fertiliser_SourceData.Fertiliser_Products_Data1(), FertiliserProducts[[#Headers],[Company]],1)</f>
        <v>Boron</v>
      </c>
      <c r="T115" s="170" cm="1">
        <f t="array" ref="T115">Common_InputFunctions.Utility_DisplayArrayInTable(Fertiliser_SourceData.Fertiliser_Products_Data1(), FertiliserProducts[[#Headers],[Company]],1)</f>
        <v>1E-3</v>
      </c>
      <c r="U115" s="170" t="str" cm="1">
        <f t="array" ref="U115">Common_InputFunctions.Utility_DisplayArrayInTable(Fertiliser_SourceData.Fertiliser_Products_Data1(), FertiliserProducts[[#Headers],[Company]],1)</f>
        <v/>
      </c>
      <c r="V115" s="170" t="str" cm="1">
        <f t="array" ref="V115">Common_InputFunctions.Utility_DisplayArrayInTable(Fertiliser_SourceData.Fertiliser_Products_Data1(), FertiliserProducts[[#Headers],[Company]],1)</f>
        <v/>
      </c>
      <c r="W115" s="170" t="str" cm="1">
        <f t="array" ref="W115">Common_InputFunctions.Utility_DisplayArrayInTable(Fertiliser_SourceData.Fertiliser_Products_Data1(), FertiliserProducts[[#Headers],[Company]],1)</f>
        <v/>
      </c>
      <c r="X115" s="170" t="str" cm="1">
        <f t="array" ref="X115">Common_InputFunctions.Utility_DisplayArrayInTable(Fertiliser_SourceData.Fertiliser_Products_Data1(), FertiliserProducts[[#Headers],[Company]],1)</f>
        <v/>
      </c>
      <c r="Y115" s="170" t="str" cm="1">
        <f t="array" ref="Y115">Common_InputFunctions.Utility_DisplayArrayInTable(Fertiliser_SourceData.Fertiliser_Products_Data1(), FertiliserProducts[[#Headers],[Company]],1)</f>
        <v/>
      </c>
      <c r="Z115" s="170" t="str" cm="1">
        <f t="array" ref="Z115">Common_InputFunctions.Utility_DisplayArrayInTable(Fertiliser_SourceData.Fertiliser_Products_Data1(), FertiliserProducts[[#Headers],[Company]],1)</f>
        <v/>
      </c>
      <c r="AA115" s="170" t="str" cm="1">
        <f t="array" ref="AA115">Common_InputFunctions.Utility_DisplayArrayInTable(Fertiliser_SourceData.Fertiliser_Products_Data1(), FertiliserProducts[[#Headers],[Company]],1)</f>
        <v/>
      </c>
      <c r="AB115" s="170" t="str" cm="1">
        <f t="array" ref="AB115">Common_InputFunctions.Utility_DisplayArrayInTable(Fertiliser_SourceData.Fertiliser_Products_Data1(), FertiliserProducts[[#Headers],[Company]],1)</f>
        <v/>
      </c>
      <c r="AC115" s="170" t="str" cm="1">
        <f t="array" ref="AC115">Common_InputFunctions.Utility_DisplayArrayInTable(Fertiliser_SourceData.Fertiliser_Products_Data1(), FertiliserProducts[[#Headers],[Company]],1)</f>
        <v/>
      </c>
      <c r="AD115" s="170" t="str" cm="1">
        <f t="array" ref="AD115">Common_InputFunctions.Utility_DisplayArrayInTable(Fertiliser_SourceData.Fertiliser_Products_Data1(), FertiliserProducts[[#Headers],[Company]],1)</f>
        <v/>
      </c>
      <c r="AE115" s="170" t="str" cm="1">
        <f t="array" ref="AE115">Common_InputFunctions.Utility_DisplayArrayInTable(Fertiliser_SourceData.Fertiliser_Products_Data1(), FertiliserProducts[[#Headers],[Company]],1)</f>
        <v/>
      </c>
      <c r="AF115" s="170" t="str" cm="1">
        <f t="array" ref="AF115">Common_InputFunctions.Utility_DisplayArrayInTable(Fertiliser_SourceData.Fertiliser_Products_Data1(), FertiliserProducts[[#Headers],[Company]],1)</f>
        <v/>
      </c>
      <c r="AG115" s="170" t="str" cm="1">
        <f t="array" ref="AG115">Common_InputFunctions.Utility_DisplayArrayInTable(Fertiliser_SourceData.Fertiliser_Products_Data1(), FertiliserProducts[[#Headers],[Company]],1)</f>
        <v/>
      </c>
      <c r="AH115" s="170" t="str" cm="1">
        <f t="array" ref="AH115">Common_InputFunctions.Utility_DisplayArrayInTable(Fertiliser_SourceData.Fertiliser_Products_Data1(), FertiliserProducts[[#Headers],[Company]],1)</f>
        <v/>
      </c>
      <c r="AK115" s="1"/>
      <c r="AL115" s="1"/>
      <c r="AM115" s="1"/>
    </row>
    <row r="116" spans="1:39" ht="20.100000000000001" customHeight="1" x14ac:dyDescent="0.2">
      <c r="D116" s="170" t="str" cm="1">
        <f t="array" ref="D116">Common_InputFunctions.Utility_DisplayArrayInTable(Fertiliser_SourceData.Fertiliser_Products_Data1(), FertiliserProducts[[#Headers],[Company]],1)</f>
        <v>Incitec Pivot Fertilisers</v>
      </c>
      <c r="E116" s="170" t="str" cm="1">
        <f t="array" ref="E116">Common_InputFunctions.Utility_DisplayArrayInTable(Fertiliser_SourceData.Fertiliser_Products_Data1(), FertiliserProducts[[#Headers],[Company]],1)</f>
        <v>CK55</v>
      </c>
      <c r="F116" s="170" t="str" cm="1">
        <f t="array" ref="F116">Common_InputFunctions.Utility_DisplayArrayInTable(Fertiliser_SourceData.Fertiliser_Products_Data1(), FertiliserProducts[[#Headers],[Company]],1)</f>
        <v>kg</v>
      </c>
      <c r="G116" s="170" cm="1">
        <f t="array" ref="G116">Common_InputFunctions.Utility_DisplayArrayInTable(Fertiliser_SourceData.Fertiliser_Products_Data1(), FertiliserProducts[[#Headers],[Company]],1)</f>
        <v>1</v>
      </c>
      <c r="H116" s="170" t="str" cm="1">
        <f t="array" ref="H116">Common_InputFunctions.Utility_DisplayArrayInTable(Fertiliser_SourceData.Fertiliser_Products_Data1(), FertiliserProducts[[#Headers],[Company]],1)</f>
        <v/>
      </c>
      <c r="I116" s="170" t="str" cm="1">
        <f t="array" ref="I116">Common_InputFunctions.Utility_DisplayArrayInTable(Fertiliser_SourceData.Fertiliser_Products_Data1(), FertiliserProducts[[#Headers],[Company]],1)</f>
        <v/>
      </c>
      <c r="J116" s="170" t="str" cm="1">
        <f t="array" ref="J116">Common_InputFunctions.Utility_DisplayArrayInTable(Fertiliser_SourceData.Fertiliser_Products_Data1(), FertiliserProducts[[#Headers],[Company]],1)</f>
        <v/>
      </c>
      <c r="K116" s="170" cm="1">
        <f t="array" ref="K116">Common_InputFunctions.Utility_DisplayArrayInTable(Fertiliser_SourceData.Fertiliser_Products_Data1(), FertiliserProducts[[#Headers],[Company]],1)</f>
        <v>13.5</v>
      </c>
      <c r="L116" s="170" cm="1">
        <f t="array" ref="L116">Common_InputFunctions.Utility_DisplayArrayInTable(Fertiliser_SourceData.Fertiliser_Products_Data1(), FertiliserProducts[[#Headers],[Company]],1)</f>
        <v>15</v>
      </c>
      <c r="M116" s="170" cm="1">
        <f t="array" ref="M116">Common_InputFunctions.Utility_DisplayArrayInTable(Fertiliser_SourceData.Fertiliser_Products_Data1(), FertiliserProducts[[#Headers],[Company]],1)</f>
        <v>6.25</v>
      </c>
      <c r="N116" s="170" cm="1">
        <f t="array" ref="N116">Common_InputFunctions.Utility_DisplayArrayInTable(Fertiliser_SourceData.Fertiliser_Products_Data1(), FertiliserProducts[[#Headers],[Company]],1)</f>
        <v>1.2</v>
      </c>
      <c r="O116" s="170" t="str" cm="1">
        <f t="array" ref="O116">Common_InputFunctions.Utility_DisplayArrayInTable(Fertiliser_SourceData.Fertiliser_Products_Data1(), FertiliserProducts[[#Headers],[Company]],1)</f>
        <v>Phosphorus - Generic</v>
      </c>
      <c r="P116" s="170" cm="1">
        <f t="array" ref="P116">Common_InputFunctions.Utility_DisplayArrayInTable(Fertiliser_SourceData.Fertiliser_Products_Data1(), FertiliserProducts[[#Headers],[Company]],1)</f>
        <v>0.15</v>
      </c>
      <c r="Q116" s="170" t="str" cm="1">
        <f t="array" ref="Q116">Common_InputFunctions.Utility_DisplayArrayInTable(Fertiliser_SourceData.Fertiliser_Products_Data1(), FertiliserProducts[[#Headers],[Company]],1)</f>
        <v>Nitrogen - Ammoniacal</v>
      </c>
      <c r="R116" s="170" cm="1">
        <f t="array" ref="R116">Common_InputFunctions.Utility_DisplayArrayInTable(Fertiliser_SourceData.Fertiliser_Products_Data1(), FertiliserProducts[[#Headers],[Company]],1)</f>
        <v>0.13500000000000001</v>
      </c>
      <c r="S116" s="170" t="str" cm="1">
        <f t="array" ref="S116">Common_InputFunctions.Utility_DisplayArrayInTable(Fertiliser_SourceData.Fertiliser_Products_Data1(), FertiliserProducts[[#Headers],[Company]],1)</f>
        <v>Muriate of potash (MOP)</v>
      </c>
      <c r="T116" s="170" cm="1">
        <f t="array" ref="T116">Common_InputFunctions.Utility_DisplayArrayInTable(Fertiliser_SourceData.Fertiliser_Products_Data1(), FertiliserProducts[[#Headers],[Company]],1)</f>
        <v>0.125</v>
      </c>
      <c r="U116" s="170" t="str" cm="1">
        <f t="array" ref="U116">Common_InputFunctions.Utility_DisplayArrayInTable(Fertiliser_SourceData.Fertiliser_Products_Data1(), FertiliserProducts[[#Headers],[Company]],1)</f>
        <v>Fluoride</v>
      </c>
      <c r="V116" s="170" cm="1">
        <f t="array" ref="V116">Common_InputFunctions.Utility_DisplayArrayInTable(Fertiliser_SourceData.Fertiliser_Products_Data1(), FertiliserProducts[[#Headers],[Company]],1)</f>
        <v>2.3E-2</v>
      </c>
      <c r="W116" s="170" t="str" cm="1">
        <f t="array" ref="W116">Common_InputFunctions.Utility_DisplayArrayInTable(Fertiliser_SourceData.Fertiliser_Products_Data1(), FertiliserProducts[[#Headers],[Company]],1)</f>
        <v>Sulfur - Generic</v>
      </c>
      <c r="X116" s="170" cm="1">
        <f t="array" ref="X116">Common_InputFunctions.Utility_DisplayArrayInTable(Fertiliser_SourceData.Fertiliser_Products_Data1(), FertiliserProducts[[#Headers],[Company]],1)</f>
        <v>1.2E-2</v>
      </c>
      <c r="Y116" s="170" t="str" cm="1">
        <f t="array" ref="Y116">Common_InputFunctions.Utility_DisplayArrayInTable(Fertiliser_SourceData.Fertiliser_Products_Data1(), FertiliserProducts[[#Headers],[Company]],1)</f>
        <v/>
      </c>
      <c r="Z116" s="170" t="str" cm="1">
        <f t="array" ref="Z116">Common_InputFunctions.Utility_DisplayArrayInTable(Fertiliser_SourceData.Fertiliser_Products_Data1(), FertiliserProducts[[#Headers],[Company]],1)</f>
        <v/>
      </c>
      <c r="AA116" s="170" t="str" cm="1">
        <f t="array" ref="AA116">Common_InputFunctions.Utility_DisplayArrayInTable(Fertiliser_SourceData.Fertiliser_Products_Data1(), FertiliserProducts[[#Headers],[Company]],1)</f>
        <v/>
      </c>
      <c r="AB116" s="170" t="str" cm="1">
        <f t="array" ref="AB116">Common_InputFunctions.Utility_DisplayArrayInTable(Fertiliser_SourceData.Fertiliser_Products_Data1(), FertiliserProducts[[#Headers],[Company]],1)</f>
        <v/>
      </c>
      <c r="AC116" s="170" t="str" cm="1">
        <f t="array" ref="AC116">Common_InputFunctions.Utility_DisplayArrayInTable(Fertiliser_SourceData.Fertiliser_Products_Data1(), FertiliserProducts[[#Headers],[Company]],1)</f>
        <v/>
      </c>
      <c r="AD116" s="170" t="str" cm="1">
        <f t="array" ref="AD116">Common_InputFunctions.Utility_DisplayArrayInTable(Fertiliser_SourceData.Fertiliser_Products_Data1(), FertiliserProducts[[#Headers],[Company]],1)</f>
        <v/>
      </c>
      <c r="AE116" s="170" t="str" cm="1">
        <f t="array" ref="AE116">Common_InputFunctions.Utility_DisplayArrayInTable(Fertiliser_SourceData.Fertiliser_Products_Data1(), FertiliserProducts[[#Headers],[Company]],1)</f>
        <v/>
      </c>
      <c r="AF116" s="170" t="str" cm="1">
        <f t="array" ref="AF116">Common_InputFunctions.Utility_DisplayArrayInTable(Fertiliser_SourceData.Fertiliser_Products_Data1(), FertiliserProducts[[#Headers],[Company]],1)</f>
        <v/>
      </c>
      <c r="AG116" s="170" t="str" cm="1">
        <f t="array" ref="AG116">Common_InputFunctions.Utility_DisplayArrayInTable(Fertiliser_SourceData.Fertiliser_Products_Data1(), FertiliserProducts[[#Headers],[Company]],1)</f>
        <v/>
      </c>
      <c r="AH116" s="170" t="str" cm="1">
        <f t="array" ref="AH116">Common_InputFunctions.Utility_DisplayArrayInTable(Fertiliser_SourceData.Fertiliser_Products_Data1(), FertiliserProducts[[#Headers],[Company]],1)</f>
        <v/>
      </c>
      <c r="AK116" s="1"/>
      <c r="AL116" s="1"/>
      <c r="AM116" s="1"/>
    </row>
    <row r="117" spans="1:39" ht="20.100000000000001" customHeight="1" x14ac:dyDescent="0.2">
      <c r="D117" s="170" t="str" cm="1">
        <f t="array" ref="D117">Common_InputFunctions.Utility_DisplayArrayInTable(Fertiliser_SourceData.Fertiliser_Products_Data1(), FertiliserProducts[[#Headers],[Company]],1)</f>
        <v>Switch Ag</v>
      </c>
      <c r="E117" s="170" t="str" cm="1">
        <f t="array" ref="E117">Common_InputFunctions.Utility_DisplayArrayInTable(Fertiliser_SourceData.Fertiliser_Products_Data1(), FertiliserProducts[[#Headers],[Company]],1)</f>
        <v>Crop K</v>
      </c>
      <c r="F117" s="170" t="str" cm="1">
        <f t="array" ref="F117">Common_InputFunctions.Utility_DisplayArrayInTable(Fertiliser_SourceData.Fertiliser_Products_Data1(), FertiliserProducts[[#Headers],[Company]],1)</f>
        <v>L</v>
      </c>
      <c r="G117" s="170" cm="1">
        <f t="array" ref="G117">Common_InputFunctions.Utility_DisplayArrayInTable(Fertiliser_SourceData.Fertiliser_Products_Data1(), FertiliserProducts[[#Headers],[Company]],1)</f>
        <v>1.25</v>
      </c>
      <c r="H117" s="170" t="str" cm="1">
        <f t="array" ref="H117">Common_InputFunctions.Utility_DisplayArrayInTable(Fertiliser_SourceData.Fertiliser_Products_Data1(), FertiliserProducts[[#Headers],[Company]],1)</f>
        <v/>
      </c>
      <c r="I117" s="170" t="str" cm="1">
        <f t="array" ref="I117">Common_InputFunctions.Utility_DisplayArrayInTable(Fertiliser_SourceData.Fertiliser_Products_Data1(), FertiliserProducts[[#Headers],[Company]],1)</f>
        <v/>
      </c>
      <c r="J117" s="170" t="str" cm="1">
        <f t="array" ref="J117">Common_InputFunctions.Utility_DisplayArrayInTable(Fertiliser_SourceData.Fertiliser_Products_Data1(), FertiliserProducts[[#Headers],[Company]],1)</f>
        <v/>
      </c>
      <c r="K117" s="170" cm="1">
        <f t="array" ref="K117">Common_InputFunctions.Utility_DisplayArrayInTable(Fertiliser_SourceData.Fertiliser_Products_Data1(), FertiliserProducts[[#Headers],[Company]],1)</f>
        <v>3</v>
      </c>
      <c r="L117" s="170" t="str" cm="1">
        <f t="array" ref="L117">Common_InputFunctions.Utility_DisplayArrayInTable(Fertiliser_SourceData.Fertiliser_Products_Data1(), FertiliserProducts[[#Headers],[Company]],1)</f>
        <v/>
      </c>
      <c r="M117" s="170" cm="1">
        <f t="array" ref="M117">Common_InputFunctions.Utility_DisplayArrayInTable(Fertiliser_SourceData.Fertiliser_Products_Data1(), FertiliserProducts[[#Headers],[Company]],1)</f>
        <v>21</v>
      </c>
      <c r="N117" s="170" t="str" cm="1">
        <f t="array" ref="N117">Common_InputFunctions.Utility_DisplayArrayInTable(Fertiliser_SourceData.Fertiliser_Products_Data1(), FertiliserProducts[[#Headers],[Company]],1)</f>
        <v/>
      </c>
      <c r="O117" s="170" t="str" cm="1">
        <f t="array" ref="O117">Common_InputFunctions.Utility_DisplayArrayInTable(Fertiliser_SourceData.Fertiliser_Products_Data1(), FertiliserProducts[[#Headers],[Company]],1)</f>
        <v>Potassium - Generic</v>
      </c>
      <c r="P117" s="170" cm="1">
        <f t="array" ref="P117">Common_InputFunctions.Utility_DisplayArrayInTable(Fertiliser_SourceData.Fertiliser_Products_Data1(), FertiliserProducts[[#Headers],[Company]],1)</f>
        <v>0.21</v>
      </c>
      <c r="Q117" s="170" t="str" cm="1">
        <f t="array" ref="Q117">Common_InputFunctions.Utility_DisplayArrayInTable(Fertiliser_SourceData.Fertiliser_Products_Data1(), FertiliserProducts[[#Headers],[Company]],1)</f>
        <v>Nitrogen - Generic</v>
      </c>
      <c r="R117" s="170" cm="1">
        <f t="array" ref="R117">Common_InputFunctions.Utility_DisplayArrayInTable(Fertiliser_SourceData.Fertiliser_Products_Data1(), FertiliserProducts[[#Headers],[Company]],1)</f>
        <v>0.03</v>
      </c>
      <c r="S117" s="170" t="str" cm="1">
        <f t="array" ref="S117">Common_InputFunctions.Utility_DisplayArrayInTable(Fertiliser_SourceData.Fertiliser_Products_Data1(), FertiliserProducts[[#Headers],[Company]],1)</f>
        <v/>
      </c>
      <c r="T117" s="170" t="str" cm="1">
        <f t="array" ref="T117">Common_InputFunctions.Utility_DisplayArrayInTable(Fertiliser_SourceData.Fertiliser_Products_Data1(), FertiliserProducts[[#Headers],[Company]],1)</f>
        <v/>
      </c>
      <c r="U117" s="170" t="str" cm="1">
        <f t="array" ref="U117">Common_InputFunctions.Utility_DisplayArrayInTable(Fertiliser_SourceData.Fertiliser_Products_Data1(), FertiliserProducts[[#Headers],[Company]],1)</f>
        <v/>
      </c>
      <c r="V117" s="170" t="str" cm="1">
        <f t="array" ref="V117">Common_InputFunctions.Utility_DisplayArrayInTable(Fertiliser_SourceData.Fertiliser_Products_Data1(), FertiliserProducts[[#Headers],[Company]],1)</f>
        <v/>
      </c>
      <c r="W117" s="170" t="str" cm="1">
        <f t="array" ref="W117">Common_InputFunctions.Utility_DisplayArrayInTable(Fertiliser_SourceData.Fertiliser_Products_Data1(), FertiliserProducts[[#Headers],[Company]],1)</f>
        <v/>
      </c>
      <c r="X117" s="170" t="str" cm="1">
        <f t="array" ref="X117">Common_InputFunctions.Utility_DisplayArrayInTable(Fertiliser_SourceData.Fertiliser_Products_Data1(), FertiliserProducts[[#Headers],[Company]],1)</f>
        <v/>
      </c>
      <c r="Y117" s="170" t="str" cm="1">
        <f t="array" ref="Y117">Common_InputFunctions.Utility_DisplayArrayInTable(Fertiliser_SourceData.Fertiliser_Products_Data1(), FertiliserProducts[[#Headers],[Company]],1)</f>
        <v/>
      </c>
      <c r="Z117" s="170" t="str" cm="1">
        <f t="array" ref="Z117">Common_InputFunctions.Utility_DisplayArrayInTable(Fertiliser_SourceData.Fertiliser_Products_Data1(), FertiliserProducts[[#Headers],[Company]],1)</f>
        <v/>
      </c>
      <c r="AA117" s="170" t="str" cm="1">
        <f t="array" ref="AA117">Common_InputFunctions.Utility_DisplayArrayInTable(Fertiliser_SourceData.Fertiliser_Products_Data1(), FertiliserProducts[[#Headers],[Company]],1)</f>
        <v/>
      </c>
      <c r="AB117" s="170" t="str" cm="1">
        <f t="array" ref="AB117">Common_InputFunctions.Utility_DisplayArrayInTable(Fertiliser_SourceData.Fertiliser_Products_Data1(), FertiliserProducts[[#Headers],[Company]],1)</f>
        <v/>
      </c>
      <c r="AC117" s="170" t="str" cm="1">
        <f t="array" ref="AC117">Common_InputFunctions.Utility_DisplayArrayInTable(Fertiliser_SourceData.Fertiliser_Products_Data1(), FertiliserProducts[[#Headers],[Company]],1)</f>
        <v/>
      </c>
      <c r="AD117" s="170" t="str" cm="1">
        <f t="array" ref="AD117">Common_InputFunctions.Utility_DisplayArrayInTable(Fertiliser_SourceData.Fertiliser_Products_Data1(), FertiliserProducts[[#Headers],[Company]],1)</f>
        <v/>
      </c>
      <c r="AE117" s="170" t="str" cm="1">
        <f t="array" ref="AE117">Common_InputFunctions.Utility_DisplayArrayInTable(Fertiliser_SourceData.Fertiliser_Products_Data1(), FertiliserProducts[[#Headers],[Company]],1)</f>
        <v/>
      </c>
      <c r="AF117" s="170" t="str" cm="1">
        <f t="array" ref="AF117">Common_InputFunctions.Utility_DisplayArrayInTable(Fertiliser_SourceData.Fertiliser_Products_Data1(), FertiliserProducts[[#Headers],[Company]],1)</f>
        <v/>
      </c>
      <c r="AG117" s="170" t="str" cm="1">
        <f t="array" ref="AG117">Common_InputFunctions.Utility_DisplayArrayInTable(Fertiliser_SourceData.Fertiliser_Products_Data1(), FertiliserProducts[[#Headers],[Company]],1)</f>
        <v/>
      </c>
      <c r="AH117" s="170" t="str" cm="1">
        <f t="array" ref="AH117">Common_InputFunctions.Utility_DisplayArrayInTable(Fertiliser_SourceData.Fertiliser_Products_Data1(), FertiliserProducts[[#Headers],[Company]],1)</f>
        <v/>
      </c>
      <c r="AK117" s="1"/>
      <c r="AL117" s="1"/>
      <c r="AM117" s="1"/>
    </row>
    <row r="118" spans="1:39" ht="20.100000000000001" customHeight="1" x14ac:dyDescent="0.2">
      <c r="A118" s="81" t="str">
        <f>HYPERLINK("#A1", "▲ Back to top")</f>
        <v>▲ Back to top</v>
      </c>
      <c r="D118" s="170" t="str" cm="1">
        <f t="array" ref="D118">Common_InputFunctions.Utility_DisplayArrayInTable(Fertiliser_SourceData.Fertiliser_Products_Data1(), FertiliserProducts[[#Headers],[Company]],1)</f>
        <v>Switch Ag</v>
      </c>
      <c r="E118" s="170" t="str" cm="1">
        <f t="array" ref="E118">Common_InputFunctions.Utility_DisplayArrayInTable(Fertiliser_SourceData.Fertiliser_Products_Data1(), FertiliserProducts[[#Headers],[Company]],1)</f>
        <v>Crop Starter</v>
      </c>
      <c r="F118" s="170" t="str" cm="1">
        <f t="array" ref="F118">Common_InputFunctions.Utility_DisplayArrayInTable(Fertiliser_SourceData.Fertiliser_Products_Data1(), FertiliserProducts[[#Headers],[Company]],1)</f>
        <v>L</v>
      </c>
      <c r="G118" s="170" cm="1">
        <f t="array" ref="G118">Common_InputFunctions.Utility_DisplayArrayInTable(Fertiliser_SourceData.Fertiliser_Products_Data1(), FertiliserProducts[[#Headers],[Company]],1)</f>
        <v>1.2</v>
      </c>
      <c r="H118" s="170" t="str" cm="1">
        <f t="array" ref="H118">Common_InputFunctions.Utility_DisplayArrayInTable(Fertiliser_SourceData.Fertiliser_Products_Data1(), FertiliserProducts[[#Headers],[Company]],1)</f>
        <v/>
      </c>
      <c r="I118" s="170" t="str" cm="1">
        <f t="array" ref="I118">Common_InputFunctions.Utility_DisplayArrayInTable(Fertiliser_SourceData.Fertiliser_Products_Data1(), FertiliserProducts[[#Headers],[Company]],1)</f>
        <v/>
      </c>
      <c r="J118" s="170" t="str" cm="1">
        <f t="array" ref="J118">Common_InputFunctions.Utility_DisplayArrayInTable(Fertiliser_SourceData.Fertiliser_Products_Data1(), FertiliserProducts[[#Headers],[Company]],1)</f>
        <v/>
      </c>
      <c r="K118" s="170" cm="1">
        <f t="array" ref="K118">Common_InputFunctions.Utility_DisplayArrayInTable(Fertiliser_SourceData.Fertiliser_Products_Data1(), FertiliserProducts[[#Headers],[Company]],1)</f>
        <v>5</v>
      </c>
      <c r="L118" s="170" cm="1">
        <f t="array" ref="L118">Common_InputFunctions.Utility_DisplayArrayInTable(Fertiliser_SourceData.Fertiliser_Products_Data1(), FertiliserProducts[[#Headers],[Company]],1)</f>
        <v>3</v>
      </c>
      <c r="M118" s="170" cm="1">
        <f t="array" ref="M118">Common_InputFunctions.Utility_DisplayArrayInTable(Fertiliser_SourceData.Fertiliser_Products_Data1(), FertiliserProducts[[#Headers],[Company]],1)</f>
        <v>8</v>
      </c>
      <c r="N118" s="170" t="str" cm="1">
        <f t="array" ref="N118">Common_InputFunctions.Utility_DisplayArrayInTable(Fertiliser_SourceData.Fertiliser_Products_Data1(), FertiliserProducts[[#Headers],[Company]],1)</f>
        <v/>
      </c>
      <c r="O118" s="170" t="str" cm="1">
        <f t="array" ref="O118">Common_InputFunctions.Utility_DisplayArrayInTable(Fertiliser_SourceData.Fertiliser_Products_Data1(), FertiliserProducts[[#Headers],[Company]],1)</f>
        <v>Potassium - Generic</v>
      </c>
      <c r="P118" s="170" cm="1">
        <f t="array" ref="P118">Common_InputFunctions.Utility_DisplayArrayInTable(Fertiliser_SourceData.Fertiliser_Products_Data1(), FertiliserProducts[[#Headers],[Company]],1)</f>
        <v>0.08</v>
      </c>
      <c r="Q118" s="170" t="str" cm="1">
        <f t="array" ref="Q118">Common_InputFunctions.Utility_DisplayArrayInTable(Fertiliser_SourceData.Fertiliser_Products_Data1(), FertiliserProducts[[#Headers],[Company]],1)</f>
        <v>Nitrogen - Generic</v>
      </c>
      <c r="R118" s="170" cm="1">
        <f t="array" ref="R118">Common_InputFunctions.Utility_DisplayArrayInTable(Fertiliser_SourceData.Fertiliser_Products_Data1(), FertiliserProducts[[#Headers],[Company]],1)</f>
        <v>0.05</v>
      </c>
      <c r="S118" s="170" t="str" cm="1">
        <f t="array" ref="S118">Common_InputFunctions.Utility_DisplayArrayInTable(Fertiliser_SourceData.Fertiliser_Products_Data1(), FertiliserProducts[[#Headers],[Company]],1)</f>
        <v>Phosphorus - Generic</v>
      </c>
      <c r="T118" s="170" cm="1">
        <f t="array" ref="T118">Common_InputFunctions.Utility_DisplayArrayInTable(Fertiliser_SourceData.Fertiliser_Products_Data1(), FertiliserProducts[[#Headers],[Company]],1)</f>
        <v>0.03</v>
      </c>
      <c r="U118" s="170" t="str" cm="1">
        <f t="array" ref="U118">Common_InputFunctions.Utility_DisplayArrayInTable(Fertiliser_SourceData.Fertiliser_Products_Data1(), FertiliserProducts[[#Headers],[Company]],1)</f>
        <v/>
      </c>
      <c r="V118" s="170" t="str" cm="1">
        <f t="array" ref="V118">Common_InputFunctions.Utility_DisplayArrayInTable(Fertiliser_SourceData.Fertiliser_Products_Data1(), FertiliserProducts[[#Headers],[Company]],1)</f>
        <v/>
      </c>
      <c r="W118" s="170" t="str" cm="1">
        <f t="array" ref="W118">Common_InputFunctions.Utility_DisplayArrayInTable(Fertiliser_SourceData.Fertiliser_Products_Data1(), FertiliserProducts[[#Headers],[Company]],1)</f>
        <v/>
      </c>
      <c r="X118" s="170" t="str" cm="1">
        <f t="array" ref="X118">Common_InputFunctions.Utility_DisplayArrayInTable(Fertiliser_SourceData.Fertiliser_Products_Data1(), FertiliserProducts[[#Headers],[Company]],1)</f>
        <v/>
      </c>
      <c r="Y118" s="170" t="str" cm="1">
        <f t="array" ref="Y118">Common_InputFunctions.Utility_DisplayArrayInTable(Fertiliser_SourceData.Fertiliser_Products_Data1(), FertiliserProducts[[#Headers],[Company]],1)</f>
        <v/>
      </c>
      <c r="Z118" s="170" t="str" cm="1">
        <f t="array" ref="Z118">Common_InputFunctions.Utility_DisplayArrayInTable(Fertiliser_SourceData.Fertiliser_Products_Data1(), FertiliserProducts[[#Headers],[Company]],1)</f>
        <v/>
      </c>
      <c r="AA118" s="170" t="str" cm="1">
        <f t="array" ref="AA118">Common_InputFunctions.Utility_DisplayArrayInTable(Fertiliser_SourceData.Fertiliser_Products_Data1(), FertiliserProducts[[#Headers],[Company]],1)</f>
        <v/>
      </c>
      <c r="AB118" s="170" t="str" cm="1">
        <f t="array" ref="AB118">Common_InputFunctions.Utility_DisplayArrayInTable(Fertiliser_SourceData.Fertiliser_Products_Data1(), FertiliserProducts[[#Headers],[Company]],1)</f>
        <v/>
      </c>
      <c r="AC118" s="170" t="str" cm="1">
        <f t="array" ref="AC118">Common_InputFunctions.Utility_DisplayArrayInTable(Fertiliser_SourceData.Fertiliser_Products_Data1(), FertiliserProducts[[#Headers],[Company]],1)</f>
        <v/>
      </c>
      <c r="AD118" s="170" t="str" cm="1">
        <f t="array" ref="AD118">Common_InputFunctions.Utility_DisplayArrayInTable(Fertiliser_SourceData.Fertiliser_Products_Data1(), FertiliserProducts[[#Headers],[Company]],1)</f>
        <v/>
      </c>
      <c r="AE118" s="170" t="str" cm="1">
        <f t="array" ref="AE118">Common_InputFunctions.Utility_DisplayArrayInTable(Fertiliser_SourceData.Fertiliser_Products_Data1(), FertiliserProducts[[#Headers],[Company]],1)</f>
        <v/>
      </c>
      <c r="AF118" s="170" t="str" cm="1">
        <f t="array" ref="AF118">Common_InputFunctions.Utility_DisplayArrayInTable(Fertiliser_SourceData.Fertiliser_Products_Data1(), FertiliserProducts[[#Headers],[Company]],1)</f>
        <v/>
      </c>
      <c r="AG118" s="170" t="str" cm="1">
        <f t="array" ref="AG118">Common_InputFunctions.Utility_DisplayArrayInTable(Fertiliser_SourceData.Fertiliser_Products_Data1(), FertiliserProducts[[#Headers],[Company]],1)</f>
        <v/>
      </c>
      <c r="AH118" s="170" t="str" cm="1">
        <f t="array" ref="AH118">Common_InputFunctions.Utility_DisplayArrayInTable(Fertiliser_SourceData.Fertiliser_Products_Data1(), FertiliserProducts[[#Headers],[Company]],1)</f>
        <v/>
      </c>
      <c r="AK118" s="1"/>
      <c r="AL118" s="1"/>
      <c r="AM118" s="1"/>
    </row>
    <row r="119" spans="1:39" ht="20.100000000000001" customHeight="1" x14ac:dyDescent="0.2">
      <c r="D119" s="170" t="str" cm="1">
        <f t="array" ref="D119">Common_InputFunctions.Utility_DisplayArrayInTable(Fertiliser_SourceData.Fertiliser_Products_Data1(), FertiliserProducts[[#Headers],[Company]],1)</f>
        <v>Incitec Pivot Fertilisers</v>
      </c>
      <c r="E119" s="170" t="str" cm="1">
        <f t="array" ref="E119">Common_InputFunctions.Utility_DisplayArrayInTable(Fertiliser_SourceData.Fertiliser_Products_Data1(), FertiliserProducts[[#Headers],[Company]],1)</f>
        <v>Gran-Am</v>
      </c>
      <c r="F119" s="170" t="str" cm="1">
        <f t="array" ref="F119">Common_InputFunctions.Utility_DisplayArrayInTable(Fertiliser_SourceData.Fertiliser_Products_Data1(), FertiliserProducts[[#Headers],[Company]],1)</f>
        <v>kg</v>
      </c>
      <c r="G119" s="170" cm="1">
        <f t="array" ref="G119">Common_InputFunctions.Utility_DisplayArrayInTable(Fertiliser_SourceData.Fertiliser_Products_Data1(), FertiliserProducts[[#Headers],[Company]],1)</f>
        <v>1</v>
      </c>
      <c r="H119" s="170" t="str" cm="1">
        <f t="array" ref="H119">Common_InputFunctions.Utility_DisplayArrayInTable(Fertiliser_SourceData.Fertiliser_Products_Data1(), FertiliserProducts[[#Headers],[Company]],1)</f>
        <v/>
      </c>
      <c r="I119" s="170" t="str" cm="1">
        <f t="array" ref="I119">Common_InputFunctions.Utility_DisplayArrayInTable(Fertiliser_SourceData.Fertiliser_Products_Data1(), FertiliserProducts[[#Headers],[Company]],1)</f>
        <v/>
      </c>
      <c r="J119" s="170" t="str" cm="1">
        <f t="array" ref="J119">Common_InputFunctions.Utility_DisplayArrayInTable(Fertiliser_SourceData.Fertiliser_Products_Data1(), FertiliserProducts[[#Headers],[Company]],1)</f>
        <v/>
      </c>
      <c r="K119" s="170" cm="1">
        <f t="array" ref="K119">Common_InputFunctions.Utility_DisplayArrayInTable(Fertiliser_SourceData.Fertiliser_Products_Data1(), FertiliserProducts[[#Headers],[Company]],1)</f>
        <v>21</v>
      </c>
      <c r="L119" s="170" t="str" cm="1">
        <f t="array" ref="L119">Common_InputFunctions.Utility_DisplayArrayInTable(Fertiliser_SourceData.Fertiliser_Products_Data1(), FertiliserProducts[[#Headers],[Company]],1)</f>
        <v/>
      </c>
      <c r="M119" s="170" t="str" cm="1">
        <f t="array" ref="M119">Common_InputFunctions.Utility_DisplayArrayInTable(Fertiliser_SourceData.Fertiliser_Products_Data1(), FertiliserProducts[[#Headers],[Company]],1)</f>
        <v/>
      </c>
      <c r="N119" s="170" cm="1">
        <f t="array" ref="N119">Common_InputFunctions.Utility_DisplayArrayInTable(Fertiliser_SourceData.Fertiliser_Products_Data1(), FertiliserProducts[[#Headers],[Company]],1)</f>
        <v>24</v>
      </c>
      <c r="O119" s="170" t="str" cm="1">
        <f t="array" ref="O119">Common_InputFunctions.Utility_DisplayArrayInTable(Fertiliser_SourceData.Fertiliser_Products_Data1(), FertiliserProducts[[#Headers],[Company]],1)</f>
        <v>Sulphate of ammonia (SOA)</v>
      </c>
      <c r="P119" s="170" cm="1">
        <f t="array" ref="P119">Common_InputFunctions.Utility_DisplayArrayInTable(Fertiliser_SourceData.Fertiliser_Products_Data1(), FertiliserProducts[[#Headers],[Company]],1)</f>
        <v>1</v>
      </c>
      <c r="Q119" s="170" t="str" cm="1">
        <f t="array" ref="Q119">Common_InputFunctions.Utility_DisplayArrayInTable(Fertiliser_SourceData.Fertiliser_Products_Data1(), FertiliserProducts[[#Headers],[Company]],1)</f>
        <v/>
      </c>
      <c r="R119" s="170" t="str" cm="1">
        <f t="array" ref="R119">Common_InputFunctions.Utility_DisplayArrayInTable(Fertiliser_SourceData.Fertiliser_Products_Data1(), FertiliserProducts[[#Headers],[Company]],1)</f>
        <v/>
      </c>
      <c r="S119" s="170" t="str" cm="1">
        <f t="array" ref="S119">Common_InputFunctions.Utility_DisplayArrayInTable(Fertiliser_SourceData.Fertiliser_Products_Data1(), FertiliserProducts[[#Headers],[Company]],1)</f>
        <v/>
      </c>
      <c r="T119" s="170" t="str" cm="1">
        <f t="array" ref="T119">Common_InputFunctions.Utility_DisplayArrayInTable(Fertiliser_SourceData.Fertiliser_Products_Data1(), FertiliserProducts[[#Headers],[Company]],1)</f>
        <v/>
      </c>
      <c r="U119" s="170" t="str" cm="1">
        <f t="array" ref="U119">Common_InputFunctions.Utility_DisplayArrayInTable(Fertiliser_SourceData.Fertiliser_Products_Data1(), FertiliserProducts[[#Headers],[Company]],1)</f>
        <v/>
      </c>
      <c r="V119" s="170" t="str" cm="1">
        <f t="array" ref="V119">Common_InputFunctions.Utility_DisplayArrayInTable(Fertiliser_SourceData.Fertiliser_Products_Data1(), FertiliserProducts[[#Headers],[Company]],1)</f>
        <v/>
      </c>
      <c r="W119" s="170" t="str" cm="1">
        <f t="array" ref="W119">Common_InputFunctions.Utility_DisplayArrayInTable(Fertiliser_SourceData.Fertiliser_Products_Data1(), FertiliserProducts[[#Headers],[Company]],1)</f>
        <v/>
      </c>
      <c r="X119" s="170" t="str" cm="1">
        <f t="array" ref="X119">Common_InputFunctions.Utility_DisplayArrayInTable(Fertiliser_SourceData.Fertiliser_Products_Data1(), FertiliserProducts[[#Headers],[Company]],1)</f>
        <v/>
      </c>
      <c r="Y119" s="170" t="str" cm="1">
        <f t="array" ref="Y119">Common_InputFunctions.Utility_DisplayArrayInTable(Fertiliser_SourceData.Fertiliser_Products_Data1(), FertiliserProducts[[#Headers],[Company]],1)</f>
        <v/>
      </c>
      <c r="Z119" s="170" t="str" cm="1">
        <f t="array" ref="Z119">Common_InputFunctions.Utility_DisplayArrayInTable(Fertiliser_SourceData.Fertiliser_Products_Data1(), FertiliserProducts[[#Headers],[Company]],1)</f>
        <v/>
      </c>
      <c r="AA119" s="170" t="str" cm="1">
        <f t="array" ref="AA119">Common_InputFunctions.Utility_DisplayArrayInTable(Fertiliser_SourceData.Fertiliser_Products_Data1(), FertiliserProducts[[#Headers],[Company]],1)</f>
        <v/>
      </c>
      <c r="AB119" s="170" t="str" cm="1">
        <f t="array" ref="AB119">Common_InputFunctions.Utility_DisplayArrayInTable(Fertiliser_SourceData.Fertiliser_Products_Data1(), FertiliserProducts[[#Headers],[Company]],1)</f>
        <v/>
      </c>
      <c r="AC119" s="170" t="str" cm="1">
        <f t="array" ref="AC119">Common_InputFunctions.Utility_DisplayArrayInTable(Fertiliser_SourceData.Fertiliser_Products_Data1(), FertiliserProducts[[#Headers],[Company]],1)</f>
        <v/>
      </c>
      <c r="AD119" s="170" t="str" cm="1">
        <f t="array" ref="AD119">Common_InputFunctions.Utility_DisplayArrayInTable(Fertiliser_SourceData.Fertiliser_Products_Data1(), FertiliserProducts[[#Headers],[Company]],1)</f>
        <v/>
      </c>
      <c r="AE119" s="170" t="str" cm="1">
        <f t="array" ref="AE119">Common_InputFunctions.Utility_DisplayArrayInTable(Fertiliser_SourceData.Fertiliser_Products_Data1(), FertiliserProducts[[#Headers],[Company]],1)</f>
        <v/>
      </c>
      <c r="AF119" s="170" t="str" cm="1">
        <f t="array" ref="AF119">Common_InputFunctions.Utility_DisplayArrayInTable(Fertiliser_SourceData.Fertiliser_Products_Data1(), FertiliserProducts[[#Headers],[Company]],1)</f>
        <v/>
      </c>
      <c r="AG119" s="170" t="str" cm="1">
        <f t="array" ref="AG119">Common_InputFunctions.Utility_DisplayArrayInTable(Fertiliser_SourceData.Fertiliser_Products_Data1(), FertiliserProducts[[#Headers],[Company]],1)</f>
        <v/>
      </c>
      <c r="AH119" s="170" t="str" cm="1">
        <f t="array" ref="AH119">Common_InputFunctions.Utility_DisplayArrayInTable(Fertiliser_SourceData.Fertiliser_Products_Data1(), FertiliserProducts[[#Headers],[Company]],1)</f>
        <v/>
      </c>
      <c r="AK119" s="1"/>
      <c r="AL119" s="1"/>
      <c r="AM119" s="1"/>
    </row>
    <row r="120" spans="1:39" ht="20.100000000000001" customHeight="1" x14ac:dyDescent="0.2">
      <c r="D120" s="170" t="str" cm="1">
        <f t="array" ref="D120">Common_InputFunctions.Utility_DisplayArrayInTable(Fertiliser_SourceData.Fertiliser_Products_Data2(), FertiliserProducts[[#Headers],[Company]],31)</f>
        <v>Campbells fertilisers Australia</v>
      </c>
      <c r="E120" s="170" t="str" cm="1">
        <f t="array" ref="E120">Common_InputFunctions.Utility_DisplayArrayInTable(Fertiliser_SourceData.Fertiliser_Products_Data2(), FertiliserProducts[[#Headers],[Company]],31)</f>
        <v>Encal</v>
      </c>
      <c r="F120" s="170" t="str" cm="1">
        <f t="array" ref="F120">Common_InputFunctions.Utility_DisplayArrayInTable(Fertiliser_SourceData.Fertiliser_Products_Data2(), FertiliserProducts[[#Headers],[Company]],31)</f>
        <v>L</v>
      </c>
      <c r="G120" s="170" cm="1">
        <f t="array" ref="G120">Common_InputFunctions.Utility_DisplayArrayInTable(Fertiliser_SourceData.Fertiliser_Products_Data2(), FertiliserProducts[[#Headers],[Company]],31)</f>
        <v>1.5</v>
      </c>
      <c r="H120" s="170" t="str" cm="1">
        <f t="array" ref="H120">Common_InputFunctions.Utility_DisplayArrayInTable(Fertiliser_SourceData.Fertiliser_Products_Data2(), FertiliserProducts[[#Headers],[Company]],31)</f>
        <v/>
      </c>
      <c r="I120" s="170" t="str" cm="1">
        <f t="array" ref="I120">Common_InputFunctions.Utility_DisplayArrayInTable(Fertiliser_SourceData.Fertiliser_Products_Data2(), FertiliserProducts[[#Headers],[Company]],31)</f>
        <v/>
      </c>
      <c r="J120" s="170" t="str" cm="1">
        <f t="array" ref="J120">Common_InputFunctions.Utility_DisplayArrayInTable(Fertiliser_SourceData.Fertiliser_Products_Data2(), FertiliserProducts[[#Headers],[Company]],31)</f>
        <v/>
      </c>
      <c r="K120" s="170" cm="1">
        <f t="array" ref="K120">Common_InputFunctions.Utility_DisplayArrayInTable(Fertiliser_SourceData.Fertiliser_Products_Data2(), FertiliserProducts[[#Headers],[Company]],31)</f>
        <v>9</v>
      </c>
      <c r="L120" s="170" t="str" cm="1">
        <f t="array" ref="L120">Common_InputFunctions.Utility_DisplayArrayInTable(Fertiliser_SourceData.Fertiliser_Products_Data2(), FertiliserProducts[[#Headers],[Company]],31)</f>
        <v/>
      </c>
      <c r="M120" s="170" t="str" cm="1">
        <f t="array" ref="M120">Common_InputFunctions.Utility_DisplayArrayInTable(Fertiliser_SourceData.Fertiliser_Products_Data2(), FertiliserProducts[[#Headers],[Company]],31)</f>
        <v/>
      </c>
      <c r="N120" s="170" cm="1">
        <f t="array" ref="N120">Common_InputFunctions.Utility_DisplayArrayInTable(Fertiliser_SourceData.Fertiliser_Products_Data2(), FertiliserProducts[[#Headers],[Company]],31)</f>
        <v>13.94</v>
      </c>
      <c r="O120" s="170" t="str" cm="1">
        <f t="array" ref="O120">Common_InputFunctions.Utility_DisplayArrayInTable(Fertiliser_SourceData.Fertiliser_Products_Data2(), FertiliserProducts[[#Headers],[Company]],31)</f>
        <v>Sulphate of ammonia (SOA)</v>
      </c>
      <c r="P120" s="170" cm="1">
        <f t="array" ref="P120">Common_InputFunctions.Utility_DisplayArrayInTable(Fertiliser_SourceData.Fertiliser_Products_Data2(), FertiliserProducts[[#Headers],[Company]],31)</f>
        <v>0.58064499999999997</v>
      </c>
      <c r="Q120" s="170" t="str" cm="1">
        <f t="array" ref="Q120">Common_InputFunctions.Utility_DisplayArrayInTable(Fertiliser_SourceData.Fertiliser_Products_Data2(), FertiliserProducts[[#Headers],[Company]],31)</f>
        <v>Magnesium</v>
      </c>
      <c r="R120" s="170" cm="1">
        <f t="array" ref="R120">Common_InputFunctions.Utility_DisplayArrayInTable(Fertiliser_SourceData.Fertiliser_Products_Data2(), FertiliserProducts[[#Headers],[Company]],31)</f>
        <v>1.2E-2</v>
      </c>
      <c r="S120" s="170" t="str" cm="1">
        <f t="array" ref="S120">Common_InputFunctions.Utility_DisplayArrayInTable(Fertiliser_SourceData.Fertiliser_Products_Data2(), FertiliserProducts[[#Headers],[Company]],31)</f>
        <v/>
      </c>
      <c r="T120" s="170" t="str" cm="1">
        <f t="array" ref="T120">Common_InputFunctions.Utility_DisplayArrayInTable(Fertiliser_SourceData.Fertiliser_Products_Data2(), FertiliserProducts[[#Headers],[Company]],31)</f>
        <v/>
      </c>
      <c r="U120" s="170" t="str" cm="1">
        <f t="array" ref="U120">Common_InputFunctions.Utility_DisplayArrayInTable(Fertiliser_SourceData.Fertiliser_Products_Data2(), FertiliserProducts[[#Headers],[Company]],31)</f>
        <v/>
      </c>
      <c r="V120" s="170" t="str" cm="1">
        <f t="array" ref="V120">Common_InputFunctions.Utility_DisplayArrayInTable(Fertiliser_SourceData.Fertiliser_Products_Data2(), FertiliserProducts[[#Headers],[Company]],31)</f>
        <v/>
      </c>
      <c r="W120" s="170" t="str" cm="1">
        <f t="array" ref="W120">Common_InputFunctions.Utility_DisplayArrayInTable(Fertiliser_SourceData.Fertiliser_Products_Data2(), FertiliserProducts[[#Headers],[Company]],31)</f>
        <v/>
      </c>
      <c r="X120" s="170" t="str" cm="1">
        <f t="array" ref="X120">Common_InputFunctions.Utility_DisplayArrayInTable(Fertiliser_SourceData.Fertiliser_Products_Data2(), FertiliserProducts[[#Headers],[Company]],31)</f>
        <v/>
      </c>
      <c r="Y120" s="170" t="str" cm="1">
        <f t="array" ref="Y120">Common_InputFunctions.Utility_DisplayArrayInTable(Fertiliser_SourceData.Fertiliser_Products_Data2(), FertiliserProducts[[#Headers],[Company]],31)</f>
        <v/>
      </c>
      <c r="Z120" s="170" t="str" cm="1">
        <f t="array" ref="Z120">Common_InputFunctions.Utility_DisplayArrayInTable(Fertiliser_SourceData.Fertiliser_Products_Data2(), FertiliserProducts[[#Headers],[Company]],31)</f>
        <v/>
      </c>
      <c r="AA120" s="170" t="str" cm="1">
        <f t="array" ref="AA120">Common_InputFunctions.Utility_DisplayArrayInTable(Fertiliser_SourceData.Fertiliser_Products_Data2(), FertiliserProducts[[#Headers],[Company]],31)</f>
        <v/>
      </c>
      <c r="AB120" s="170" t="str" cm="1">
        <f t="array" ref="AB120">Common_InputFunctions.Utility_DisplayArrayInTable(Fertiliser_SourceData.Fertiliser_Products_Data2(), FertiliserProducts[[#Headers],[Company]],31)</f>
        <v/>
      </c>
      <c r="AC120" s="170" t="str" cm="1">
        <f t="array" ref="AC120">Common_InputFunctions.Utility_DisplayArrayInTable(Fertiliser_SourceData.Fertiliser_Products_Data2(), FertiliserProducts[[#Headers],[Company]],31)</f>
        <v/>
      </c>
      <c r="AD120" s="170" t="str" cm="1">
        <f t="array" ref="AD120">Common_InputFunctions.Utility_DisplayArrayInTable(Fertiliser_SourceData.Fertiliser_Products_Data2(), FertiliserProducts[[#Headers],[Company]],31)</f>
        <v/>
      </c>
      <c r="AE120" s="170" t="str" cm="1">
        <f t="array" ref="AE120">Common_InputFunctions.Utility_DisplayArrayInTable(Fertiliser_SourceData.Fertiliser_Products_Data2(), FertiliserProducts[[#Headers],[Company]],31)</f>
        <v/>
      </c>
      <c r="AF120" s="170" t="str" cm="1">
        <f t="array" ref="AF120">Common_InputFunctions.Utility_DisplayArrayInTable(Fertiliser_SourceData.Fertiliser_Products_Data2(), FertiliserProducts[[#Headers],[Company]],31)</f>
        <v/>
      </c>
      <c r="AG120" s="170" t="str" cm="1">
        <f t="array" ref="AG120">Common_InputFunctions.Utility_DisplayArrayInTable(Fertiliser_SourceData.Fertiliser_Products_Data2(), FertiliserProducts[[#Headers],[Company]],31)</f>
        <v/>
      </c>
      <c r="AH120" s="170" t="str" cm="1">
        <f t="array" ref="AH120">Common_InputFunctions.Utility_DisplayArrayInTable(Fertiliser_SourceData.Fertiliser_Products_Data2(), FertiliserProducts[[#Headers],[Company]],31)</f>
        <v/>
      </c>
      <c r="AK120" s="1"/>
      <c r="AL120" s="1"/>
      <c r="AM120" s="1"/>
    </row>
    <row r="121" spans="1:39" ht="20.100000000000001" customHeight="1" x14ac:dyDescent="0.2">
      <c r="D121" s="170" t="str" cm="1">
        <f t="array" ref="D121">Common_InputFunctions.Utility_DisplayArrayInTable(Fertiliser_SourceData.Fertiliser_Products_Data2(), FertiliserProducts[[#Headers],[Company]],31)</f>
        <v>Incitec Pivot Fertilisers</v>
      </c>
      <c r="E121" s="170" t="str" cm="1">
        <f t="array" ref="E121">Common_InputFunctions.Utility_DisplayArrayInTable(Fertiliser_SourceData.Fertiliser_Products_Data2(), FertiliserProducts[[#Headers],[Company]],31)</f>
        <v>Granulock SS</v>
      </c>
      <c r="F121" s="170" t="str" cm="1">
        <f t="array" ref="F121">Common_InputFunctions.Utility_DisplayArrayInTable(Fertiliser_SourceData.Fertiliser_Products_Data2(), FertiliserProducts[[#Headers],[Company]],31)</f>
        <v>kg</v>
      </c>
      <c r="G121" s="170" cm="1">
        <f t="array" ref="G121">Common_InputFunctions.Utility_DisplayArrayInTable(Fertiliser_SourceData.Fertiliser_Products_Data2(), FertiliserProducts[[#Headers],[Company]],31)</f>
        <v>1</v>
      </c>
      <c r="H121" s="170" t="str" cm="1">
        <f t="array" ref="H121">Common_InputFunctions.Utility_DisplayArrayInTable(Fertiliser_SourceData.Fertiliser_Products_Data2(), FertiliserProducts[[#Headers],[Company]],31)</f>
        <v/>
      </c>
      <c r="I121" s="170" t="str" cm="1">
        <f t="array" ref="I121">Common_InputFunctions.Utility_DisplayArrayInTable(Fertiliser_SourceData.Fertiliser_Products_Data2(), FertiliserProducts[[#Headers],[Company]],31)</f>
        <v/>
      </c>
      <c r="J121" s="170" t="str" cm="1">
        <f t="array" ref="J121">Common_InputFunctions.Utility_DisplayArrayInTable(Fertiliser_SourceData.Fertiliser_Products_Data2(), FertiliserProducts[[#Headers],[Company]],31)</f>
        <v/>
      </c>
      <c r="K121" s="170" cm="1">
        <f t="array" ref="K121">Common_InputFunctions.Utility_DisplayArrayInTable(Fertiliser_SourceData.Fertiliser_Products_Data2(), FertiliserProducts[[#Headers],[Company]],31)</f>
        <v>10</v>
      </c>
      <c r="L121" s="170" cm="1">
        <f t="array" ref="L121">Common_InputFunctions.Utility_DisplayArrayInTable(Fertiliser_SourceData.Fertiliser_Products_Data2(), FertiliserProducts[[#Headers],[Company]],31)</f>
        <v>17.5</v>
      </c>
      <c r="M121" s="170" t="str" cm="1">
        <f t="array" ref="M121">Common_InputFunctions.Utility_DisplayArrayInTable(Fertiliser_SourceData.Fertiliser_Products_Data2(), FertiliserProducts[[#Headers],[Company]],31)</f>
        <v/>
      </c>
      <c r="N121" s="170" cm="1">
        <f t="array" ref="N121">Common_InputFunctions.Utility_DisplayArrayInTable(Fertiliser_SourceData.Fertiliser_Products_Data2(), FertiliserProducts[[#Headers],[Company]],31)</f>
        <v>12</v>
      </c>
      <c r="O121" s="170" t="str" cm="1">
        <f t="array" ref="O121">Common_InputFunctions.Utility_DisplayArrayInTable(Fertiliser_SourceData.Fertiliser_Products_Data2(), FertiliserProducts[[#Headers],[Company]],31)</f>
        <v>Phosphorus - Generic</v>
      </c>
      <c r="P121" s="170" cm="1">
        <f t="array" ref="P121">Common_InputFunctions.Utility_DisplayArrayInTable(Fertiliser_SourceData.Fertiliser_Products_Data2(), FertiliserProducts[[#Headers],[Company]],31)</f>
        <v>0.17499999999999999</v>
      </c>
      <c r="Q121" s="170" t="str" cm="1">
        <f t="array" ref="Q121">Common_InputFunctions.Utility_DisplayArrayInTable(Fertiliser_SourceData.Fertiliser_Products_Data2(), FertiliserProducts[[#Headers],[Company]],31)</f>
        <v>Sulfur - Generic</v>
      </c>
      <c r="R121" s="170" cm="1">
        <f t="array" ref="R121">Common_InputFunctions.Utility_DisplayArrayInTable(Fertiliser_SourceData.Fertiliser_Products_Data2(), FertiliserProducts[[#Headers],[Company]],31)</f>
        <v>0.12</v>
      </c>
      <c r="S121" s="170" t="str" cm="1">
        <f t="array" ref="S121">Common_InputFunctions.Utility_DisplayArrayInTable(Fertiliser_SourceData.Fertiliser_Products_Data2(), FertiliserProducts[[#Headers],[Company]],31)</f>
        <v>Nitrogen - Ammoniacal</v>
      </c>
      <c r="T121" s="170" cm="1">
        <f t="array" ref="T121">Common_InputFunctions.Utility_DisplayArrayInTable(Fertiliser_SourceData.Fertiliser_Products_Data2(), FertiliserProducts[[#Headers],[Company]],31)</f>
        <v>0.1</v>
      </c>
      <c r="U121" s="170" t="str" cm="1">
        <f t="array" ref="U121">Common_InputFunctions.Utility_DisplayArrayInTable(Fertiliser_SourceData.Fertiliser_Products_Data2(), FertiliserProducts[[#Headers],[Company]],31)</f>
        <v>Fluoride</v>
      </c>
      <c r="V121" s="170" cm="1">
        <f t="array" ref="V121">Common_InputFunctions.Utility_DisplayArrayInTable(Fertiliser_SourceData.Fertiliser_Products_Data2(), FertiliserProducts[[#Headers],[Company]],31)</f>
        <v>0.03</v>
      </c>
      <c r="W121" s="170" t="str" cm="1">
        <f t="array" ref="W121">Common_InputFunctions.Utility_DisplayArrayInTable(Fertiliser_SourceData.Fertiliser_Products_Data2(), FertiliserProducts[[#Headers],[Company]],31)</f>
        <v/>
      </c>
      <c r="X121" s="170" t="str" cm="1">
        <f t="array" ref="X121">Common_InputFunctions.Utility_DisplayArrayInTable(Fertiliser_SourceData.Fertiliser_Products_Data2(), FertiliserProducts[[#Headers],[Company]],31)</f>
        <v/>
      </c>
      <c r="Y121" s="170" t="str" cm="1">
        <f t="array" ref="Y121">Common_InputFunctions.Utility_DisplayArrayInTable(Fertiliser_SourceData.Fertiliser_Products_Data2(), FertiliserProducts[[#Headers],[Company]],31)</f>
        <v/>
      </c>
      <c r="Z121" s="170" t="str" cm="1">
        <f t="array" ref="Z121">Common_InputFunctions.Utility_DisplayArrayInTable(Fertiliser_SourceData.Fertiliser_Products_Data2(), FertiliserProducts[[#Headers],[Company]],31)</f>
        <v/>
      </c>
      <c r="AA121" s="170" t="str" cm="1">
        <f t="array" ref="AA121">Common_InputFunctions.Utility_DisplayArrayInTable(Fertiliser_SourceData.Fertiliser_Products_Data2(), FertiliserProducts[[#Headers],[Company]],31)</f>
        <v/>
      </c>
      <c r="AB121" s="170" t="str" cm="1">
        <f t="array" ref="AB121">Common_InputFunctions.Utility_DisplayArrayInTable(Fertiliser_SourceData.Fertiliser_Products_Data2(), FertiliserProducts[[#Headers],[Company]],31)</f>
        <v/>
      </c>
      <c r="AC121" s="170" t="str" cm="1">
        <f t="array" ref="AC121">Common_InputFunctions.Utility_DisplayArrayInTable(Fertiliser_SourceData.Fertiliser_Products_Data2(), FertiliserProducts[[#Headers],[Company]],31)</f>
        <v/>
      </c>
      <c r="AD121" s="170" t="str" cm="1">
        <f t="array" ref="AD121">Common_InputFunctions.Utility_DisplayArrayInTable(Fertiliser_SourceData.Fertiliser_Products_Data2(), FertiliserProducts[[#Headers],[Company]],31)</f>
        <v/>
      </c>
      <c r="AE121" s="170" t="str" cm="1">
        <f t="array" ref="AE121">Common_InputFunctions.Utility_DisplayArrayInTable(Fertiliser_SourceData.Fertiliser_Products_Data2(), FertiliserProducts[[#Headers],[Company]],31)</f>
        <v/>
      </c>
      <c r="AF121" s="170" t="str" cm="1">
        <f t="array" ref="AF121">Common_InputFunctions.Utility_DisplayArrayInTable(Fertiliser_SourceData.Fertiliser_Products_Data2(), FertiliserProducts[[#Headers],[Company]],31)</f>
        <v/>
      </c>
      <c r="AG121" s="170" t="str" cm="1">
        <f t="array" ref="AG121">Common_InputFunctions.Utility_DisplayArrayInTable(Fertiliser_SourceData.Fertiliser_Products_Data2(), FertiliserProducts[[#Headers],[Company]],31)</f>
        <v/>
      </c>
      <c r="AH121" s="170" t="str" cm="1">
        <f t="array" ref="AH121">Common_InputFunctions.Utility_DisplayArrayInTable(Fertiliser_SourceData.Fertiliser_Products_Data2(), FertiliserProducts[[#Headers],[Company]],31)</f>
        <v/>
      </c>
      <c r="AK121" s="1"/>
      <c r="AL121" s="1"/>
      <c r="AM121" s="1"/>
    </row>
    <row r="122" spans="1:39" ht="20.100000000000001" customHeight="1" x14ac:dyDescent="0.2">
      <c r="D122" s="170" t="str" cm="1">
        <f t="array" ref="D122">Common_InputFunctions.Utility_DisplayArrayInTable(Fertiliser_SourceData.Fertiliser_Products_Data2(), FertiliserProducts[[#Headers],[Company]],31)</f>
        <v>Incitec Pivot Fertilisers</v>
      </c>
      <c r="E122" s="170" t="str" cm="1">
        <f t="array" ref="E122">Common_InputFunctions.Utility_DisplayArrayInTable(Fertiliser_SourceData.Fertiliser_Products_Data2(), FertiliserProducts[[#Headers],[Company]],31)</f>
        <v>Granulock Z</v>
      </c>
      <c r="F122" s="170" t="str" cm="1">
        <f t="array" ref="F122">Common_InputFunctions.Utility_DisplayArrayInTable(Fertiliser_SourceData.Fertiliser_Products_Data2(), FertiliserProducts[[#Headers],[Company]],31)</f>
        <v>kg</v>
      </c>
      <c r="G122" s="170" cm="1">
        <f t="array" ref="G122">Common_InputFunctions.Utility_DisplayArrayInTable(Fertiliser_SourceData.Fertiliser_Products_Data2(), FertiliserProducts[[#Headers],[Company]],31)</f>
        <v>1</v>
      </c>
      <c r="H122" s="170" t="str" cm="1">
        <f t="array" ref="H122">Common_InputFunctions.Utility_DisplayArrayInTable(Fertiliser_SourceData.Fertiliser_Products_Data2(), FertiliserProducts[[#Headers],[Company]],31)</f>
        <v/>
      </c>
      <c r="I122" s="170" t="str" cm="1">
        <f t="array" ref="I122">Common_InputFunctions.Utility_DisplayArrayInTable(Fertiliser_SourceData.Fertiliser_Products_Data2(), FertiliserProducts[[#Headers],[Company]],31)</f>
        <v/>
      </c>
      <c r="J122" s="170" t="str" cm="1">
        <f t="array" ref="J122">Common_InputFunctions.Utility_DisplayArrayInTable(Fertiliser_SourceData.Fertiliser_Products_Data2(), FertiliserProducts[[#Headers],[Company]],31)</f>
        <v/>
      </c>
      <c r="K122" s="170" cm="1">
        <f t="array" ref="K122">Common_InputFunctions.Utility_DisplayArrayInTable(Fertiliser_SourceData.Fertiliser_Products_Data2(), FertiliserProducts[[#Headers],[Company]],31)</f>
        <v>11</v>
      </c>
      <c r="L122" s="170" cm="1">
        <f t="array" ref="L122">Common_InputFunctions.Utility_DisplayArrayInTable(Fertiliser_SourceData.Fertiliser_Products_Data2(), FertiliserProducts[[#Headers],[Company]],31)</f>
        <v>21.8</v>
      </c>
      <c r="M122" s="170" t="str" cm="1">
        <f t="array" ref="M122">Common_InputFunctions.Utility_DisplayArrayInTable(Fertiliser_SourceData.Fertiliser_Products_Data2(), FertiliserProducts[[#Headers],[Company]],31)</f>
        <v/>
      </c>
      <c r="N122" s="170" cm="1">
        <f t="array" ref="N122">Common_InputFunctions.Utility_DisplayArrayInTable(Fertiliser_SourceData.Fertiliser_Products_Data2(), FertiliserProducts[[#Headers],[Company]],31)</f>
        <v>4</v>
      </c>
      <c r="O122" s="170" t="str" cm="1">
        <f t="array" ref="O122">Common_InputFunctions.Utility_DisplayArrayInTable(Fertiliser_SourceData.Fertiliser_Products_Data2(), FertiliserProducts[[#Headers],[Company]],31)</f>
        <v>Phosphorus - Generic</v>
      </c>
      <c r="P122" s="170" cm="1">
        <f t="array" ref="P122">Common_InputFunctions.Utility_DisplayArrayInTable(Fertiliser_SourceData.Fertiliser_Products_Data2(), FertiliserProducts[[#Headers],[Company]],31)</f>
        <v>0.218</v>
      </c>
      <c r="Q122" s="170" t="str" cm="1">
        <f t="array" ref="Q122">Common_InputFunctions.Utility_DisplayArrayInTable(Fertiliser_SourceData.Fertiliser_Products_Data2(), FertiliserProducts[[#Headers],[Company]],31)</f>
        <v>Nitrogen - Generic</v>
      </c>
      <c r="R122" s="170" cm="1">
        <f t="array" ref="R122">Common_InputFunctions.Utility_DisplayArrayInTable(Fertiliser_SourceData.Fertiliser_Products_Data2(), FertiliserProducts[[#Headers],[Company]],31)</f>
        <v>0.11</v>
      </c>
      <c r="S122" s="170" t="str" cm="1">
        <f t="array" ref="S122">Common_InputFunctions.Utility_DisplayArrayInTable(Fertiliser_SourceData.Fertiliser_Products_Data2(), FertiliserProducts[[#Headers],[Company]],31)</f>
        <v>Sulfur - Generic</v>
      </c>
      <c r="T122" s="170" cm="1">
        <f t="array" ref="T122">Common_InputFunctions.Utility_DisplayArrayInTable(Fertiliser_SourceData.Fertiliser_Products_Data2(), FertiliserProducts[[#Headers],[Company]],31)</f>
        <v>0.04</v>
      </c>
      <c r="U122" s="170" t="str" cm="1">
        <f t="array" ref="U122">Common_InputFunctions.Utility_DisplayArrayInTable(Fertiliser_SourceData.Fertiliser_Products_Data2(), FertiliserProducts[[#Headers],[Company]],31)</f>
        <v>Fluoride</v>
      </c>
      <c r="V122" s="170" cm="1">
        <f t="array" ref="V122">Common_InputFunctions.Utility_DisplayArrayInTable(Fertiliser_SourceData.Fertiliser_Products_Data2(), FertiliserProducts[[#Headers],[Company]],31)</f>
        <v>0.03</v>
      </c>
      <c r="W122" s="170" t="str" cm="1">
        <f t="array" ref="W122">Common_InputFunctions.Utility_DisplayArrayInTable(Fertiliser_SourceData.Fertiliser_Products_Data2(), FertiliserProducts[[#Headers],[Company]],31)</f>
        <v>Zinc</v>
      </c>
      <c r="X122" s="170" cm="1">
        <f t="array" ref="X122">Common_InputFunctions.Utility_DisplayArrayInTable(Fertiliser_SourceData.Fertiliser_Products_Data2(), FertiliserProducts[[#Headers],[Company]],31)</f>
        <v>0.01</v>
      </c>
      <c r="Y122" s="170" t="str" cm="1">
        <f t="array" ref="Y122">Common_InputFunctions.Utility_DisplayArrayInTable(Fertiliser_SourceData.Fertiliser_Products_Data2(), FertiliserProducts[[#Headers],[Company]],31)</f>
        <v/>
      </c>
      <c r="Z122" s="170" t="str" cm="1">
        <f t="array" ref="Z122">Common_InputFunctions.Utility_DisplayArrayInTable(Fertiliser_SourceData.Fertiliser_Products_Data2(), FertiliserProducts[[#Headers],[Company]],31)</f>
        <v/>
      </c>
      <c r="AA122" s="170" t="str" cm="1">
        <f t="array" ref="AA122">Common_InputFunctions.Utility_DisplayArrayInTable(Fertiliser_SourceData.Fertiliser_Products_Data2(), FertiliserProducts[[#Headers],[Company]],31)</f>
        <v/>
      </c>
      <c r="AB122" s="170" t="str" cm="1">
        <f t="array" ref="AB122">Common_InputFunctions.Utility_DisplayArrayInTable(Fertiliser_SourceData.Fertiliser_Products_Data2(), FertiliserProducts[[#Headers],[Company]],31)</f>
        <v/>
      </c>
      <c r="AC122" s="170" t="str" cm="1">
        <f t="array" ref="AC122">Common_InputFunctions.Utility_DisplayArrayInTable(Fertiliser_SourceData.Fertiliser_Products_Data2(), FertiliserProducts[[#Headers],[Company]],31)</f>
        <v/>
      </c>
      <c r="AD122" s="170" t="str" cm="1">
        <f t="array" ref="AD122">Common_InputFunctions.Utility_DisplayArrayInTable(Fertiliser_SourceData.Fertiliser_Products_Data2(), FertiliserProducts[[#Headers],[Company]],31)</f>
        <v/>
      </c>
      <c r="AE122" s="170" t="str" cm="1">
        <f t="array" ref="AE122">Common_InputFunctions.Utility_DisplayArrayInTable(Fertiliser_SourceData.Fertiliser_Products_Data2(), FertiliserProducts[[#Headers],[Company]],31)</f>
        <v/>
      </c>
      <c r="AF122" s="170" t="str" cm="1">
        <f t="array" ref="AF122">Common_InputFunctions.Utility_DisplayArrayInTable(Fertiliser_SourceData.Fertiliser_Products_Data2(), FertiliserProducts[[#Headers],[Company]],31)</f>
        <v/>
      </c>
      <c r="AG122" s="170" t="str" cm="1">
        <f t="array" ref="AG122">Common_InputFunctions.Utility_DisplayArrayInTable(Fertiliser_SourceData.Fertiliser_Products_Data2(), FertiliserProducts[[#Headers],[Company]],31)</f>
        <v/>
      </c>
      <c r="AH122" s="170" t="str" cm="1">
        <f t="array" ref="AH122">Common_InputFunctions.Utility_DisplayArrayInTable(Fertiliser_SourceData.Fertiliser_Products_Data2(), FertiliserProducts[[#Headers],[Company]],31)</f>
        <v/>
      </c>
      <c r="AK122" s="1"/>
      <c r="AL122" s="1"/>
      <c r="AM122" s="1"/>
    </row>
    <row r="123" spans="1:39" ht="20.100000000000001" customHeight="1" x14ac:dyDescent="0.2">
      <c r="D123" s="170" t="str" cm="1">
        <f t="array" ref="D123">Common_InputFunctions.Utility_DisplayArrayInTable(Fertiliser_SourceData.Fertiliser_Products_Data2(), FertiliserProducts[[#Headers],[Company]],31)</f>
        <v>Incitec Pivot Fertilisers</v>
      </c>
      <c r="E123" s="170" t="str" cm="1">
        <f t="array" ref="E123">Common_InputFunctions.Utility_DisplayArrayInTable(Fertiliser_SourceData.Fertiliser_Products_Data2(), FertiliserProducts[[#Headers],[Company]],31)</f>
        <v>Farm Ag Leichhardt</v>
      </c>
      <c r="F123" s="170" t="str" cm="1">
        <f t="array" ref="F123">Common_InputFunctions.Utility_DisplayArrayInTable(Fertiliser_SourceData.Fertiliser_Products_Data2(), FertiliserProducts[[#Headers],[Company]],31)</f>
        <v>kg</v>
      </c>
      <c r="G123" s="170" cm="1">
        <f t="array" ref="G123">Common_InputFunctions.Utility_DisplayArrayInTable(Fertiliser_SourceData.Fertiliser_Products_Data2(), FertiliserProducts[[#Headers],[Company]],31)</f>
        <v>1</v>
      </c>
      <c r="H123" s="170" t="str" cm="1">
        <f t="array" ref="H123">Common_InputFunctions.Utility_DisplayArrayInTable(Fertiliser_SourceData.Fertiliser_Products_Data2(), FertiliserProducts[[#Headers],[Company]],31)</f>
        <v/>
      </c>
      <c r="I123" s="170" t="str" cm="1">
        <f t="array" ref="I123">Common_InputFunctions.Utility_DisplayArrayInTable(Fertiliser_SourceData.Fertiliser_Products_Data2(), FertiliserProducts[[#Headers],[Company]],31)</f>
        <v/>
      </c>
      <c r="J123" s="170" t="str" cm="1">
        <f t="array" ref="J123">Common_InputFunctions.Utility_DisplayArrayInTable(Fertiliser_SourceData.Fertiliser_Products_Data2(), FertiliserProducts[[#Headers],[Company]],31)</f>
        <v/>
      </c>
      <c r="K123" s="170" cm="1">
        <f t="array" ref="K123">Common_InputFunctions.Utility_DisplayArrayInTable(Fertiliser_SourceData.Fertiliser_Products_Data2(), FertiliserProducts[[#Headers],[Company]],31)</f>
        <v>32.5</v>
      </c>
      <c r="L123" s="170" cm="1">
        <f t="array" ref="L123">Common_InputFunctions.Utility_DisplayArrayInTable(Fertiliser_SourceData.Fertiliser_Products_Data2(), FertiliserProducts[[#Headers],[Company]],31)</f>
        <v>5.4</v>
      </c>
      <c r="M123" s="170" cm="1">
        <f t="array" ref="M123">Common_InputFunctions.Utility_DisplayArrayInTable(Fertiliser_SourceData.Fertiliser_Products_Data2(), FertiliserProducts[[#Headers],[Company]],31)</f>
        <v>6.25</v>
      </c>
      <c r="N123" s="170" t="str" cm="1">
        <f t="array" ref="N123">Common_InputFunctions.Utility_DisplayArrayInTable(Fertiliser_SourceData.Fertiliser_Products_Data2(), FertiliserProducts[[#Headers],[Company]],31)</f>
        <v/>
      </c>
      <c r="O123" s="170" t="str" cm="1">
        <f t="array" ref="O123">Common_InputFunctions.Utility_DisplayArrayInTable(Fertiliser_SourceData.Fertiliser_Products_Data2(), FertiliserProducts[[#Headers],[Company]],31)</f>
        <v>Urea</v>
      </c>
      <c r="P123" s="170" cm="1">
        <f t="array" ref="P123">Common_InputFunctions.Utility_DisplayArrayInTable(Fertiliser_SourceData.Fertiliser_Products_Data2(), FertiliserProducts[[#Headers],[Company]],31)</f>
        <v>0.6</v>
      </c>
      <c r="Q123" s="170" t="str" cm="1">
        <f t="array" ref="Q123">Common_InputFunctions.Utility_DisplayArrayInTable(Fertiliser_SourceData.Fertiliser_Products_Data2(), FertiliserProducts[[#Headers],[Company]],31)</f>
        <v>Nitrogen - Ammoniacal</v>
      </c>
      <c r="R123" s="170" cm="1">
        <f t="array" ref="R123">Common_InputFunctions.Utility_DisplayArrayInTable(Fertiliser_SourceData.Fertiliser_Products_Data2(), FertiliserProducts[[#Headers],[Company]],31)</f>
        <v>4.9000000000000002E-2</v>
      </c>
      <c r="S123" s="170" t="str" cm="1">
        <f t="array" ref="S123">Common_InputFunctions.Utility_DisplayArrayInTable(Fertiliser_SourceData.Fertiliser_Products_Data2(), FertiliserProducts[[#Headers],[Company]],31)</f>
        <v>Phosphorus - Generic</v>
      </c>
      <c r="T123" s="170" cm="1">
        <f t="array" ref="T123">Common_InputFunctions.Utility_DisplayArrayInTable(Fertiliser_SourceData.Fertiliser_Products_Data2(), FertiliserProducts[[#Headers],[Company]],31)</f>
        <v>5.3999999999999999E-2</v>
      </c>
      <c r="U123" s="170" t="str" cm="1">
        <f t="array" ref="U123">Common_InputFunctions.Utility_DisplayArrayInTable(Fertiliser_SourceData.Fertiliser_Products_Data2(), FertiliserProducts[[#Headers],[Company]],31)</f>
        <v>Muriate of potash (MOP)</v>
      </c>
      <c r="V123" s="170" cm="1">
        <f t="array" ref="V123">Common_InputFunctions.Utility_DisplayArrayInTable(Fertiliser_SourceData.Fertiliser_Products_Data2(), FertiliserProducts[[#Headers],[Company]],31)</f>
        <v>0.125</v>
      </c>
      <c r="W123" s="170" t="str" cm="1">
        <f t="array" ref="W123">Common_InputFunctions.Utility_DisplayArrayInTable(Fertiliser_SourceData.Fertiliser_Products_Data2(), FertiliserProducts[[#Headers],[Company]],31)</f>
        <v/>
      </c>
      <c r="X123" s="170" t="str" cm="1">
        <f t="array" ref="X123">Common_InputFunctions.Utility_DisplayArrayInTable(Fertiliser_SourceData.Fertiliser_Products_Data2(), FertiliserProducts[[#Headers],[Company]],31)</f>
        <v/>
      </c>
      <c r="Y123" s="170" t="str" cm="1">
        <f t="array" ref="Y123">Common_InputFunctions.Utility_DisplayArrayInTable(Fertiliser_SourceData.Fertiliser_Products_Data2(), FertiliserProducts[[#Headers],[Company]],31)</f>
        <v/>
      </c>
      <c r="Z123" s="170" t="str" cm="1">
        <f t="array" ref="Z123">Common_InputFunctions.Utility_DisplayArrayInTable(Fertiliser_SourceData.Fertiliser_Products_Data2(), FertiliserProducts[[#Headers],[Company]],31)</f>
        <v/>
      </c>
      <c r="AA123" s="170" t="str" cm="1">
        <f t="array" ref="AA123">Common_InputFunctions.Utility_DisplayArrayInTable(Fertiliser_SourceData.Fertiliser_Products_Data2(), FertiliserProducts[[#Headers],[Company]],31)</f>
        <v/>
      </c>
      <c r="AB123" s="170" t="str" cm="1">
        <f t="array" ref="AB123">Common_InputFunctions.Utility_DisplayArrayInTable(Fertiliser_SourceData.Fertiliser_Products_Data2(), FertiliserProducts[[#Headers],[Company]],31)</f>
        <v/>
      </c>
      <c r="AC123" s="170" t="str" cm="1">
        <f t="array" ref="AC123">Common_InputFunctions.Utility_DisplayArrayInTable(Fertiliser_SourceData.Fertiliser_Products_Data2(), FertiliserProducts[[#Headers],[Company]],31)</f>
        <v/>
      </c>
      <c r="AD123" s="170" t="str" cm="1">
        <f t="array" ref="AD123">Common_InputFunctions.Utility_DisplayArrayInTable(Fertiliser_SourceData.Fertiliser_Products_Data2(), FertiliserProducts[[#Headers],[Company]],31)</f>
        <v/>
      </c>
      <c r="AE123" s="170" t="str" cm="1">
        <f t="array" ref="AE123">Common_InputFunctions.Utility_DisplayArrayInTable(Fertiliser_SourceData.Fertiliser_Products_Data2(), FertiliserProducts[[#Headers],[Company]],31)</f>
        <v/>
      </c>
      <c r="AF123" s="170" t="str" cm="1">
        <f t="array" ref="AF123">Common_InputFunctions.Utility_DisplayArrayInTable(Fertiliser_SourceData.Fertiliser_Products_Data2(), FertiliserProducts[[#Headers],[Company]],31)</f>
        <v/>
      </c>
      <c r="AG123" s="170" t="str" cm="1">
        <f t="array" ref="AG123">Common_InputFunctions.Utility_DisplayArrayInTable(Fertiliser_SourceData.Fertiliser_Products_Data2(), FertiliserProducts[[#Headers],[Company]],31)</f>
        <v/>
      </c>
      <c r="AH123" s="170" t="str" cm="1">
        <f t="array" ref="AH123">Common_InputFunctions.Utility_DisplayArrayInTable(Fertiliser_SourceData.Fertiliser_Products_Data2(), FertiliserProducts[[#Headers],[Company]],31)</f>
        <v/>
      </c>
      <c r="AK123" s="1"/>
      <c r="AL123" s="1"/>
      <c r="AM123" s="1"/>
    </row>
    <row r="124" spans="1:39" ht="20.100000000000001" customHeight="1" x14ac:dyDescent="0.2">
      <c r="D124" s="170" t="str" cm="1">
        <f t="array" ref="D124">Common_InputFunctions.Utility_DisplayArrayInTable(Fertiliser_SourceData.Fertiliser_Products_Data2(), FertiliserProducts[[#Headers],[Company]],31)</f>
        <v>Ravensdown</v>
      </c>
      <c r="E124" s="170" t="str" cm="1">
        <f t="array" ref="E124">Common_InputFunctions.Utility_DisplayArrayInTable(Fertiliser_SourceData.Fertiliser_Products_Data2(), FertiliserProducts[[#Headers],[Company]],31)</f>
        <v>Flexi-N NBPT</v>
      </c>
      <c r="F124" s="170" t="str" cm="1">
        <f t="array" ref="F124">Common_InputFunctions.Utility_DisplayArrayInTable(Fertiliser_SourceData.Fertiliser_Products_Data2(), FertiliserProducts[[#Headers],[Company]],31)</f>
        <v>kg</v>
      </c>
      <c r="G124" s="170" cm="1">
        <f t="array" ref="G124">Common_InputFunctions.Utility_DisplayArrayInTable(Fertiliser_SourceData.Fertiliser_Products_Data2(), FertiliserProducts[[#Headers],[Company]],31)</f>
        <v>1</v>
      </c>
      <c r="H124" s="170" t="str" cm="1">
        <f t="array" ref="H124">Common_InputFunctions.Utility_DisplayArrayInTable(Fertiliser_SourceData.Fertiliser_Products_Data2(), FertiliserProducts[[#Headers],[Company]],31)</f>
        <v>Yes</v>
      </c>
      <c r="I124" s="170" t="str" cm="1">
        <f t="array" ref="I124">Common_InputFunctions.Utility_DisplayArrayInTable(Fertiliser_SourceData.Fertiliser_Products_Data2(), FertiliserProducts[[#Headers],[Company]],31)</f>
        <v/>
      </c>
      <c r="J124" s="170" t="str" cm="1">
        <f t="array" ref="J124">Common_InputFunctions.Utility_DisplayArrayInTable(Fertiliser_SourceData.Fertiliser_Products_Data2(), FertiliserProducts[[#Headers],[Company]],31)</f>
        <v/>
      </c>
      <c r="K124" s="170" cm="1">
        <f t="array" ref="K124">Common_InputFunctions.Utility_DisplayArrayInTable(Fertiliser_SourceData.Fertiliser_Products_Data2(), FertiliserProducts[[#Headers],[Company]],31)</f>
        <v>45.54</v>
      </c>
      <c r="L124" s="170" t="str" cm="1">
        <f t="array" ref="L124">Common_InputFunctions.Utility_DisplayArrayInTable(Fertiliser_SourceData.Fertiliser_Products_Data2(), FertiliserProducts[[#Headers],[Company]],31)</f>
        <v/>
      </c>
      <c r="M124" s="170" t="str" cm="1">
        <f t="array" ref="M124">Common_InputFunctions.Utility_DisplayArrayInTable(Fertiliser_SourceData.Fertiliser_Products_Data2(), FertiliserProducts[[#Headers],[Company]],31)</f>
        <v/>
      </c>
      <c r="N124" s="170" t="str" cm="1">
        <f t="array" ref="N124">Common_InputFunctions.Utility_DisplayArrayInTable(Fertiliser_SourceData.Fertiliser_Products_Data2(), FertiliserProducts[[#Headers],[Company]],31)</f>
        <v/>
      </c>
      <c r="O124" s="170" t="str" cm="1">
        <f t="array" ref="O124">Common_InputFunctions.Utility_DisplayArrayInTable(Fertiliser_SourceData.Fertiliser_Products_Data2(), FertiliserProducts[[#Headers],[Company]],31)</f>
        <v>Urea</v>
      </c>
      <c r="P124" s="170" cm="1">
        <f t="array" ref="P124">Common_InputFunctions.Utility_DisplayArrayInTable(Fertiliser_SourceData.Fertiliser_Products_Data2(), FertiliserProducts[[#Headers],[Company]],31)</f>
        <v>0.99</v>
      </c>
      <c r="Q124" s="170" t="str" cm="1">
        <f t="array" ref="Q124">Common_InputFunctions.Utility_DisplayArrayInTable(Fertiliser_SourceData.Fertiliser_Products_Data2(), FertiliserProducts[[#Headers],[Company]],31)</f>
        <v/>
      </c>
      <c r="R124" s="170" t="str" cm="1">
        <f t="array" ref="R124">Common_InputFunctions.Utility_DisplayArrayInTable(Fertiliser_SourceData.Fertiliser_Products_Data2(), FertiliserProducts[[#Headers],[Company]],31)</f>
        <v/>
      </c>
      <c r="S124" s="170" t="str" cm="1">
        <f t="array" ref="S124">Common_InputFunctions.Utility_DisplayArrayInTable(Fertiliser_SourceData.Fertiliser_Products_Data2(), FertiliserProducts[[#Headers],[Company]],31)</f>
        <v/>
      </c>
      <c r="T124" s="170" t="str" cm="1">
        <f t="array" ref="T124">Common_InputFunctions.Utility_DisplayArrayInTable(Fertiliser_SourceData.Fertiliser_Products_Data2(), FertiliserProducts[[#Headers],[Company]],31)</f>
        <v/>
      </c>
      <c r="U124" s="170" t="str" cm="1">
        <f t="array" ref="U124">Common_InputFunctions.Utility_DisplayArrayInTable(Fertiliser_SourceData.Fertiliser_Products_Data2(), FertiliserProducts[[#Headers],[Company]],31)</f>
        <v/>
      </c>
      <c r="V124" s="170" t="str" cm="1">
        <f t="array" ref="V124">Common_InputFunctions.Utility_DisplayArrayInTable(Fertiliser_SourceData.Fertiliser_Products_Data2(), FertiliserProducts[[#Headers],[Company]],31)</f>
        <v/>
      </c>
      <c r="W124" s="170" t="str" cm="1">
        <f t="array" ref="W124">Common_InputFunctions.Utility_DisplayArrayInTable(Fertiliser_SourceData.Fertiliser_Products_Data2(), FertiliserProducts[[#Headers],[Company]],31)</f>
        <v/>
      </c>
      <c r="X124" s="170" t="str" cm="1">
        <f t="array" ref="X124">Common_InputFunctions.Utility_DisplayArrayInTable(Fertiliser_SourceData.Fertiliser_Products_Data2(), FertiliserProducts[[#Headers],[Company]],31)</f>
        <v/>
      </c>
      <c r="Y124" s="170" t="str" cm="1">
        <f t="array" ref="Y124">Common_InputFunctions.Utility_DisplayArrayInTable(Fertiliser_SourceData.Fertiliser_Products_Data2(), FertiliserProducts[[#Headers],[Company]],31)</f>
        <v/>
      </c>
      <c r="Z124" s="170" t="str" cm="1">
        <f t="array" ref="Z124">Common_InputFunctions.Utility_DisplayArrayInTable(Fertiliser_SourceData.Fertiliser_Products_Data2(), FertiliserProducts[[#Headers],[Company]],31)</f>
        <v/>
      </c>
      <c r="AA124" s="170" t="str" cm="1">
        <f t="array" ref="AA124">Common_InputFunctions.Utility_DisplayArrayInTable(Fertiliser_SourceData.Fertiliser_Products_Data2(), FertiliserProducts[[#Headers],[Company]],31)</f>
        <v/>
      </c>
      <c r="AB124" s="170" t="str" cm="1">
        <f t="array" ref="AB124">Common_InputFunctions.Utility_DisplayArrayInTable(Fertiliser_SourceData.Fertiliser_Products_Data2(), FertiliserProducts[[#Headers],[Company]],31)</f>
        <v/>
      </c>
      <c r="AC124" s="170" t="str" cm="1">
        <f t="array" ref="AC124">Common_InputFunctions.Utility_DisplayArrayInTable(Fertiliser_SourceData.Fertiliser_Products_Data2(), FertiliserProducts[[#Headers],[Company]],31)</f>
        <v/>
      </c>
      <c r="AD124" s="170" t="str" cm="1">
        <f t="array" ref="AD124">Common_InputFunctions.Utility_DisplayArrayInTable(Fertiliser_SourceData.Fertiliser_Products_Data2(), FertiliserProducts[[#Headers],[Company]],31)</f>
        <v/>
      </c>
      <c r="AE124" s="170" t="str" cm="1">
        <f t="array" ref="AE124">Common_InputFunctions.Utility_DisplayArrayInTable(Fertiliser_SourceData.Fertiliser_Products_Data2(), FertiliserProducts[[#Headers],[Company]],31)</f>
        <v/>
      </c>
      <c r="AF124" s="170" t="str" cm="1">
        <f t="array" ref="AF124">Common_InputFunctions.Utility_DisplayArrayInTable(Fertiliser_SourceData.Fertiliser_Products_Data2(), FertiliserProducts[[#Headers],[Company]],31)</f>
        <v/>
      </c>
      <c r="AG124" s="170" t="str" cm="1">
        <f t="array" ref="AG124">Common_InputFunctions.Utility_DisplayArrayInTable(Fertiliser_SourceData.Fertiliser_Products_Data2(), FertiliserProducts[[#Headers],[Company]],31)</f>
        <v/>
      </c>
      <c r="AH124" s="170" t="str" cm="1">
        <f t="array" ref="AH124">Common_InputFunctions.Utility_DisplayArrayInTable(Fertiliser_SourceData.Fertiliser_Products_Data2(), FertiliserProducts[[#Headers],[Company]],31)</f>
        <v/>
      </c>
      <c r="AK124" s="1"/>
      <c r="AL124" s="1"/>
      <c r="AM124" s="1"/>
    </row>
    <row r="125" spans="1:39" ht="20.100000000000001" customHeight="1" x14ac:dyDescent="0.2">
      <c r="D125" s="170" t="str" cm="1">
        <f t="array" ref="D125">Common_InputFunctions.Utility_DisplayArrayInTable(Fertiliser_SourceData.Fertiliser_Products_Data2(), FertiliserProducts[[#Headers],[Company]],31)</f>
        <v>Campbells fertilisers Australia</v>
      </c>
      <c r="E125" s="170" t="str" cm="1">
        <f t="array" ref="E125">Common_InputFunctions.Utility_DisplayArrayInTable(Fertiliser_SourceData.Fertiliser_Products_Data2(), FertiliserProducts[[#Headers],[Company]],31)</f>
        <v>Gold Premium</v>
      </c>
      <c r="F125" s="170" t="str" cm="1">
        <f t="array" ref="F125">Common_InputFunctions.Utility_DisplayArrayInTable(Fertiliser_SourceData.Fertiliser_Products_Data2(), FertiliserProducts[[#Headers],[Company]],31)</f>
        <v>kg</v>
      </c>
      <c r="G125" s="170" cm="1">
        <f t="array" ref="G125">Common_InputFunctions.Utility_DisplayArrayInTable(Fertiliser_SourceData.Fertiliser_Products_Data2(), FertiliserProducts[[#Headers],[Company]],31)</f>
        <v>1</v>
      </c>
      <c r="H125" s="170" t="str" cm="1">
        <f t="array" ref="H125">Common_InputFunctions.Utility_DisplayArrayInTable(Fertiliser_SourceData.Fertiliser_Products_Data2(), FertiliserProducts[[#Headers],[Company]],31)</f>
        <v/>
      </c>
      <c r="I125" s="170" t="str" cm="1">
        <f t="array" ref="I125">Common_InputFunctions.Utility_DisplayArrayInTable(Fertiliser_SourceData.Fertiliser_Products_Data2(), FertiliserProducts[[#Headers],[Company]],31)</f>
        <v/>
      </c>
      <c r="J125" s="170" t="str" cm="1">
        <f t="array" ref="J125">Common_InputFunctions.Utility_DisplayArrayInTable(Fertiliser_SourceData.Fertiliser_Products_Data2(), FertiliserProducts[[#Headers],[Company]],31)</f>
        <v/>
      </c>
      <c r="K125" s="170" cm="1">
        <f t="array" ref="K125">Common_InputFunctions.Utility_DisplayArrayInTable(Fertiliser_SourceData.Fertiliser_Products_Data2(), FertiliserProducts[[#Headers],[Company]],31)</f>
        <v>14.87</v>
      </c>
      <c r="L125" s="170" cm="1">
        <f t="array" ref="L125">Common_InputFunctions.Utility_DisplayArrayInTable(Fertiliser_SourceData.Fertiliser_Products_Data2(), FertiliserProducts[[#Headers],[Company]],31)</f>
        <v>2.2000000000000002</v>
      </c>
      <c r="M125" s="170" cm="1">
        <f t="array" ref="M125">Common_InputFunctions.Utility_DisplayArrayInTable(Fertiliser_SourceData.Fertiliser_Products_Data2(), FertiliserProducts[[#Headers],[Company]],31)</f>
        <v>16.600000000000001</v>
      </c>
      <c r="N125" s="170" cm="1">
        <f t="array" ref="N125">Common_InputFunctions.Utility_DisplayArrayInTable(Fertiliser_SourceData.Fertiliser_Products_Data2(), FertiliserProducts[[#Headers],[Company]],31)</f>
        <v>8</v>
      </c>
      <c r="O125" s="170" t="str" cm="1">
        <f t="array" ref="O125">Common_InputFunctions.Utility_DisplayArrayInTable(Fertiliser_SourceData.Fertiliser_Products_Data2(), FertiliserProducts[[#Headers],[Company]],31)</f>
        <v>Ammonium nitrate (AN)</v>
      </c>
      <c r="P125" s="170" cm="1">
        <f t="array" ref="P125">Common_InputFunctions.Utility_DisplayArrayInTable(Fertiliser_SourceData.Fertiliser_Products_Data2(), FertiliserProducts[[#Headers],[Company]],31)</f>
        <v>0.44117600000000001</v>
      </c>
      <c r="Q125" s="170" t="str" cm="1">
        <f t="array" ref="Q125">Common_InputFunctions.Utility_DisplayArrayInTable(Fertiliser_SourceData.Fertiliser_Products_Data2(), FertiliserProducts[[#Headers],[Company]],31)</f>
        <v>Potassium - Generic</v>
      </c>
      <c r="R125" s="170" cm="1">
        <f t="array" ref="R125">Common_InputFunctions.Utility_DisplayArrayInTable(Fertiliser_SourceData.Fertiliser_Products_Data2(), FertiliserProducts[[#Headers],[Company]],31)</f>
        <v>0.16600000000000001</v>
      </c>
      <c r="S125" s="170" t="str" cm="1">
        <f t="array" ref="S125">Common_InputFunctions.Utility_DisplayArrayInTable(Fertiliser_SourceData.Fertiliser_Products_Data2(), FertiliserProducts[[#Headers],[Company]],31)</f>
        <v>Sulfur - Generic</v>
      </c>
      <c r="T125" s="170" cm="1">
        <f t="array" ref="T125">Common_InputFunctions.Utility_DisplayArrayInTable(Fertiliser_SourceData.Fertiliser_Products_Data2(), FertiliserProducts[[#Headers],[Company]],31)</f>
        <v>0.08</v>
      </c>
      <c r="U125" s="170" t="str" cm="1">
        <f t="array" ref="U125">Common_InputFunctions.Utility_DisplayArrayInTable(Fertiliser_SourceData.Fertiliser_Products_Data2(), FertiliserProducts[[#Headers],[Company]],31)</f>
        <v>Phosphorus - Generic</v>
      </c>
      <c r="V125" s="170" cm="1">
        <f t="array" ref="V125">Common_InputFunctions.Utility_DisplayArrayInTable(Fertiliser_SourceData.Fertiliser_Products_Data2(), FertiliserProducts[[#Headers],[Company]],31)</f>
        <v>2.1999999999999999E-2</v>
      </c>
      <c r="W125" s="170" t="str" cm="1">
        <f t="array" ref="W125">Common_InputFunctions.Utility_DisplayArrayInTable(Fertiliser_SourceData.Fertiliser_Products_Data2(), FertiliserProducts[[#Headers],[Company]],31)</f>
        <v>Magnesium</v>
      </c>
      <c r="X125" s="170" cm="1">
        <f t="array" ref="X125">Common_InputFunctions.Utility_DisplayArrayInTable(Fertiliser_SourceData.Fertiliser_Products_Data2(), FertiliserProducts[[#Headers],[Company]],31)</f>
        <v>1.2E-2</v>
      </c>
      <c r="Y125" s="170" t="str" cm="1">
        <f t="array" ref="Y125">Common_InputFunctions.Utility_DisplayArrayInTable(Fertiliser_SourceData.Fertiliser_Products_Data2(), FertiliserProducts[[#Headers],[Company]],31)</f>
        <v>Boron</v>
      </c>
      <c r="Z125" s="170" cm="1">
        <f t="array" ref="Z125">Common_InputFunctions.Utility_DisplayArrayInTable(Fertiliser_SourceData.Fertiliser_Products_Data2(), FertiliserProducts[[#Headers],[Company]],31)</f>
        <v>2.0000000000000001E-4</v>
      </c>
      <c r="AA125" s="170" t="str" cm="1">
        <f t="array" ref="AA125">Common_InputFunctions.Utility_DisplayArrayInTable(Fertiliser_SourceData.Fertiliser_Products_Data2(), FertiliserProducts[[#Headers],[Company]],31)</f>
        <v>Zinc</v>
      </c>
      <c r="AB125" s="170" cm="1">
        <f t="array" ref="AB125">Common_InputFunctions.Utility_DisplayArrayInTable(Fertiliser_SourceData.Fertiliser_Products_Data2(), FertiliserProducts[[#Headers],[Company]],31)</f>
        <v>1E-4</v>
      </c>
      <c r="AC125" s="170" t="str" cm="1">
        <f t="array" ref="AC125">Common_InputFunctions.Utility_DisplayArrayInTable(Fertiliser_SourceData.Fertiliser_Products_Data2(), FertiliserProducts[[#Headers],[Company]],31)</f>
        <v/>
      </c>
      <c r="AD125" s="170" t="str" cm="1">
        <f t="array" ref="AD125">Common_InputFunctions.Utility_DisplayArrayInTable(Fertiliser_SourceData.Fertiliser_Products_Data2(), FertiliserProducts[[#Headers],[Company]],31)</f>
        <v/>
      </c>
      <c r="AE125" s="170" t="str" cm="1">
        <f t="array" ref="AE125">Common_InputFunctions.Utility_DisplayArrayInTable(Fertiliser_SourceData.Fertiliser_Products_Data2(), FertiliserProducts[[#Headers],[Company]],31)</f>
        <v/>
      </c>
      <c r="AF125" s="170" t="str" cm="1">
        <f t="array" ref="AF125">Common_InputFunctions.Utility_DisplayArrayInTable(Fertiliser_SourceData.Fertiliser_Products_Data2(), FertiliserProducts[[#Headers],[Company]],31)</f>
        <v/>
      </c>
      <c r="AG125" s="170" t="str" cm="1">
        <f t="array" ref="AG125">Common_InputFunctions.Utility_DisplayArrayInTable(Fertiliser_SourceData.Fertiliser_Products_Data2(), FertiliserProducts[[#Headers],[Company]],31)</f>
        <v/>
      </c>
      <c r="AH125" s="170" t="str" cm="1">
        <f t="array" ref="AH125">Common_InputFunctions.Utility_DisplayArrayInTable(Fertiliser_SourceData.Fertiliser_Products_Data2(), FertiliserProducts[[#Headers],[Company]],31)</f>
        <v/>
      </c>
      <c r="AK125" s="1"/>
      <c r="AL125" s="1"/>
      <c r="AM125" s="1"/>
    </row>
    <row r="126" spans="1:39" ht="20.100000000000001" customHeight="1" x14ac:dyDescent="0.2">
      <c r="D126" s="170" t="str" cm="1">
        <f t="array" ref="D126">Common_InputFunctions.Utility_DisplayArrayInTable(Fertiliser_SourceData.Fertiliser_Products_Data2(), FertiliserProducts[[#Headers],[Company]],31)</f>
        <v>SL Tec</v>
      </c>
      <c r="E126" s="170" t="str" cm="1">
        <f t="array" ref="E126">Common_InputFunctions.Utility_DisplayArrayInTable(Fertiliser_SourceData.Fertiliser_Products_Data2(), FertiliserProducts[[#Headers],[Company]],31)</f>
        <v>High NS</v>
      </c>
      <c r="F126" s="170" t="str" cm="1">
        <f t="array" ref="F126">Common_InputFunctions.Utility_DisplayArrayInTable(Fertiliser_SourceData.Fertiliser_Products_Data2(), FertiliserProducts[[#Headers],[Company]],31)</f>
        <v>L</v>
      </c>
      <c r="G126" s="170" cm="1">
        <f t="array" ref="G126">Common_InputFunctions.Utility_DisplayArrayInTable(Fertiliser_SourceData.Fertiliser_Products_Data2(), FertiliserProducts[[#Headers],[Company]],31)</f>
        <v>1.2989999999999999</v>
      </c>
      <c r="H126" s="170" t="str" cm="1">
        <f t="array" ref="H126">Common_InputFunctions.Utility_DisplayArrayInTable(Fertiliser_SourceData.Fertiliser_Products_Data2(), FertiliserProducts[[#Headers],[Company]],31)</f>
        <v/>
      </c>
      <c r="I126" s="170" t="str" cm="1">
        <f t="array" ref="I126">Common_InputFunctions.Utility_DisplayArrayInTable(Fertiliser_SourceData.Fertiliser_Products_Data2(), FertiliserProducts[[#Headers],[Company]],31)</f>
        <v/>
      </c>
      <c r="J126" s="170" t="str" cm="1">
        <f t="array" ref="J126">Common_InputFunctions.Utility_DisplayArrayInTable(Fertiliser_SourceData.Fertiliser_Products_Data2(), FertiliserProducts[[#Headers],[Company]],31)</f>
        <v/>
      </c>
      <c r="K126" s="170" cm="1">
        <f t="array" ref="K126">Common_InputFunctions.Utility_DisplayArrayInTable(Fertiliser_SourceData.Fertiliser_Products_Data2(), FertiliserProducts[[#Headers],[Company]],31)</f>
        <v>38</v>
      </c>
      <c r="L126" s="170" t="str" cm="1">
        <f t="array" ref="L126">Common_InputFunctions.Utility_DisplayArrayInTable(Fertiliser_SourceData.Fertiliser_Products_Data2(), FertiliserProducts[[#Headers],[Company]],31)</f>
        <v/>
      </c>
      <c r="M126" s="170" t="str" cm="1">
        <f t="array" ref="M126">Common_InputFunctions.Utility_DisplayArrayInTable(Fertiliser_SourceData.Fertiliser_Products_Data2(), FertiliserProducts[[#Headers],[Company]],31)</f>
        <v/>
      </c>
      <c r="N126" s="170" cm="1">
        <f t="array" ref="N126">Common_InputFunctions.Utility_DisplayArrayInTable(Fertiliser_SourceData.Fertiliser_Products_Data2(), FertiliserProducts[[#Headers],[Company]],31)</f>
        <v>2</v>
      </c>
      <c r="O126" s="170" t="str" cm="1">
        <f t="array" ref="O126">Common_InputFunctions.Utility_DisplayArrayInTable(Fertiliser_SourceData.Fertiliser_Products_Data2(), FertiliserProducts[[#Headers],[Company]],31)</f>
        <v>Urea</v>
      </c>
      <c r="P126" s="170" cm="1">
        <f t="array" ref="P126">Common_InputFunctions.Utility_DisplayArrayInTable(Fertiliser_SourceData.Fertiliser_Products_Data2(), FertiliserProducts[[#Headers],[Company]],31)</f>
        <v>0.46087</v>
      </c>
      <c r="Q126" s="170" t="str" cm="1">
        <f t="array" ref="Q126">Common_InputFunctions.Utility_DisplayArrayInTable(Fertiliser_SourceData.Fertiliser_Products_Data2(), FertiliserProducts[[#Headers],[Company]],31)</f>
        <v>Nitrogen - Ammoniacal</v>
      </c>
      <c r="R126" s="170" cm="1">
        <f t="array" ref="R126">Common_InputFunctions.Utility_DisplayArrayInTable(Fertiliser_SourceData.Fertiliser_Products_Data2(), FertiliserProducts[[#Headers],[Company]],31)</f>
        <v>9.1999999999999998E-2</v>
      </c>
      <c r="S126" s="170" t="str" cm="1">
        <f t="array" ref="S126">Common_InputFunctions.Utility_DisplayArrayInTable(Fertiliser_SourceData.Fertiliser_Products_Data2(), FertiliserProducts[[#Headers],[Company]],31)</f>
        <v>Nitrogen - Nitrate</v>
      </c>
      <c r="T126" s="170" cm="1">
        <f t="array" ref="T126">Common_InputFunctions.Utility_DisplayArrayInTable(Fertiliser_SourceData.Fertiliser_Products_Data2(), FertiliserProducts[[#Headers],[Company]],31)</f>
        <v>7.5999999999999998E-2</v>
      </c>
      <c r="U126" s="170" t="str" cm="1">
        <f t="array" ref="U126">Common_InputFunctions.Utility_DisplayArrayInTable(Fertiliser_SourceData.Fertiliser_Products_Data2(), FertiliserProducts[[#Headers],[Company]],31)</f>
        <v>Sulfur - Generic</v>
      </c>
      <c r="V126" s="170" cm="1">
        <f t="array" ref="V126">Common_InputFunctions.Utility_DisplayArrayInTable(Fertiliser_SourceData.Fertiliser_Products_Data2(), FertiliserProducts[[#Headers],[Company]],31)</f>
        <v>0.02</v>
      </c>
      <c r="W126" s="170" t="str" cm="1">
        <f t="array" ref="W126">Common_InputFunctions.Utility_DisplayArrayInTable(Fertiliser_SourceData.Fertiliser_Products_Data2(), FertiliserProducts[[#Headers],[Company]],31)</f>
        <v/>
      </c>
      <c r="X126" s="170" t="str" cm="1">
        <f t="array" ref="X126">Common_InputFunctions.Utility_DisplayArrayInTable(Fertiliser_SourceData.Fertiliser_Products_Data2(), FertiliserProducts[[#Headers],[Company]],31)</f>
        <v/>
      </c>
      <c r="Y126" s="170" t="str" cm="1">
        <f t="array" ref="Y126">Common_InputFunctions.Utility_DisplayArrayInTable(Fertiliser_SourceData.Fertiliser_Products_Data2(), FertiliserProducts[[#Headers],[Company]],31)</f>
        <v/>
      </c>
      <c r="Z126" s="170" t="str" cm="1">
        <f t="array" ref="Z126">Common_InputFunctions.Utility_DisplayArrayInTable(Fertiliser_SourceData.Fertiliser_Products_Data2(), FertiliserProducts[[#Headers],[Company]],31)</f>
        <v/>
      </c>
      <c r="AA126" s="170" t="str" cm="1">
        <f t="array" ref="AA126">Common_InputFunctions.Utility_DisplayArrayInTable(Fertiliser_SourceData.Fertiliser_Products_Data2(), FertiliserProducts[[#Headers],[Company]],31)</f>
        <v/>
      </c>
      <c r="AB126" s="170" t="str" cm="1">
        <f t="array" ref="AB126">Common_InputFunctions.Utility_DisplayArrayInTable(Fertiliser_SourceData.Fertiliser_Products_Data2(), FertiliserProducts[[#Headers],[Company]],31)</f>
        <v/>
      </c>
      <c r="AC126" s="170" t="str" cm="1">
        <f t="array" ref="AC126">Common_InputFunctions.Utility_DisplayArrayInTable(Fertiliser_SourceData.Fertiliser_Products_Data2(), FertiliserProducts[[#Headers],[Company]],31)</f>
        <v/>
      </c>
      <c r="AD126" s="170" t="str" cm="1">
        <f t="array" ref="AD126">Common_InputFunctions.Utility_DisplayArrayInTable(Fertiliser_SourceData.Fertiliser_Products_Data2(), FertiliserProducts[[#Headers],[Company]],31)</f>
        <v/>
      </c>
      <c r="AE126" s="170" t="str" cm="1">
        <f t="array" ref="AE126">Common_InputFunctions.Utility_DisplayArrayInTable(Fertiliser_SourceData.Fertiliser_Products_Data2(), FertiliserProducts[[#Headers],[Company]],31)</f>
        <v/>
      </c>
      <c r="AF126" s="170" t="str" cm="1">
        <f t="array" ref="AF126">Common_InputFunctions.Utility_DisplayArrayInTable(Fertiliser_SourceData.Fertiliser_Products_Data2(), FertiliserProducts[[#Headers],[Company]],31)</f>
        <v/>
      </c>
      <c r="AG126" s="170" t="str" cm="1">
        <f t="array" ref="AG126">Common_InputFunctions.Utility_DisplayArrayInTable(Fertiliser_SourceData.Fertiliser_Products_Data2(), FertiliserProducts[[#Headers],[Company]],31)</f>
        <v/>
      </c>
      <c r="AH126" s="170" t="str" cm="1">
        <f t="array" ref="AH126">Common_InputFunctions.Utility_DisplayArrayInTable(Fertiliser_SourceData.Fertiliser_Products_Data2(), FertiliserProducts[[#Headers],[Company]],31)</f>
        <v/>
      </c>
      <c r="AK126" s="1"/>
      <c r="AL126" s="1"/>
      <c r="AM126" s="1"/>
    </row>
    <row r="127" spans="1:39" ht="20.100000000000001" customHeight="1" x14ac:dyDescent="0.2">
      <c r="D127" s="170" t="str" cm="1">
        <f t="array" ref="D127">Common_InputFunctions.Utility_DisplayArrayInTable(Fertiliser_SourceData.Fertiliser_Products_Data2(), FertiliserProducts[[#Headers],[Company]],31)</f>
        <v>Impact Fertilisers</v>
      </c>
      <c r="E127" s="170" t="str" cm="1">
        <f t="array" ref="E127">Common_InputFunctions.Utility_DisplayArrayInTable(Fertiliser_SourceData.Fertiliser_Products_Data2(), FertiliserProducts[[#Headers],[Company]],31)</f>
        <v>Impact SSP</v>
      </c>
      <c r="F127" s="170" t="str" cm="1">
        <f t="array" ref="F127">Common_InputFunctions.Utility_DisplayArrayInTable(Fertiliser_SourceData.Fertiliser_Products_Data2(), FertiliserProducts[[#Headers],[Company]],31)</f>
        <v>kg</v>
      </c>
      <c r="G127" s="170" cm="1">
        <f t="array" ref="G127">Common_InputFunctions.Utility_DisplayArrayInTable(Fertiliser_SourceData.Fertiliser_Products_Data2(), FertiliserProducts[[#Headers],[Company]],31)</f>
        <v>1</v>
      </c>
      <c r="H127" s="170" t="str" cm="1">
        <f t="array" ref="H127">Common_InputFunctions.Utility_DisplayArrayInTable(Fertiliser_SourceData.Fertiliser_Products_Data2(), FertiliserProducts[[#Headers],[Company]],31)</f>
        <v/>
      </c>
      <c r="I127" s="170" t="str" cm="1">
        <f t="array" ref="I127">Common_InputFunctions.Utility_DisplayArrayInTable(Fertiliser_SourceData.Fertiliser_Products_Data2(), FertiliserProducts[[#Headers],[Company]],31)</f>
        <v/>
      </c>
      <c r="J127" s="170" t="str" cm="1">
        <f t="array" ref="J127">Common_InputFunctions.Utility_DisplayArrayInTable(Fertiliser_SourceData.Fertiliser_Products_Data2(), FertiliserProducts[[#Headers],[Company]],31)</f>
        <v/>
      </c>
      <c r="K127" s="170" t="str" cm="1">
        <f t="array" ref="K127">Common_InputFunctions.Utility_DisplayArrayInTable(Fertiliser_SourceData.Fertiliser_Products_Data2(), FertiliserProducts[[#Headers],[Company]],31)</f>
        <v/>
      </c>
      <c r="L127" s="170" cm="1">
        <f t="array" ref="L127">Common_InputFunctions.Utility_DisplayArrayInTable(Fertiliser_SourceData.Fertiliser_Products_Data2(), FertiliserProducts[[#Headers],[Company]],31)</f>
        <v>8.8000000000000007</v>
      </c>
      <c r="M127" s="170" t="str" cm="1">
        <f t="array" ref="M127">Common_InputFunctions.Utility_DisplayArrayInTable(Fertiliser_SourceData.Fertiliser_Products_Data2(), FertiliserProducts[[#Headers],[Company]],31)</f>
        <v/>
      </c>
      <c r="N127" s="170" cm="1">
        <f t="array" ref="N127">Common_InputFunctions.Utility_DisplayArrayInTable(Fertiliser_SourceData.Fertiliser_Products_Data2(), FertiliserProducts[[#Headers],[Company]],31)</f>
        <v>11</v>
      </c>
      <c r="O127" s="170" t="str" cm="1">
        <f t="array" ref="O127">Common_InputFunctions.Utility_DisplayArrayInTable(Fertiliser_SourceData.Fertiliser_Products_Data2(), FertiliserProducts[[#Headers],[Company]],31)</f>
        <v>Single superphosphate (SSP)</v>
      </c>
      <c r="P127" s="170" cm="1">
        <f t="array" ref="P127">Common_InputFunctions.Utility_DisplayArrayInTable(Fertiliser_SourceData.Fertiliser_Products_Data2(), FertiliserProducts[[#Headers],[Company]],31)</f>
        <v>1</v>
      </c>
      <c r="Q127" s="170" t="str" cm="1">
        <f t="array" ref="Q127">Common_InputFunctions.Utility_DisplayArrayInTable(Fertiliser_SourceData.Fertiliser_Products_Data2(), FertiliserProducts[[#Headers],[Company]],31)</f>
        <v/>
      </c>
      <c r="R127" s="170" t="str" cm="1">
        <f t="array" ref="R127">Common_InputFunctions.Utility_DisplayArrayInTable(Fertiliser_SourceData.Fertiliser_Products_Data2(), FertiliserProducts[[#Headers],[Company]],31)</f>
        <v/>
      </c>
      <c r="S127" s="170" t="str" cm="1">
        <f t="array" ref="S127">Common_InputFunctions.Utility_DisplayArrayInTable(Fertiliser_SourceData.Fertiliser_Products_Data2(), FertiliserProducts[[#Headers],[Company]],31)</f>
        <v/>
      </c>
      <c r="T127" s="170" t="str" cm="1">
        <f t="array" ref="T127">Common_InputFunctions.Utility_DisplayArrayInTable(Fertiliser_SourceData.Fertiliser_Products_Data2(), FertiliserProducts[[#Headers],[Company]],31)</f>
        <v/>
      </c>
      <c r="U127" s="170" t="str" cm="1">
        <f t="array" ref="U127">Common_InputFunctions.Utility_DisplayArrayInTable(Fertiliser_SourceData.Fertiliser_Products_Data2(), FertiliserProducts[[#Headers],[Company]],31)</f>
        <v/>
      </c>
      <c r="V127" s="170" t="str" cm="1">
        <f t="array" ref="V127">Common_InputFunctions.Utility_DisplayArrayInTable(Fertiliser_SourceData.Fertiliser_Products_Data2(), FertiliserProducts[[#Headers],[Company]],31)</f>
        <v/>
      </c>
      <c r="W127" s="170" t="str" cm="1">
        <f t="array" ref="W127">Common_InputFunctions.Utility_DisplayArrayInTable(Fertiliser_SourceData.Fertiliser_Products_Data2(), FertiliserProducts[[#Headers],[Company]],31)</f>
        <v/>
      </c>
      <c r="X127" s="170" t="str" cm="1">
        <f t="array" ref="X127">Common_InputFunctions.Utility_DisplayArrayInTable(Fertiliser_SourceData.Fertiliser_Products_Data2(), FertiliserProducts[[#Headers],[Company]],31)</f>
        <v/>
      </c>
      <c r="Y127" s="170" t="str" cm="1">
        <f t="array" ref="Y127">Common_InputFunctions.Utility_DisplayArrayInTable(Fertiliser_SourceData.Fertiliser_Products_Data2(), FertiliserProducts[[#Headers],[Company]],31)</f>
        <v/>
      </c>
      <c r="Z127" s="170" t="str" cm="1">
        <f t="array" ref="Z127">Common_InputFunctions.Utility_DisplayArrayInTable(Fertiliser_SourceData.Fertiliser_Products_Data2(), FertiliserProducts[[#Headers],[Company]],31)</f>
        <v/>
      </c>
      <c r="AA127" s="170" t="str" cm="1">
        <f t="array" ref="AA127">Common_InputFunctions.Utility_DisplayArrayInTable(Fertiliser_SourceData.Fertiliser_Products_Data2(), FertiliserProducts[[#Headers],[Company]],31)</f>
        <v/>
      </c>
      <c r="AB127" s="170" t="str" cm="1">
        <f t="array" ref="AB127">Common_InputFunctions.Utility_DisplayArrayInTable(Fertiliser_SourceData.Fertiliser_Products_Data2(), FertiliserProducts[[#Headers],[Company]],31)</f>
        <v/>
      </c>
      <c r="AC127" s="170" t="str" cm="1">
        <f t="array" ref="AC127">Common_InputFunctions.Utility_DisplayArrayInTable(Fertiliser_SourceData.Fertiliser_Products_Data2(), FertiliserProducts[[#Headers],[Company]],31)</f>
        <v/>
      </c>
      <c r="AD127" s="170" t="str" cm="1">
        <f t="array" ref="AD127">Common_InputFunctions.Utility_DisplayArrayInTable(Fertiliser_SourceData.Fertiliser_Products_Data2(), FertiliserProducts[[#Headers],[Company]],31)</f>
        <v/>
      </c>
      <c r="AE127" s="170" t="str" cm="1">
        <f t="array" ref="AE127">Common_InputFunctions.Utility_DisplayArrayInTable(Fertiliser_SourceData.Fertiliser_Products_Data2(), FertiliserProducts[[#Headers],[Company]],31)</f>
        <v/>
      </c>
      <c r="AF127" s="170" t="str" cm="1">
        <f t="array" ref="AF127">Common_InputFunctions.Utility_DisplayArrayInTable(Fertiliser_SourceData.Fertiliser_Products_Data2(), FertiliserProducts[[#Headers],[Company]],31)</f>
        <v/>
      </c>
      <c r="AG127" s="170" t="str" cm="1">
        <f t="array" ref="AG127">Common_InputFunctions.Utility_DisplayArrayInTable(Fertiliser_SourceData.Fertiliser_Products_Data2(), FertiliserProducts[[#Headers],[Company]],31)</f>
        <v/>
      </c>
      <c r="AH127" s="170" t="str" cm="1">
        <f t="array" ref="AH127">Common_InputFunctions.Utility_DisplayArrayInTable(Fertiliser_SourceData.Fertiliser_Products_Data2(), FertiliserProducts[[#Headers],[Company]],31)</f>
        <v/>
      </c>
      <c r="AK127" s="1"/>
      <c r="AL127" s="1"/>
      <c r="AM127" s="1"/>
    </row>
    <row r="128" spans="1:39" ht="20.100000000000001" customHeight="1" x14ac:dyDescent="0.2">
      <c r="D128" s="170" t="str" cm="1">
        <f t="array" ref="D128">Common_InputFunctions.Utility_DisplayArrayInTable(Fertiliser_SourceData.Fertiliser_Products_Data2(), FertiliserProducts[[#Headers],[Company]],31)</f>
        <v>Switch Ag</v>
      </c>
      <c r="E128" s="170" t="str" cm="1">
        <f t="array" ref="E128">Common_InputFunctions.Utility_DisplayArrayInTable(Fertiliser_SourceData.Fertiliser_Products_Data2(), FertiliserProducts[[#Headers],[Company]],31)</f>
        <v>In Crop</v>
      </c>
      <c r="F128" s="170" t="str" cm="1">
        <f t="array" ref="F128">Common_InputFunctions.Utility_DisplayArrayInTable(Fertiliser_SourceData.Fertiliser_Products_Data2(), FertiliserProducts[[#Headers],[Company]],31)</f>
        <v>L</v>
      </c>
      <c r="G128" s="170" cm="1">
        <f t="array" ref="G128">Common_InputFunctions.Utility_DisplayArrayInTable(Fertiliser_SourceData.Fertiliser_Products_Data2(), FertiliserProducts[[#Headers],[Company]],31)</f>
        <v>1.2</v>
      </c>
      <c r="H128" s="170" t="str" cm="1">
        <f t="array" ref="H128">Common_InputFunctions.Utility_DisplayArrayInTable(Fertiliser_SourceData.Fertiliser_Products_Data2(), FertiliserProducts[[#Headers],[Company]],31)</f>
        <v/>
      </c>
      <c r="I128" s="170" t="str" cm="1">
        <f t="array" ref="I128">Common_InputFunctions.Utility_DisplayArrayInTable(Fertiliser_SourceData.Fertiliser_Products_Data2(), FertiliserProducts[[#Headers],[Company]],31)</f>
        <v/>
      </c>
      <c r="J128" s="170" t="str" cm="1">
        <f t="array" ref="J128">Common_InputFunctions.Utility_DisplayArrayInTable(Fertiliser_SourceData.Fertiliser_Products_Data2(), FertiliserProducts[[#Headers],[Company]],31)</f>
        <v/>
      </c>
      <c r="K128" s="170" cm="1">
        <f t="array" ref="K128">Common_InputFunctions.Utility_DisplayArrayInTable(Fertiliser_SourceData.Fertiliser_Products_Data2(), FertiliserProducts[[#Headers],[Company]],31)</f>
        <v>10</v>
      </c>
      <c r="L128" s="170" cm="1">
        <f t="array" ref="L128">Common_InputFunctions.Utility_DisplayArrayInTable(Fertiliser_SourceData.Fertiliser_Products_Data2(), FertiliserProducts[[#Headers],[Company]],31)</f>
        <v>1</v>
      </c>
      <c r="M128" s="170" cm="1">
        <f t="array" ref="M128">Common_InputFunctions.Utility_DisplayArrayInTable(Fertiliser_SourceData.Fertiliser_Products_Data2(), FertiliserProducts[[#Headers],[Company]],31)</f>
        <v>11</v>
      </c>
      <c r="N128" s="170" t="str" cm="1">
        <f t="array" ref="N128">Common_InputFunctions.Utility_DisplayArrayInTable(Fertiliser_SourceData.Fertiliser_Products_Data2(), FertiliserProducts[[#Headers],[Company]],31)</f>
        <v/>
      </c>
      <c r="O128" s="170" t="str" cm="1">
        <f t="array" ref="O128">Common_InputFunctions.Utility_DisplayArrayInTable(Fertiliser_SourceData.Fertiliser_Products_Data2(), FertiliserProducts[[#Headers],[Company]],31)</f>
        <v>Potassium - Generic</v>
      </c>
      <c r="P128" s="170" cm="1">
        <f t="array" ref="P128">Common_InputFunctions.Utility_DisplayArrayInTable(Fertiliser_SourceData.Fertiliser_Products_Data2(), FertiliserProducts[[#Headers],[Company]],31)</f>
        <v>0.11</v>
      </c>
      <c r="Q128" s="170" t="str" cm="1">
        <f t="array" ref="Q128">Common_InputFunctions.Utility_DisplayArrayInTable(Fertiliser_SourceData.Fertiliser_Products_Data2(), FertiliserProducts[[#Headers],[Company]],31)</f>
        <v>Nitrogen - Generic</v>
      </c>
      <c r="R128" s="170" cm="1">
        <f t="array" ref="R128">Common_InputFunctions.Utility_DisplayArrayInTable(Fertiliser_SourceData.Fertiliser_Products_Data2(), FertiliserProducts[[#Headers],[Company]],31)</f>
        <v>0.1</v>
      </c>
      <c r="S128" s="170" t="str" cm="1">
        <f t="array" ref="S128">Common_InputFunctions.Utility_DisplayArrayInTable(Fertiliser_SourceData.Fertiliser_Products_Data2(), FertiliserProducts[[#Headers],[Company]],31)</f>
        <v>Phosphorus - Generic</v>
      </c>
      <c r="T128" s="170" cm="1">
        <f t="array" ref="T128">Common_InputFunctions.Utility_DisplayArrayInTable(Fertiliser_SourceData.Fertiliser_Products_Data2(), FertiliserProducts[[#Headers],[Company]],31)</f>
        <v>0.01</v>
      </c>
      <c r="U128" s="170" t="str" cm="1">
        <f t="array" ref="U128">Common_InputFunctions.Utility_DisplayArrayInTable(Fertiliser_SourceData.Fertiliser_Products_Data2(), FertiliserProducts[[#Headers],[Company]],31)</f>
        <v/>
      </c>
      <c r="V128" s="170" t="str" cm="1">
        <f t="array" ref="V128">Common_InputFunctions.Utility_DisplayArrayInTable(Fertiliser_SourceData.Fertiliser_Products_Data2(), FertiliserProducts[[#Headers],[Company]],31)</f>
        <v/>
      </c>
      <c r="W128" s="170" t="str" cm="1">
        <f t="array" ref="W128">Common_InputFunctions.Utility_DisplayArrayInTable(Fertiliser_SourceData.Fertiliser_Products_Data2(), FertiliserProducts[[#Headers],[Company]],31)</f>
        <v/>
      </c>
      <c r="X128" s="170" t="str" cm="1">
        <f t="array" ref="X128">Common_InputFunctions.Utility_DisplayArrayInTable(Fertiliser_SourceData.Fertiliser_Products_Data2(), FertiliserProducts[[#Headers],[Company]],31)</f>
        <v/>
      </c>
      <c r="Y128" s="170" t="str" cm="1">
        <f t="array" ref="Y128">Common_InputFunctions.Utility_DisplayArrayInTable(Fertiliser_SourceData.Fertiliser_Products_Data2(), FertiliserProducts[[#Headers],[Company]],31)</f>
        <v/>
      </c>
      <c r="Z128" s="170" t="str" cm="1">
        <f t="array" ref="Z128">Common_InputFunctions.Utility_DisplayArrayInTable(Fertiliser_SourceData.Fertiliser_Products_Data2(), FertiliserProducts[[#Headers],[Company]],31)</f>
        <v/>
      </c>
      <c r="AA128" s="170" t="str" cm="1">
        <f t="array" ref="AA128">Common_InputFunctions.Utility_DisplayArrayInTable(Fertiliser_SourceData.Fertiliser_Products_Data2(), FertiliserProducts[[#Headers],[Company]],31)</f>
        <v/>
      </c>
      <c r="AB128" s="170" t="str" cm="1">
        <f t="array" ref="AB128">Common_InputFunctions.Utility_DisplayArrayInTable(Fertiliser_SourceData.Fertiliser_Products_Data2(), FertiliserProducts[[#Headers],[Company]],31)</f>
        <v/>
      </c>
      <c r="AC128" s="170" t="str" cm="1">
        <f t="array" ref="AC128">Common_InputFunctions.Utility_DisplayArrayInTable(Fertiliser_SourceData.Fertiliser_Products_Data2(), FertiliserProducts[[#Headers],[Company]],31)</f>
        <v/>
      </c>
      <c r="AD128" s="170" t="str" cm="1">
        <f t="array" ref="AD128">Common_InputFunctions.Utility_DisplayArrayInTable(Fertiliser_SourceData.Fertiliser_Products_Data2(), FertiliserProducts[[#Headers],[Company]],31)</f>
        <v/>
      </c>
      <c r="AE128" s="170" t="str" cm="1">
        <f t="array" ref="AE128">Common_InputFunctions.Utility_DisplayArrayInTable(Fertiliser_SourceData.Fertiliser_Products_Data2(), FertiliserProducts[[#Headers],[Company]],31)</f>
        <v/>
      </c>
      <c r="AF128" s="170" t="str" cm="1">
        <f t="array" ref="AF128">Common_InputFunctions.Utility_DisplayArrayInTable(Fertiliser_SourceData.Fertiliser_Products_Data2(), FertiliserProducts[[#Headers],[Company]],31)</f>
        <v/>
      </c>
      <c r="AG128" s="170" t="str" cm="1">
        <f t="array" ref="AG128">Common_InputFunctions.Utility_DisplayArrayInTable(Fertiliser_SourceData.Fertiliser_Products_Data2(), FertiliserProducts[[#Headers],[Company]],31)</f>
        <v/>
      </c>
      <c r="AH128" s="170" t="str" cm="1">
        <f t="array" ref="AH128">Common_InputFunctions.Utility_DisplayArrayInTable(Fertiliser_SourceData.Fertiliser_Products_Data2(), FertiliserProducts[[#Headers],[Company]],31)</f>
        <v/>
      </c>
      <c r="AK128" s="1"/>
      <c r="AL128" s="1"/>
      <c r="AM128" s="1"/>
    </row>
    <row r="129" spans="4:39" ht="20.100000000000001" customHeight="1" x14ac:dyDescent="0.2">
      <c r="D129" s="170" t="str" cm="1">
        <f t="array" ref="D129">Common_InputFunctions.Utility_DisplayArrayInTable(Fertiliser_SourceData.Fertiliser_Products_Data2(), FertiliserProducts[[#Headers],[Company]],31)</f>
        <v>Switch Ag</v>
      </c>
      <c r="E129" s="170" t="str" cm="1">
        <f t="array" ref="E129">Common_InputFunctions.Utility_DisplayArrayInTable(Fertiliser_SourceData.Fertiliser_Products_Data2(), FertiliserProducts[[#Headers],[Company]],31)</f>
        <v>K20</v>
      </c>
      <c r="F129" s="170" t="str" cm="1">
        <f t="array" ref="F129">Common_InputFunctions.Utility_DisplayArrayInTable(Fertiliser_SourceData.Fertiliser_Products_Data2(), FertiliserProducts[[#Headers],[Company]],31)</f>
        <v>L</v>
      </c>
      <c r="G129" s="170" cm="1">
        <f t="array" ref="G129">Common_InputFunctions.Utility_DisplayArrayInTable(Fertiliser_SourceData.Fertiliser_Products_Data2(), FertiliserProducts[[#Headers],[Company]],31)</f>
        <v>1.3</v>
      </c>
      <c r="H129" s="170" t="str" cm="1">
        <f t="array" ref="H129">Common_InputFunctions.Utility_DisplayArrayInTable(Fertiliser_SourceData.Fertiliser_Products_Data2(), FertiliserProducts[[#Headers],[Company]],31)</f>
        <v/>
      </c>
      <c r="I129" s="170" t="str" cm="1">
        <f t="array" ref="I129">Common_InputFunctions.Utility_DisplayArrayInTable(Fertiliser_SourceData.Fertiliser_Products_Data2(), FertiliserProducts[[#Headers],[Company]],31)</f>
        <v/>
      </c>
      <c r="J129" s="170" t="str" cm="1">
        <f t="array" ref="J129">Common_InputFunctions.Utility_DisplayArrayInTable(Fertiliser_SourceData.Fertiliser_Products_Data2(), FertiliserProducts[[#Headers],[Company]],31)</f>
        <v/>
      </c>
      <c r="K129" s="170" cm="1">
        <f t="array" ref="K129">Common_InputFunctions.Utility_DisplayArrayInTable(Fertiliser_SourceData.Fertiliser_Products_Data2(), FertiliserProducts[[#Headers],[Company]],31)</f>
        <v>3</v>
      </c>
      <c r="L129" s="170" t="str" cm="1">
        <f t="array" ref="L129">Common_InputFunctions.Utility_DisplayArrayInTable(Fertiliser_SourceData.Fertiliser_Products_Data2(), FertiliserProducts[[#Headers],[Company]],31)</f>
        <v/>
      </c>
      <c r="M129" s="170" cm="1">
        <f t="array" ref="M129">Common_InputFunctions.Utility_DisplayArrayInTable(Fertiliser_SourceData.Fertiliser_Products_Data2(), FertiliserProducts[[#Headers],[Company]],31)</f>
        <v>22</v>
      </c>
      <c r="N129" s="170" t="str" cm="1">
        <f t="array" ref="N129">Common_InputFunctions.Utility_DisplayArrayInTable(Fertiliser_SourceData.Fertiliser_Products_Data2(), FertiliserProducts[[#Headers],[Company]],31)</f>
        <v/>
      </c>
      <c r="O129" s="170" t="str" cm="1">
        <f t="array" ref="O129">Common_InputFunctions.Utility_DisplayArrayInTable(Fertiliser_SourceData.Fertiliser_Products_Data2(), FertiliserProducts[[#Headers],[Company]],31)</f>
        <v>Potassium - Generic</v>
      </c>
      <c r="P129" s="170" cm="1">
        <f t="array" ref="P129">Common_InputFunctions.Utility_DisplayArrayInTable(Fertiliser_SourceData.Fertiliser_Products_Data2(), FertiliserProducts[[#Headers],[Company]],31)</f>
        <v>0.22</v>
      </c>
      <c r="Q129" s="170" t="str" cm="1">
        <f t="array" ref="Q129">Common_InputFunctions.Utility_DisplayArrayInTable(Fertiliser_SourceData.Fertiliser_Products_Data2(), FertiliserProducts[[#Headers],[Company]],31)</f>
        <v>Nitrogen - Generic</v>
      </c>
      <c r="R129" s="170" cm="1">
        <f t="array" ref="R129">Common_InputFunctions.Utility_DisplayArrayInTable(Fertiliser_SourceData.Fertiliser_Products_Data2(), FertiliserProducts[[#Headers],[Company]],31)</f>
        <v>0.03</v>
      </c>
      <c r="S129" s="170" t="str" cm="1">
        <f t="array" ref="S129">Common_InputFunctions.Utility_DisplayArrayInTable(Fertiliser_SourceData.Fertiliser_Products_Data2(), FertiliserProducts[[#Headers],[Company]],31)</f>
        <v/>
      </c>
      <c r="T129" s="170" t="str" cm="1">
        <f t="array" ref="T129">Common_InputFunctions.Utility_DisplayArrayInTable(Fertiliser_SourceData.Fertiliser_Products_Data2(), FertiliserProducts[[#Headers],[Company]],31)</f>
        <v/>
      </c>
      <c r="U129" s="170" t="str" cm="1">
        <f t="array" ref="U129">Common_InputFunctions.Utility_DisplayArrayInTable(Fertiliser_SourceData.Fertiliser_Products_Data2(), FertiliserProducts[[#Headers],[Company]],31)</f>
        <v/>
      </c>
      <c r="V129" s="170" t="str" cm="1">
        <f t="array" ref="V129">Common_InputFunctions.Utility_DisplayArrayInTable(Fertiliser_SourceData.Fertiliser_Products_Data2(), FertiliserProducts[[#Headers],[Company]],31)</f>
        <v/>
      </c>
      <c r="W129" s="170" t="str" cm="1">
        <f t="array" ref="W129">Common_InputFunctions.Utility_DisplayArrayInTable(Fertiliser_SourceData.Fertiliser_Products_Data2(), FertiliserProducts[[#Headers],[Company]],31)</f>
        <v/>
      </c>
      <c r="X129" s="170" t="str" cm="1">
        <f t="array" ref="X129">Common_InputFunctions.Utility_DisplayArrayInTable(Fertiliser_SourceData.Fertiliser_Products_Data2(), FertiliserProducts[[#Headers],[Company]],31)</f>
        <v/>
      </c>
      <c r="Y129" s="170" t="str" cm="1">
        <f t="array" ref="Y129">Common_InputFunctions.Utility_DisplayArrayInTable(Fertiliser_SourceData.Fertiliser_Products_Data2(), FertiliserProducts[[#Headers],[Company]],31)</f>
        <v/>
      </c>
      <c r="Z129" s="170" t="str" cm="1">
        <f t="array" ref="Z129">Common_InputFunctions.Utility_DisplayArrayInTable(Fertiliser_SourceData.Fertiliser_Products_Data2(), FertiliserProducts[[#Headers],[Company]],31)</f>
        <v/>
      </c>
      <c r="AA129" s="170" t="str" cm="1">
        <f t="array" ref="AA129">Common_InputFunctions.Utility_DisplayArrayInTable(Fertiliser_SourceData.Fertiliser_Products_Data2(), FertiliserProducts[[#Headers],[Company]],31)</f>
        <v/>
      </c>
      <c r="AB129" s="170" t="str" cm="1">
        <f t="array" ref="AB129">Common_InputFunctions.Utility_DisplayArrayInTable(Fertiliser_SourceData.Fertiliser_Products_Data2(), FertiliserProducts[[#Headers],[Company]],31)</f>
        <v/>
      </c>
      <c r="AC129" s="170" t="str" cm="1">
        <f t="array" ref="AC129">Common_InputFunctions.Utility_DisplayArrayInTable(Fertiliser_SourceData.Fertiliser_Products_Data2(), FertiliserProducts[[#Headers],[Company]],31)</f>
        <v/>
      </c>
      <c r="AD129" s="170" t="str" cm="1">
        <f t="array" ref="AD129">Common_InputFunctions.Utility_DisplayArrayInTable(Fertiliser_SourceData.Fertiliser_Products_Data2(), FertiliserProducts[[#Headers],[Company]],31)</f>
        <v/>
      </c>
      <c r="AE129" s="170" t="str" cm="1">
        <f t="array" ref="AE129">Common_InputFunctions.Utility_DisplayArrayInTable(Fertiliser_SourceData.Fertiliser_Products_Data2(), FertiliserProducts[[#Headers],[Company]],31)</f>
        <v/>
      </c>
      <c r="AF129" s="170" t="str" cm="1">
        <f t="array" ref="AF129">Common_InputFunctions.Utility_DisplayArrayInTable(Fertiliser_SourceData.Fertiliser_Products_Data2(), FertiliserProducts[[#Headers],[Company]],31)</f>
        <v/>
      </c>
      <c r="AG129" s="170" t="str" cm="1">
        <f t="array" ref="AG129">Common_InputFunctions.Utility_DisplayArrayInTable(Fertiliser_SourceData.Fertiliser_Products_Data2(), FertiliserProducts[[#Headers],[Company]],31)</f>
        <v/>
      </c>
      <c r="AH129" s="170" t="str" cm="1">
        <f t="array" ref="AH129">Common_InputFunctions.Utility_DisplayArrayInTable(Fertiliser_SourceData.Fertiliser_Products_Data2(), FertiliserProducts[[#Headers],[Company]],31)</f>
        <v/>
      </c>
      <c r="AK129" s="1"/>
      <c r="AL129" s="1"/>
      <c r="AM129" s="1"/>
    </row>
    <row r="130" spans="4:39" ht="20.100000000000001" customHeight="1" x14ac:dyDescent="0.2">
      <c r="D130" s="170" t="str" cm="1">
        <f t="array" ref="D130">Common_InputFunctions.Utility_DisplayArrayInTable(Fertiliser_SourceData.Fertiliser_Products_Data2(), FertiliserProducts[[#Headers],[Company]],31)</f>
        <v>Loveland Agriproducts</v>
      </c>
      <c r="E130" s="170" t="str" cm="1">
        <f t="array" ref="E130">Common_InputFunctions.Utility_DisplayArrayInTable(Fertiliser_SourceData.Fertiliser_Products_Data2(), FertiliserProducts[[#Headers],[Company]],31)</f>
        <v>Maximum N-Pact</v>
      </c>
      <c r="F130" s="170" t="str" cm="1">
        <f t="array" ref="F130">Common_InputFunctions.Utility_DisplayArrayInTable(Fertiliser_SourceData.Fertiliser_Products_Data2(), FertiliserProducts[[#Headers],[Company]],31)</f>
        <v>L</v>
      </c>
      <c r="G130" s="170" cm="1">
        <f t="array" ref="G130">Common_InputFunctions.Utility_DisplayArrayInTable(Fertiliser_SourceData.Fertiliser_Products_Data2(), FertiliserProducts[[#Headers],[Company]],31)</f>
        <v>1.1850000000000001</v>
      </c>
      <c r="H130" s="170" t="str" cm="1">
        <f t="array" ref="H130">Common_InputFunctions.Utility_DisplayArrayInTable(Fertiliser_SourceData.Fertiliser_Products_Data2(), FertiliserProducts[[#Headers],[Company]],31)</f>
        <v/>
      </c>
      <c r="I130" s="170" t="str" cm="1">
        <f t="array" ref="I130">Common_InputFunctions.Utility_DisplayArrayInTable(Fertiliser_SourceData.Fertiliser_Products_Data2(), FertiliserProducts[[#Headers],[Company]],31)</f>
        <v/>
      </c>
      <c r="J130" s="170" t="str" cm="1">
        <f t="array" ref="J130">Common_InputFunctions.Utility_DisplayArrayInTable(Fertiliser_SourceData.Fertiliser_Products_Data2(), FertiliserProducts[[#Headers],[Company]],31)</f>
        <v/>
      </c>
      <c r="K130" s="170" cm="1">
        <f t="array" ref="K130">Common_InputFunctions.Utility_DisplayArrayInTable(Fertiliser_SourceData.Fertiliser_Products_Data2(), FertiliserProducts[[#Headers],[Company]],31)</f>
        <v>23.8</v>
      </c>
      <c r="L130" s="170" t="str" cm="1">
        <f t="array" ref="L130">Common_InputFunctions.Utility_DisplayArrayInTable(Fertiliser_SourceData.Fertiliser_Products_Data2(), FertiliserProducts[[#Headers],[Company]],31)</f>
        <v/>
      </c>
      <c r="M130" s="170" t="str" cm="1">
        <f t="array" ref="M130">Common_InputFunctions.Utility_DisplayArrayInTable(Fertiliser_SourceData.Fertiliser_Products_Data2(), FertiliserProducts[[#Headers],[Company]],31)</f>
        <v/>
      </c>
      <c r="N130" s="170" t="str" cm="1">
        <f t="array" ref="N130">Common_InputFunctions.Utility_DisplayArrayInTable(Fertiliser_SourceData.Fertiliser_Products_Data2(), FertiliserProducts[[#Headers],[Company]],31)</f>
        <v/>
      </c>
      <c r="O130" s="170" t="str" cm="1">
        <f t="array" ref="O130">Common_InputFunctions.Utility_DisplayArrayInTable(Fertiliser_SourceData.Fertiliser_Products_Data2(), FertiliserProducts[[#Headers],[Company]],31)</f>
        <v>Urea</v>
      </c>
      <c r="P130" s="170" cm="1">
        <f t="array" ref="P130">Common_InputFunctions.Utility_DisplayArrayInTable(Fertiliser_SourceData.Fertiliser_Products_Data2(), FertiliserProducts[[#Headers],[Company]],31)</f>
        <v>0.51739100000000005</v>
      </c>
      <c r="Q130" s="170" t="str" cm="1">
        <f t="array" ref="Q130">Common_InputFunctions.Utility_DisplayArrayInTable(Fertiliser_SourceData.Fertiliser_Products_Data2(), FertiliserProducts[[#Headers],[Company]],31)</f>
        <v/>
      </c>
      <c r="R130" s="170" t="str" cm="1">
        <f t="array" ref="R130">Common_InputFunctions.Utility_DisplayArrayInTable(Fertiliser_SourceData.Fertiliser_Products_Data2(), FertiliserProducts[[#Headers],[Company]],31)</f>
        <v/>
      </c>
      <c r="S130" s="170" t="str" cm="1">
        <f t="array" ref="S130">Common_InputFunctions.Utility_DisplayArrayInTable(Fertiliser_SourceData.Fertiliser_Products_Data2(), FertiliserProducts[[#Headers],[Company]],31)</f>
        <v/>
      </c>
      <c r="T130" s="170" t="str" cm="1">
        <f t="array" ref="T130">Common_InputFunctions.Utility_DisplayArrayInTable(Fertiliser_SourceData.Fertiliser_Products_Data2(), FertiliserProducts[[#Headers],[Company]],31)</f>
        <v/>
      </c>
      <c r="U130" s="170" t="str" cm="1">
        <f t="array" ref="U130">Common_InputFunctions.Utility_DisplayArrayInTable(Fertiliser_SourceData.Fertiliser_Products_Data2(), FertiliserProducts[[#Headers],[Company]],31)</f>
        <v/>
      </c>
      <c r="V130" s="170" t="str" cm="1">
        <f t="array" ref="V130">Common_InputFunctions.Utility_DisplayArrayInTable(Fertiliser_SourceData.Fertiliser_Products_Data2(), FertiliserProducts[[#Headers],[Company]],31)</f>
        <v/>
      </c>
      <c r="W130" s="170" t="str" cm="1">
        <f t="array" ref="W130">Common_InputFunctions.Utility_DisplayArrayInTable(Fertiliser_SourceData.Fertiliser_Products_Data2(), FertiliserProducts[[#Headers],[Company]],31)</f>
        <v/>
      </c>
      <c r="X130" s="170" t="str" cm="1">
        <f t="array" ref="X130">Common_InputFunctions.Utility_DisplayArrayInTable(Fertiliser_SourceData.Fertiliser_Products_Data2(), FertiliserProducts[[#Headers],[Company]],31)</f>
        <v/>
      </c>
      <c r="Y130" s="170" t="str" cm="1">
        <f t="array" ref="Y130">Common_InputFunctions.Utility_DisplayArrayInTable(Fertiliser_SourceData.Fertiliser_Products_Data2(), FertiliserProducts[[#Headers],[Company]],31)</f>
        <v/>
      </c>
      <c r="Z130" s="170" t="str" cm="1">
        <f t="array" ref="Z130">Common_InputFunctions.Utility_DisplayArrayInTable(Fertiliser_SourceData.Fertiliser_Products_Data2(), FertiliserProducts[[#Headers],[Company]],31)</f>
        <v/>
      </c>
      <c r="AA130" s="170" t="str" cm="1">
        <f t="array" ref="AA130">Common_InputFunctions.Utility_DisplayArrayInTable(Fertiliser_SourceData.Fertiliser_Products_Data2(), FertiliserProducts[[#Headers],[Company]],31)</f>
        <v/>
      </c>
      <c r="AB130" s="170" t="str" cm="1">
        <f t="array" ref="AB130">Common_InputFunctions.Utility_DisplayArrayInTable(Fertiliser_SourceData.Fertiliser_Products_Data2(), FertiliserProducts[[#Headers],[Company]],31)</f>
        <v/>
      </c>
      <c r="AC130" s="170" t="str" cm="1">
        <f t="array" ref="AC130">Common_InputFunctions.Utility_DisplayArrayInTable(Fertiliser_SourceData.Fertiliser_Products_Data2(), FertiliserProducts[[#Headers],[Company]],31)</f>
        <v/>
      </c>
      <c r="AD130" s="170" t="str" cm="1">
        <f t="array" ref="AD130">Common_InputFunctions.Utility_DisplayArrayInTable(Fertiliser_SourceData.Fertiliser_Products_Data2(), FertiliserProducts[[#Headers],[Company]],31)</f>
        <v/>
      </c>
      <c r="AE130" s="170" t="str" cm="1">
        <f t="array" ref="AE130">Common_InputFunctions.Utility_DisplayArrayInTable(Fertiliser_SourceData.Fertiliser_Products_Data2(), FertiliserProducts[[#Headers],[Company]],31)</f>
        <v/>
      </c>
      <c r="AF130" s="170" t="str" cm="1">
        <f t="array" ref="AF130">Common_InputFunctions.Utility_DisplayArrayInTable(Fertiliser_SourceData.Fertiliser_Products_Data2(), FertiliserProducts[[#Headers],[Company]],31)</f>
        <v/>
      </c>
      <c r="AG130" s="170" t="str" cm="1">
        <f t="array" ref="AG130">Common_InputFunctions.Utility_DisplayArrayInTable(Fertiliser_SourceData.Fertiliser_Products_Data2(), FertiliserProducts[[#Headers],[Company]],31)</f>
        <v/>
      </c>
      <c r="AH130" s="170" t="str" cm="1">
        <f t="array" ref="AH130">Common_InputFunctions.Utility_DisplayArrayInTable(Fertiliser_SourceData.Fertiliser_Products_Data2(), FertiliserProducts[[#Headers],[Company]],31)</f>
        <v/>
      </c>
      <c r="AK130" s="1"/>
      <c r="AL130" s="1"/>
      <c r="AM130" s="1"/>
    </row>
    <row r="131" spans="4:39" ht="20.100000000000001" customHeight="1" x14ac:dyDescent="0.2">
      <c r="D131" s="170" t="str" cm="1">
        <f t="array" ref="D131">Common_InputFunctions.Utility_DisplayArrayInTable(Fertiliser_SourceData.Fertiliser_Products_Data2(), FertiliserProducts[[#Headers],[Company]],31)</f>
        <v>SL Tec</v>
      </c>
      <c r="E131" s="170" t="str" cm="1">
        <f t="array" ref="E131">Common_InputFunctions.Utility_DisplayArrayInTable(Fertiliser_SourceData.Fertiliser_Products_Data2(), FertiliserProducts[[#Headers],[Company]],31)</f>
        <v>Nitro Combi TE</v>
      </c>
      <c r="F131" s="170" t="str" cm="1">
        <f t="array" ref="F131">Common_InputFunctions.Utility_DisplayArrayInTable(Fertiliser_SourceData.Fertiliser_Products_Data2(), FertiliserProducts[[#Headers],[Company]],31)</f>
        <v>L</v>
      </c>
      <c r="G131" s="170" cm="1">
        <f t="array" ref="G131">Common_InputFunctions.Utility_DisplayArrayInTable(Fertiliser_SourceData.Fertiliser_Products_Data2(), FertiliserProducts[[#Headers],[Company]],31)</f>
        <v>1.2549999999999999</v>
      </c>
      <c r="H131" s="170" t="str" cm="1">
        <f t="array" ref="H131">Common_InputFunctions.Utility_DisplayArrayInTable(Fertiliser_SourceData.Fertiliser_Products_Data2(), FertiliserProducts[[#Headers],[Company]],31)</f>
        <v/>
      </c>
      <c r="I131" s="170" t="str" cm="1">
        <f t="array" ref="I131">Common_InputFunctions.Utility_DisplayArrayInTable(Fertiliser_SourceData.Fertiliser_Products_Data2(), FertiliserProducts[[#Headers],[Company]],31)</f>
        <v/>
      </c>
      <c r="J131" s="170" t="str" cm="1">
        <f t="array" ref="J131">Common_InputFunctions.Utility_DisplayArrayInTable(Fertiliser_SourceData.Fertiliser_Products_Data2(), FertiliserProducts[[#Headers],[Company]],31)</f>
        <v/>
      </c>
      <c r="K131" s="170" t="str" cm="1">
        <f t="array" ref="K131">Common_InputFunctions.Utility_DisplayArrayInTable(Fertiliser_SourceData.Fertiliser_Products_Data2(), FertiliserProducts[[#Headers],[Company]],31)</f>
        <v/>
      </c>
      <c r="L131" s="170" t="str" cm="1">
        <f t="array" ref="L131">Common_InputFunctions.Utility_DisplayArrayInTable(Fertiliser_SourceData.Fertiliser_Products_Data2(), FertiliserProducts[[#Headers],[Company]],31)</f>
        <v/>
      </c>
      <c r="M131" s="170" cm="1">
        <f t="array" ref="M131">Common_InputFunctions.Utility_DisplayArrayInTable(Fertiliser_SourceData.Fertiliser_Products_Data2(), FertiliserProducts[[#Headers],[Company]],31)</f>
        <v>0.1</v>
      </c>
      <c r="N131" s="170" cm="1">
        <f t="array" ref="N131">Common_InputFunctions.Utility_DisplayArrayInTable(Fertiliser_SourceData.Fertiliser_Products_Data2(), FertiliserProducts[[#Headers],[Company]],31)</f>
        <v>4.4000000000000004</v>
      </c>
      <c r="O131" s="170" t="str" cm="1">
        <f t="array" ref="O131">Common_InputFunctions.Utility_DisplayArrayInTable(Fertiliser_SourceData.Fertiliser_Products_Data2(), FertiliserProducts[[#Headers],[Company]],31)</f>
        <v>Sulfur - Generic</v>
      </c>
      <c r="P131" s="170" cm="1">
        <f t="array" ref="P131">Common_InputFunctions.Utility_DisplayArrayInTable(Fertiliser_SourceData.Fertiliser_Products_Data2(), FertiliserProducts[[#Headers],[Company]],31)</f>
        <v>4.3999999999999997E-2</v>
      </c>
      <c r="Q131" s="170" t="str" cm="1">
        <f t="array" ref="Q131">Common_InputFunctions.Utility_DisplayArrayInTable(Fertiliser_SourceData.Fertiliser_Products_Data2(), FertiliserProducts[[#Headers],[Company]],31)</f>
        <v>Zinc</v>
      </c>
      <c r="R131" s="170" cm="1">
        <f t="array" ref="R131">Common_InputFunctions.Utility_DisplayArrayInTable(Fertiliser_SourceData.Fertiliser_Products_Data2(), FertiliserProducts[[#Headers],[Company]],31)</f>
        <v>2.1999999999999999E-2</v>
      </c>
      <c r="S131" s="170" t="str" cm="1">
        <f t="array" ref="S131">Common_InputFunctions.Utility_DisplayArrayInTable(Fertiliser_SourceData.Fertiliser_Products_Data2(), FertiliserProducts[[#Headers],[Company]],31)</f>
        <v>Iron</v>
      </c>
      <c r="T131" s="170" cm="1">
        <f t="array" ref="T131">Common_InputFunctions.Utility_DisplayArrayInTable(Fertiliser_SourceData.Fertiliser_Products_Data2(), FertiliserProducts[[#Headers],[Company]],31)</f>
        <v>2.1999999999999999E-2</v>
      </c>
      <c r="U131" s="170" t="str" cm="1">
        <f t="array" ref="U131">Common_InputFunctions.Utility_DisplayArrayInTable(Fertiliser_SourceData.Fertiliser_Products_Data2(), FertiliserProducts[[#Headers],[Company]],31)</f>
        <v>Manganese</v>
      </c>
      <c r="V131" s="170" cm="1">
        <f t="array" ref="V131">Common_InputFunctions.Utility_DisplayArrayInTable(Fertiliser_SourceData.Fertiliser_Products_Data2(), FertiliserProducts[[#Headers],[Company]],31)</f>
        <v>1.6E-2</v>
      </c>
      <c r="W131" s="170" t="str" cm="1">
        <f t="array" ref="W131">Common_InputFunctions.Utility_DisplayArrayInTable(Fertiliser_SourceData.Fertiliser_Products_Data2(), FertiliserProducts[[#Headers],[Company]],31)</f>
        <v>Boron</v>
      </c>
      <c r="X131" s="170" cm="1">
        <f t="array" ref="X131">Common_InputFunctions.Utility_DisplayArrayInTable(Fertiliser_SourceData.Fertiliser_Products_Data2(), FertiliserProducts[[#Headers],[Company]],31)</f>
        <v>8.0000000000000002E-3</v>
      </c>
      <c r="Y131" s="170" t="str" cm="1">
        <f t="array" ref="Y131">Common_InputFunctions.Utility_DisplayArrayInTable(Fertiliser_SourceData.Fertiliser_Products_Data2(), FertiliserProducts[[#Headers],[Company]],31)</f>
        <v>Magnesium</v>
      </c>
      <c r="Z131" s="170" cm="1">
        <f t="array" ref="Z131">Common_InputFunctions.Utility_DisplayArrayInTable(Fertiliser_SourceData.Fertiliser_Products_Data2(), FertiliserProducts[[#Headers],[Company]],31)</f>
        <v>7.0000000000000001E-3</v>
      </c>
      <c r="AA131" s="170" t="str" cm="1">
        <f t="array" ref="AA131">Common_InputFunctions.Utility_DisplayArrayInTable(Fertiliser_SourceData.Fertiliser_Products_Data2(), FertiliserProducts[[#Headers],[Company]],31)</f>
        <v>Fulvic acid (organic)</v>
      </c>
      <c r="AB131" s="170" cm="1">
        <f t="array" ref="AB131">Common_InputFunctions.Utility_DisplayArrayInTable(Fertiliser_SourceData.Fertiliser_Products_Data2(), FertiliserProducts[[#Headers],[Company]],31)</f>
        <v>5.0000000000000001E-3</v>
      </c>
      <c r="AC131" s="170" t="str" cm="1">
        <f t="array" ref="AC131">Common_InputFunctions.Utility_DisplayArrayInTable(Fertiliser_SourceData.Fertiliser_Products_Data2(), FertiliserProducts[[#Headers],[Company]],31)</f>
        <v>Copper</v>
      </c>
      <c r="AD131" s="170" cm="1">
        <f t="array" ref="AD131">Common_InputFunctions.Utility_DisplayArrayInTable(Fertiliser_SourceData.Fertiliser_Products_Data2(), FertiliserProducts[[#Headers],[Company]],31)</f>
        <v>3.0000000000000001E-3</v>
      </c>
      <c r="AE131" s="170" t="str" cm="1">
        <f t="array" ref="AE131">Common_InputFunctions.Utility_DisplayArrayInTable(Fertiliser_SourceData.Fertiliser_Products_Data2(), FertiliserProducts[[#Headers],[Company]],31)</f>
        <v>Potassium - Generic</v>
      </c>
      <c r="AF131" s="170" cm="1">
        <f t="array" ref="AF131">Common_InputFunctions.Utility_DisplayArrayInTable(Fertiliser_SourceData.Fertiliser_Products_Data2(), FertiliserProducts[[#Headers],[Company]],31)</f>
        <v>1E-3</v>
      </c>
      <c r="AG131" s="170" t="str" cm="1">
        <f t="array" ref="AG131">Common_InputFunctions.Utility_DisplayArrayInTable(Fertiliser_SourceData.Fertiliser_Products_Data2(), FertiliserProducts[[#Headers],[Company]],31)</f>
        <v>Molybdenum</v>
      </c>
      <c r="AH131" s="170"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
      <c r="D132" s="170" t="str" cm="1">
        <f t="array" ref="D132">Common_InputFunctions.Utility_DisplayArrayInTable(Fertiliser_SourceData.Fertiliser_Products_Data2(), FertiliserProducts[[#Headers],[Company]],31)</f>
        <v>Switch Ag</v>
      </c>
      <c r="E132" s="170" t="str" cm="1">
        <f t="array" ref="E132">Common_InputFunctions.Utility_DisplayArrayInTable(Fertiliser_SourceData.Fertiliser_Products_Data2(), FertiliserProducts[[#Headers],[Company]],31)</f>
        <v>PastureMAXX</v>
      </c>
      <c r="F132" s="170" t="str" cm="1">
        <f t="array" ref="F132">Common_InputFunctions.Utility_DisplayArrayInTable(Fertiliser_SourceData.Fertiliser_Products_Data2(), FertiliserProducts[[#Headers],[Company]],31)</f>
        <v>L</v>
      </c>
      <c r="G132" s="170" cm="1">
        <f t="array" ref="G132">Common_InputFunctions.Utility_DisplayArrayInTable(Fertiliser_SourceData.Fertiliser_Products_Data2(), FertiliserProducts[[#Headers],[Company]],31)</f>
        <v>1.23</v>
      </c>
      <c r="H132" s="170" t="str" cm="1">
        <f t="array" ref="H132">Common_InputFunctions.Utility_DisplayArrayInTable(Fertiliser_SourceData.Fertiliser_Products_Data2(), FertiliserProducts[[#Headers],[Company]],31)</f>
        <v/>
      </c>
      <c r="I132" s="170" t="str" cm="1">
        <f t="array" ref="I132">Common_InputFunctions.Utility_DisplayArrayInTable(Fertiliser_SourceData.Fertiliser_Products_Data2(), FertiliserProducts[[#Headers],[Company]],31)</f>
        <v/>
      </c>
      <c r="J132" s="170" t="str" cm="1">
        <f t="array" ref="J132">Common_InputFunctions.Utility_DisplayArrayInTable(Fertiliser_SourceData.Fertiliser_Products_Data2(), FertiliserProducts[[#Headers],[Company]],31)</f>
        <v/>
      </c>
      <c r="K132" s="170" cm="1">
        <f t="array" ref="K132">Common_InputFunctions.Utility_DisplayArrayInTable(Fertiliser_SourceData.Fertiliser_Products_Data2(), FertiliserProducts[[#Headers],[Company]],31)</f>
        <v>9.7100000000000009</v>
      </c>
      <c r="L132" s="170" t="str" cm="1">
        <f t="array" ref="L132">Common_InputFunctions.Utility_DisplayArrayInTable(Fertiliser_SourceData.Fertiliser_Products_Data2(), FertiliserProducts[[#Headers],[Company]],31)</f>
        <v/>
      </c>
      <c r="M132" s="170" cm="1">
        <f t="array" ref="M132">Common_InputFunctions.Utility_DisplayArrayInTable(Fertiliser_SourceData.Fertiliser_Products_Data2(), FertiliserProducts[[#Headers],[Company]],31)</f>
        <v>3.25</v>
      </c>
      <c r="N132" s="170" cm="1">
        <f t="array" ref="N132">Common_InputFunctions.Utility_DisplayArrayInTable(Fertiliser_SourceData.Fertiliser_Products_Data2(), FertiliserProducts[[#Headers],[Company]],31)</f>
        <v>2.11</v>
      </c>
      <c r="O132" s="170" t="str" cm="1">
        <f t="array" ref="O132">Common_InputFunctions.Utility_DisplayArrayInTable(Fertiliser_SourceData.Fertiliser_Products_Data2(), FertiliserProducts[[#Headers],[Company]],31)</f>
        <v>Nitrogen - Generic</v>
      </c>
      <c r="P132" s="170" cm="1">
        <f t="array" ref="P132">Common_InputFunctions.Utility_DisplayArrayInTable(Fertiliser_SourceData.Fertiliser_Products_Data2(), FertiliserProducts[[#Headers],[Company]],31)</f>
        <v>9.7100000000000006E-2</v>
      </c>
      <c r="Q132" s="170" t="str" cm="1">
        <f t="array" ref="Q132">Common_InputFunctions.Utility_DisplayArrayInTable(Fertiliser_SourceData.Fertiliser_Products_Data2(), FertiliserProducts[[#Headers],[Company]],31)</f>
        <v>Potassium - Generic</v>
      </c>
      <c r="R132" s="170" cm="1">
        <f t="array" ref="R132">Common_InputFunctions.Utility_DisplayArrayInTable(Fertiliser_SourceData.Fertiliser_Products_Data2(), FertiliserProducts[[#Headers],[Company]],31)</f>
        <v>3.2500000000000001E-2</v>
      </c>
      <c r="S132" s="170" t="str" cm="1">
        <f t="array" ref="S132">Common_InputFunctions.Utility_DisplayArrayInTable(Fertiliser_SourceData.Fertiliser_Products_Data2(), FertiliserProducts[[#Headers],[Company]],31)</f>
        <v>Sulfur - Generic</v>
      </c>
      <c r="T132" s="170" cm="1">
        <f t="array" ref="T132">Common_InputFunctions.Utility_DisplayArrayInTable(Fertiliser_SourceData.Fertiliser_Products_Data2(), FertiliserProducts[[#Headers],[Company]],31)</f>
        <v>2.1100000000000001E-2</v>
      </c>
      <c r="U132" s="170" t="str" cm="1">
        <f t="array" ref="U132">Common_InputFunctions.Utility_DisplayArrayInTable(Fertiliser_SourceData.Fertiliser_Products_Data2(), FertiliserProducts[[#Headers],[Company]],31)</f>
        <v>Zinc</v>
      </c>
      <c r="V132" s="170" cm="1">
        <f t="array" ref="V132">Common_InputFunctions.Utility_DisplayArrayInTable(Fertiliser_SourceData.Fertiliser_Products_Data2(), FertiliserProducts[[#Headers],[Company]],31)</f>
        <v>1.4999999999999999E-2</v>
      </c>
      <c r="W132" s="170" t="str" cm="1">
        <f t="array" ref="W132">Common_InputFunctions.Utility_DisplayArrayInTable(Fertiliser_SourceData.Fertiliser_Products_Data2(), FertiliserProducts[[#Headers],[Company]],31)</f>
        <v>Iron</v>
      </c>
      <c r="X132" s="170" cm="1">
        <f t="array" ref="X132">Common_InputFunctions.Utility_DisplayArrayInTable(Fertiliser_SourceData.Fertiliser_Products_Data2(), FertiliserProducts[[#Headers],[Company]],31)</f>
        <v>1.11E-2</v>
      </c>
      <c r="Y132" s="170" t="str" cm="1">
        <f t="array" ref="Y132">Common_InputFunctions.Utility_DisplayArrayInTable(Fertiliser_SourceData.Fertiliser_Products_Data2(), FertiliserProducts[[#Headers],[Company]],31)</f>
        <v>Manganese</v>
      </c>
      <c r="Z132" s="170" cm="1">
        <f t="array" ref="Z132">Common_InputFunctions.Utility_DisplayArrayInTable(Fertiliser_SourceData.Fertiliser_Products_Data2(), FertiliserProducts[[#Headers],[Company]],31)</f>
        <v>1.15E-2</v>
      </c>
      <c r="AA132" s="170" t="str" cm="1">
        <f t="array" ref="AA132">Common_InputFunctions.Utility_DisplayArrayInTable(Fertiliser_SourceData.Fertiliser_Products_Data2(), FertiliserProducts[[#Headers],[Company]],31)</f>
        <v>Magnesium</v>
      </c>
      <c r="AB132" s="170" cm="1">
        <f t="array" ref="AB132">Common_InputFunctions.Utility_DisplayArrayInTable(Fertiliser_SourceData.Fertiliser_Products_Data2(), FertiliserProducts[[#Headers],[Company]],31)</f>
        <v>4.4999999999999997E-3</v>
      </c>
      <c r="AC132" s="170" t="str" cm="1">
        <f t="array" ref="AC132">Common_InputFunctions.Utility_DisplayArrayInTable(Fertiliser_SourceData.Fertiliser_Products_Data2(), FertiliserProducts[[#Headers],[Company]],31)</f>
        <v>Boron</v>
      </c>
      <c r="AD132" s="170" cm="1">
        <f t="array" ref="AD132">Common_InputFunctions.Utility_DisplayArrayInTable(Fertiliser_SourceData.Fertiliser_Products_Data2(), FertiliserProducts[[#Headers],[Company]],31)</f>
        <v>2E-3</v>
      </c>
      <c r="AE132" s="170" t="str" cm="1">
        <f t="array" ref="AE132">Common_InputFunctions.Utility_DisplayArrayInTable(Fertiliser_SourceData.Fertiliser_Products_Data2(), FertiliserProducts[[#Headers],[Company]],31)</f>
        <v/>
      </c>
      <c r="AF132" s="170" t="str" cm="1">
        <f t="array" ref="AF132">Common_InputFunctions.Utility_DisplayArrayInTable(Fertiliser_SourceData.Fertiliser_Products_Data2(), FertiliserProducts[[#Headers],[Company]],31)</f>
        <v/>
      </c>
      <c r="AG132" s="170" t="str" cm="1">
        <f t="array" ref="AG132">Common_InputFunctions.Utility_DisplayArrayInTable(Fertiliser_SourceData.Fertiliser_Products_Data2(), FertiliserProducts[[#Headers],[Company]],31)</f>
        <v/>
      </c>
      <c r="AH132" s="170" t="str" cm="1">
        <f t="array" ref="AH132">Common_InputFunctions.Utility_DisplayArrayInTable(Fertiliser_SourceData.Fertiliser_Products_Data2(), FertiliserProducts[[#Headers],[Company]],31)</f>
        <v/>
      </c>
      <c r="AK132" s="1"/>
      <c r="AL132" s="1"/>
      <c r="AM132" s="1"/>
    </row>
    <row r="133" spans="4:39" ht="20.100000000000001" customHeight="1" x14ac:dyDescent="0.2">
      <c r="D133" s="170" t="str" cm="1">
        <f t="array" ref="D133">Common_InputFunctions.Utility_DisplayArrayInTable(Fertiliser_SourceData.Fertiliser_Products_Data2(), FertiliserProducts[[#Headers],[Company]],31)</f>
        <v>Campbells fertilisers Australia</v>
      </c>
      <c r="E133" s="170" t="str" cm="1">
        <f t="array" ref="E133">Common_InputFunctions.Utility_DisplayArrayInTable(Fertiliser_SourceData.Fertiliser_Products_Data2(), FertiliserProducts[[#Headers],[Company]],31)</f>
        <v>Platinum Nergetic</v>
      </c>
      <c r="F133" s="170" t="str" cm="1">
        <f t="array" ref="F133">Common_InputFunctions.Utility_DisplayArrayInTable(Fertiliser_SourceData.Fertiliser_Products_Data2(), FertiliserProducts[[#Headers],[Company]],31)</f>
        <v>kg</v>
      </c>
      <c r="G133" s="170" cm="1">
        <f t="array" ref="G133">Common_InputFunctions.Utility_DisplayArrayInTable(Fertiliser_SourceData.Fertiliser_Products_Data2(), FertiliserProducts[[#Headers],[Company]],31)</f>
        <v>1</v>
      </c>
      <c r="H133" s="170" t="str" cm="1">
        <f t="array" ref="H133">Common_InputFunctions.Utility_DisplayArrayInTable(Fertiliser_SourceData.Fertiliser_Products_Data2(), FertiliserProducts[[#Headers],[Company]],31)</f>
        <v/>
      </c>
      <c r="I133" s="170" t="str" cm="1">
        <f t="array" ref="I133">Common_InputFunctions.Utility_DisplayArrayInTable(Fertiliser_SourceData.Fertiliser_Products_Data2(), FertiliserProducts[[#Headers],[Company]],31)</f>
        <v/>
      </c>
      <c r="J133" s="170" t="str" cm="1">
        <f t="array" ref="J133">Common_InputFunctions.Utility_DisplayArrayInTable(Fertiliser_SourceData.Fertiliser_Products_Data2(), FertiliserProducts[[#Headers],[Company]],31)</f>
        <v/>
      </c>
      <c r="K133" s="170" cm="1">
        <f t="array" ref="K133">Common_InputFunctions.Utility_DisplayArrayInTable(Fertiliser_SourceData.Fertiliser_Products_Data2(), FertiliserProducts[[#Headers],[Company]],31)</f>
        <v>10</v>
      </c>
      <c r="L133" s="170" cm="1">
        <f t="array" ref="L133">Common_InputFunctions.Utility_DisplayArrayInTable(Fertiliser_SourceData.Fertiliser_Products_Data2(), FertiliserProducts[[#Headers],[Company]],31)</f>
        <v>10.9</v>
      </c>
      <c r="M133" s="170" cm="1">
        <f t="array" ref="M133">Common_InputFunctions.Utility_DisplayArrayInTable(Fertiliser_SourceData.Fertiliser_Products_Data2(), FertiliserProducts[[#Headers],[Company]],31)</f>
        <v>10</v>
      </c>
      <c r="N133" s="170" cm="1">
        <f t="array" ref="N133">Common_InputFunctions.Utility_DisplayArrayInTable(Fertiliser_SourceData.Fertiliser_Products_Data2(), FertiliserProducts[[#Headers],[Company]],31)</f>
        <v>4.34</v>
      </c>
      <c r="O133" s="170" t="str" cm="1">
        <f t="array" ref="O133">Common_InputFunctions.Utility_DisplayArrayInTable(Fertiliser_SourceData.Fertiliser_Products_Data2(), FertiliserProducts[[#Headers],[Company]],31)</f>
        <v>Monoammonium phosphate (MAP)</v>
      </c>
      <c r="P133" s="170" cm="1">
        <f t="array" ref="P133">Common_InputFunctions.Utility_DisplayArrayInTable(Fertiliser_SourceData.Fertiliser_Products_Data2(), FertiliserProducts[[#Headers],[Company]],31)</f>
        <v>0.4178</v>
      </c>
      <c r="Q133" s="170" t="str" cm="1">
        <f t="array" ref="Q133">Common_InputFunctions.Utility_DisplayArrayInTable(Fertiliser_SourceData.Fertiliser_Products_Data2(), FertiliserProducts[[#Headers],[Company]],31)</f>
        <v>Ammonium nitrate (AN)</v>
      </c>
      <c r="R133" s="170" cm="1">
        <f t="array" ref="R133">Common_InputFunctions.Utility_DisplayArrayInTable(Fertiliser_SourceData.Fertiliser_Products_Data2(), FertiliserProducts[[#Headers],[Company]],31)</f>
        <v>0.17280000000000001</v>
      </c>
      <c r="S133" s="170" t="str" cm="1">
        <f t="array" ref="S133">Common_InputFunctions.Utility_DisplayArrayInTable(Fertiliser_SourceData.Fertiliser_Products_Data2(), FertiliserProducts[[#Headers],[Company]],31)</f>
        <v>Potassium sulphate</v>
      </c>
      <c r="T133" s="170" cm="1">
        <f t="array" ref="T133">Common_InputFunctions.Utility_DisplayArrayInTable(Fertiliser_SourceData.Fertiliser_Products_Data2(), FertiliserProducts[[#Headers],[Company]],31)</f>
        <v>0.24096400000000001</v>
      </c>
      <c r="U133" s="170" t="str" cm="1">
        <f t="array" ref="U133">Common_InputFunctions.Utility_DisplayArrayInTable(Fertiliser_SourceData.Fertiliser_Products_Data2(), FertiliserProducts[[#Headers],[Company]],31)</f>
        <v>Double superphosphate</v>
      </c>
      <c r="V133" s="170" cm="1">
        <f t="array" ref="V133">Common_InputFunctions.Utility_DisplayArrayInTable(Fertiliser_SourceData.Fertiliser_Products_Data2(), FertiliserProducts[[#Headers],[Company]],31)</f>
        <v>0.1</v>
      </c>
      <c r="W133" s="170" t="str" cm="1">
        <f t="array" ref="W133">Common_InputFunctions.Utility_DisplayArrayInTable(Fertiliser_SourceData.Fertiliser_Products_Data2(), FertiliserProducts[[#Headers],[Company]],31)</f>
        <v>Magnesium</v>
      </c>
      <c r="X133" s="170" cm="1">
        <f t="array" ref="X133">Common_InputFunctions.Utility_DisplayArrayInTable(Fertiliser_SourceData.Fertiliser_Products_Data2(), FertiliserProducts[[#Headers],[Company]],31)</f>
        <v>1.2E-2</v>
      </c>
      <c r="Y133" s="170" t="str" cm="1">
        <f t="array" ref="Y133">Common_InputFunctions.Utility_DisplayArrayInTable(Fertiliser_SourceData.Fertiliser_Products_Data2(), FertiliserProducts[[#Headers],[Company]],31)</f>
        <v>Zinc</v>
      </c>
      <c r="Z133" s="170" cm="1">
        <f t="array" ref="Z133">Common_InputFunctions.Utility_DisplayArrayInTable(Fertiliser_SourceData.Fertiliser_Products_Data2(), FertiliserProducts[[#Headers],[Company]],31)</f>
        <v>3.5999999999999999E-3</v>
      </c>
      <c r="AA133" s="170" t="str" cm="1">
        <f t="array" ref="AA133">Common_InputFunctions.Utility_DisplayArrayInTable(Fertiliser_SourceData.Fertiliser_Products_Data2(), FertiliserProducts[[#Headers],[Company]],31)</f>
        <v>Boron</v>
      </c>
      <c r="AB133" s="170" cm="1">
        <f t="array" ref="AB133">Common_InputFunctions.Utility_DisplayArrayInTable(Fertiliser_SourceData.Fertiliser_Products_Data2(), FertiliserProducts[[#Headers],[Company]],31)</f>
        <v>1E-3</v>
      </c>
      <c r="AC133" s="170" t="str" cm="1">
        <f t="array" ref="AC133">Common_InputFunctions.Utility_DisplayArrayInTable(Fertiliser_SourceData.Fertiliser_Products_Data2(), FertiliserProducts[[#Headers],[Company]],31)</f>
        <v>Glaze Extend G3 Flexi</v>
      </c>
      <c r="AD133" s="170" cm="1">
        <f t="array" ref="AD133">Common_InputFunctions.Utility_DisplayArrayInTable(Fertiliser_SourceData.Fertiliser_Products_Data2(), FertiliserProducts[[#Headers],[Company]],31)</f>
        <v>5.1900000000000002E-2</v>
      </c>
      <c r="AE133" s="170" t="str" cm="1">
        <f t="array" ref="AE133">Common_InputFunctions.Utility_DisplayArrayInTable(Fertiliser_SourceData.Fertiliser_Products_Data2(), FertiliserProducts[[#Headers],[Company]],31)</f>
        <v/>
      </c>
      <c r="AF133" s="170" t="str" cm="1">
        <f t="array" ref="AF133">Common_InputFunctions.Utility_DisplayArrayInTable(Fertiliser_SourceData.Fertiliser_Products_Data2(), FertiliserProducts[[#Headers],[Company]],31)</f>
        <v/>
      </c>
      <c r="AG133" s="170" t="str" cm="1">
        <f t="array" ref="AG133">Common_InputFunctions.Utility_DisplayArrayInTable(Fertiliser_SourceData.Fertiliser_Products_Data2(), FertiliserProducts[[#Headers],[Company]],31)</f>
        <v/>
      </c>
      <c r="AH133" s="170" t="str" cm="1">
        <f t="array" ref="AH133">Common_InputFunctions.Utility_DisplayArrayInTable(Fertiliser_SourceData.Fertiliser_Products_Data2(), FertiliserProducts[[#Headers],[Company]],31)</f>
        <v/>
      </c>
      <c r="AK133" s="1"/>
      <c r="AL133" s="1"/>
      <c r="AM133" s="1"/>
    </row>
    <row r="134" spans="4:39" ht="20.100000000000001" customHeight="1" x14ac:dyDescent="0.2">
      <c r="D134" s="170" t="str" cm="1">
        <f t="array" ref="D134">Common_InputFunctions.Utility_DisplayArrayInTable(Fertiliser_SourceData.Fertiliser_Products_Data2(), FertiliserProducts[[#Headers],[Company]],31)</f>
        <v>Impact Fertilisers</v>
      </c>
      <c r="E134" s="170" t="str" cm="1">
        <f t="array" ref="E134">Common_InputFunctions.Utility_DisplayArrayInTable(Fertiliser_SourceData.Fertiliser_Products_Data2(), FertiliserProducts[[#Headers],[Company]],31)</f>
        <v>Sulphate of ammonia (SOA)</v>
      </c>
      <c r="F134" s="170" t="str" cm="1">
        <f t="array" ref="F134">Common_InputFunctions.Utility_DisplayArrayInTable(Fertiliser_SourceData.Fertiliser_Products_Data2(), FertiliserProducts[[#Headers],[Company]],31)</f>
        <v>kg</v>
      </c>
      <c r="G134" s="170" cm="1">
        <f t="array" ref="G134">Common_InputFunctions.Utility_DisplayArrayInTable(Fertiliser_SourceData.Fertiliser_Products_Data2(), FertiliserProducts[[#Headers],[Company]],31)</f>
        <v>1</v>
      </c>
      <c r="H134" s="170" t="str" cm="1">
        <f t="array" ref="H134">Common_InputFunctions.Utility_DisplayArrayInTable(Fertiliser_SourceData.Fertiliser_Products_Data2(), FertiliserProducts[[#Headers],[Company]],31)</f>
        <v/>
      </c>
      <c r="I134" s="170" t="str" cm="1">
        <f t="array" ref="I134">Common_InputFunctions.Utility_DisplayArrayInTable(Fertiliser_SourceData.Fertiliser_Products_Data2(), FertiliserProducts[[#Headers],[Company]],31)</f>
        <v/>
      </c>
      <c r="J134" s="170" t="str" cm="1">
        <f t="array" ref="J134">Common_InputFunctions.Utility_DisplayArrayInTable(Fertiliser_SourceData.Fertiliser_Products_Data2(), FertiliserProducts[[#Headers],[Company]],31)</f>
        <v/>
      </c>
      <c r="K134" s="170" cm="1">
        <f t="array" ref="K134">Common_InputFunctions.Utility_DisplayArrayInTable(Fertiliser_SourceData.Fertiliser_Products_Data2(), FertiliserProducts[[#Headers],[Company]],31)</f>
        <v>21</v>
      </c>
      <c r="L134" s="170" t="str" cm="1">
        <f t="array" ref="L134">Common_InputFunctions.Utility_DisplayArrayInTable(Fertiliser_SourceData.Fertiliser_Products_Data2(), FertiliserProducts[[#Headers],[Company]],31)</f>
        <v/>
      </c>
      <c r="M134" s="170" t="str" cm="1">
        <f t="array" ref="M134">Common_InputFunctions.Utility_DisplayArrayInTable(Fertiliser_SourceData.Fertiliser_Products_Data2(), FertiliserProducts[[#Headers],[Company]],31)</f>
        <v/>
      </c>
      <c r="N134" s="170" cm="1">
        <f t="array" ref="N134">Common_InputFunctions.Utility_DisplayArrayInTable(Fertiliser_SourceData.Fertiliser_Products_Data2(), FertiliserProducts[[#Headers],[Company]],31)</f>
        <v>24</v>
      </c>
      <c r="O134" s="170" t="str" cm="1">
        <f t="array" ref="O134">Common_InputFunctions.Utility_DisplayArrayInTable(Fertiliser_SourceData.Fertiliser_Products_Data2(), FertiliserProducts[[#Headers],[Company]],31)</f>
        <v>Sulphate of ammonia (SOA)</v>
      </c>
      <c r="P134" s="170" cm="1">
        <f t="array" ref="P134">Common_InputFunctions.Utility_DisplayArrayInTable(Fertiliser_SourceData.Fertiliser_Products_Data2(), FertiliserProducts[[#Headers],[Company]],31)</f>
        <v>1</v>
      </c>
      <c r="Q134" s="170" t="str" cm="1">
        <f t="array" ref="Q134">Common_InputFunctions.Utility_DisplayArrayInTable(Fertiliser_SourceData.Fertiliser_Products_Data2(), FertiliserProducts[[#Headers],[Company]],31)</f>
        <v/>
      </c>
      <c r="R134" s="170" t="str" cm="1">
        <f t="array" ref="R134">Common_InputFunctions.Utility_DisplayArrayInTable(Fertiliser_SourceData.Fertiliser_Products_Data2(), FertiliserProducts[[#Headers],[Company]],31)</f>
        <v/>
      </c>
      <c r="S134" s="170" t="str" cm="1">
        <f t="array" ref="S134">Common_InputFunctions.Utility_DisplayArrayInTable(Fertiliser_SourceData.Fertiliser_Products_Data2(), FertiliserProducts[[#Headers],[Company]],31)</f>
        <v/>
      </c>
      <c r="T134" s="170" t="str" cm="1">
        <f t="array" ref="T134">Common_InputFunctions.Utility_DisplayArrayInTable(Fertiliser_SourceData.Fertiliser_Products_Data2(), FertiliserProducts[[#Headers],[Company]],31)</f>
        <v/>
      </c>
      <c r="U134" s="170" t="str" cm="1">
        <f t="array" ref="U134">Common_InputFunctions.Utility_DisplayArrayInTable(Fertiliser_SourceData.Fertiliser_Products_Data2(), FertiliserProducts[[#Headers],[Company]],31)</f>
        <v/>
      </c>
      <c r="V134" s="170" t="str" cm="1">
        <f t="array" ref="V134">Common_InputFunctions.Utility_DisplayArrayInTable(Fertiliser_SourceData.Fertiliser_Products_Data2(), FertiliserProducts[[#Headers],[Company]],31)</f>
        <v/>
      </c>
      <c r="W134" s="170" t="str" cm="1">
        <f t="array" ref="W134">Common_InputFunctions.Utility_DisplayArrayInTable(Fertiliser_SourceData.Fertiliser_Products_Data2(), FertiliserProducts[[#Headers],[Company]],31)</f>
        <v/>
      </c>
      <c r="X134" s="170" t="str" cm="1">
        <f t="array" ref="X134">Common_InputFunctions.Utility_DisplayArrayInTable(Fertiliser_SourceData.Fertiliser_Products_Data2(), FertiliserProducts[[#Headers],[Company]],31)</f>
        <v/>
      </c>
      <c r="Y134" s="170" t="str" cm="1">
        <f t="array" ref="Y134">Common_InputFunctions.Utility_DisplayArrayInTable(Fertiliser_SourceData.Fertiliser_Products_Data2(), FertiliserProducts[[#Headers],[Company]],31)</f>
        <v/>
      </c>
      <c r="Z134" s="170" t="str" cm="1">
        <f t="array" ref="Z134">Common_InputFunctions.Utility_DisplayArrayInTable(Fertiliser_SourceData.Fertiliser_Products_Data2(), FertiliserProducts[[#Headers],[Company]],31)</f>
        <v/>
      </c>
      <c r="AA134" s="170" t="str" cm="1">
        <f t="array" ref="AA134">Common_InputFunctions.Utility_DisplayArrayInTable(Fertiliser_SourceData.Fertiliser_Products_Data2(), FertiliserProducts[[#Headers],[Company]],31)</f>
        <v/>
      </c>
      <c r="AB134" s="170" t="str" cm="1">
        <f t="array" ref="AB134">Common_InputFunctions.Utility_DisplayArrayInTable(Fertiliser_SourceData.Fertiliser_Products_Data2(), FertiliserProducts[[#Headers],[Company]],31)</f>
        <v/>
      </c>
      <c r="AC134" s="170" t="str" cm="1">
        <f t="array" ref="AC134">Common_InputFunctions.Utility_DisplayArrayInTable(Fertiliser_SourceData.Fertiliser_Products_Data2(), FertiliserProducts[[#Headers],[Company]],31)</f>
        <v/>
      </c>
      <c r="AD134" s="170" t="str" cm="1">
        <f t="array" ref="AD134">Common_InputFunctions.Utility_DisplayArrayInTable(Fertiliser_SourceData.Fertiliser_Products_Data2(), FertiliserProducts[[#Headers],[Company]],31)</f>
        <v/>
      </c>
      <c r="AE134" s="170" t="str" cm="1">
        <f t="array" ref="AE134">Common_InputFunctions.Utility_DisplayArrayInTable(Fertiliser_SourceData.Fertiliser_Products_Data2(), FertiliserProducts[[#Headers],[Company]],31)</f>
        <v/>
      </c>
      <c r="AF134" s="170" t="str" cm="1">
        <f t="array" ref="AF134">Common_InputFunctions.Utility_DisplayArrayInTable(Fertiliser_SourceData.Fertiliser_Products_Data2(), FertiliserProducts[[#Headers],[Company]],31)</f>
        <v/>
      </c>
      <c r="AG134" s="170" t="str" cm="1">
        <f t="array" ref="AG134">Common_InputFunctions.Utility_DisplayArrayInTable(Fertiliser_SourceData.Fertiliser_Products_Data2(), FertiliserProducts[[#Headers],[Company]],31)</f>
        <v/>
      </c>
      <c r="AH134" s="170" t="str" cm="1">
        <f t="array" ref="AH134">Common_InputFunctions.Utility_DisplayArrayInTable(Fertiliser_SourceData.Fertiliser_Products_Data2(), FertiliserProducts[[#Headers],[Company]],31)</f>
        <v/>
      </c>
      <c r="AK134" s="1"/>
      <c r="AL134" s="1"/>
      <c r="AM134" s="1"/>
    </row>
    <row r="135" spans="4:39" ht="20.100000000000001" customHeight="1" x14ac:dyDescent="0.2">
      <c r="D135" s="170" t="str" cm="1">
        <f t="array" ref="D135">Common_InputFunctions.Utility_DisplayArrayInTable(Fertiliser_SourceData.Fertiliser_Products_Data2(), FertiliserProducts[[#Headers],[Company]],31)</f>
        <v>Impact Fertilisers</v>
      </c>
      <c r="E135" s="170" t="str" cm="1">
        <f t="array" ref="E135">Common_InputFunctions.Utility_DisplayArrayInTable(Fertiliser_SourceData.Fertiliser_Products_Data2(), FertiliserProducts[[#Headers],[Company]],31)</f>
        <v>Mono-Ammonium Phosphate (MAP)</v>
      </c>
      <c r="F135" s="170" t="str" cm="1">
        <f t="array" ref="F135">Common_InputFunctions.Utility_DisplayArrayInTable(Fertiliser_SourceData.Fertiliser_Products_Data2(), FertiliserProducts[[#Headers],[Company]],31)</f>
        <v>kg</v>
      </c>
      <c r="G135" s="170" cm="1">
        <f t="array" ref="G135">Common_InputFunctions.Utility_DisplayArrayInTable(Fertiliser_SourceData.Fertiliser_Products_Data2(), FertiliserProducts[[#Headers],[Company]],31)</f>
        <v>1</v>
      </c>
      <c r="H135" s="170" t="str" cm="1">
        <f t="array" ref="H135">Common_InputFunctions.Utility_DisplayArrayInTable(Fertiliser_SourceData.Fertiliser_Products_Data2(), FertiliserProducts[[#Headers],[Company]],31)</f>
        <v/>
      </c>
      <c r="I135" s="170" t="str" cm="1">
        <f t="array" ref="I135">Common_InputFunctions.Utility_DisplayArrayInTable(Fertiliser_SourceData.Fertiliser_Products_Data2(), FertiliserProducts[[#Headers],[Company]],31)</f>
        <v/>
      </c>
      <c r="J135" s="170" t="str" cm="1">
        <f t="array" ref="J135">Common_InputFunctions.Utility_DisplayArrayInTable(Fertiliser_SourceData.Fertiliser_Products_Data2(), FertiliserProducts[[#Headers],[Company]],31)</f>
        <v/>
      </c>
      <c r="K135" s="170" cm="1">
        <f t="array" ref="K135">Common_InputFunctions.Utility_DisplayArrayInTable(Fertiliser_SourceData.Fertiliser_Products_Data2(), FertiliserProducts[[#Headers],[Company]],31)</f>
        <v>10</v>
      </c>
      <c r="L135" s="170" cm="1">
        <f t="array" ref="L135">Common_InputFunctions.Utility_DisplayArrayInTable(Fertiliser_SourceData.Fertiliser_Products_Data2(), FertiliserProducts[[#Headers],[Company]],31)</f>
        <v>21.9</v>
      </c>
      <c r="M135" s="170" t="str" cm="1">
        <f t="array" ref="M135">Common_InputFunctions.Utility_DisplayArrayInTable(Fertiliser_SourceData.Fertiliser_Products_Data2(), FertiliserProducts[[#Headers],[Company]],31)</f>
        <v/>
      </c>
      <c r="N135" s="170" cm="1">
        <f t="array" ref="N135">Common_InputFunctions.Utility_DisplayArrayInTable(Fertiliser_SourceData.Fertiliser_Products_Data2(), FertiliserProducts[[#Headers],[Company]],31)</f>
        <v>1.5</v>
      </c>
      <c r="O135" s="170" t="str" cm="1">
        <f t="array" ref="O135">Common_InputFunctions.Utility_DisplayArrayInTable(Fertiliser_SourceData.Fertiliser_Products_Data2(), FertiliserProducts[[#Headers],[Company]],31)</f>
        <v>Monoammonium phosphate (MAP)</v>
      </c>
      <c r="P135" s="170" cm="1">
        <f t="array" ref="P135">Common_InputFunctions.Utility_DisplayArrayInTable(Fertiliser_SourceData.Fertiliser_Products_Data2(), FertiliserProducts[[#Headers],[Company]],31)</f>
        <v>1</v>
      </c>
      <c r="Q135" s="170" t="str" cm="1">
        <f t="array" ref="Q135">Common_InputFunctions.Utility_DisplayArrayInTable(Fertiliser_SourceData.Fertiliser_Products_Data2(), FertiliserProducts[[#Headers],[Company]],31)</f>
        <v/>
      </c>
      <c r="R135" s="170" t="str" cm="1">
        <f t="array" ref="R135">Common_InputFunctions.Utility_DisplayArrayInTable(Fertiliser_SourceData.Fertiliser_Products_Data2(), FertiliserProducts[[#Headers],[Company]],31)</f>
        <v/>
      </c>
      <c r="S135" s="170" t="str" cm="1">
        <f t="array" ref="S135">Common_InputFunctions.Utility_DisplayArrayInTable(Fertiliser_SourceData.Fertiliser_Products_Data2(), FertiliserProducts[[#Headers],[Company]],31)</f>
        <v/>
      </c>
      <c r="T135" s="170" t="str" cm="1">
        <f t="array" ref="T135">Common_InputFunctions.Utility_DisplayArrayInTable(Fertiliser_SourceData.Fertiliser_Products_Data2(), FertiliserProducts[[#Headers],[Company]],31)</f>
        <v/>
      </c>
      <c r="U135" s="170" t="str" cm="1">
        <f t="array" ref="U135">Common_InputFunctions.Utility_DisplayArrayInTable(Fertiliser_SourceData.Fertiliser_Products_Data2(), FertiliserProducts[[#Headers],[Company]],31)</f>
        <v/>
      </c>
      <c r="V135" s="170" t="str" cm="1">
        <f t="array" ref="V135">Common_InputFunctions.Utility_DisplayArrayInTable(Fertiliser_SourceData.Fertiliser_Products_Data2(), FertiliserProducts[[#Headers],[Company]],31)</f>
        <v/>
      </c>
      <c r="W135" s="170" t="str" cm="1">
        <f t="array" ref="W135">Common_InputFunctions.Utility_DisplayArrayInTable(Fertiliser_SourceData.Fertiliser_Products_Data2(), FertiliserProducts[[#Headers],[Company]],31)</f>
        <v/>
      </c>
      <c r="X135" s="170" t="str" cm="1">
        <f t="array" ref="X135">Common_InputFunctions.Utility_DisplayArrayInTable(Fertiliser_SourceData.Fertiliser_Products_Data2(), FertiliserProducts[[#Headers],[Company]],31)</f>
        <v/>
      </c>
      <c r="Y135" s="170" t="str" cm="1">
        <f t="array" ref="Y135">Common_InputFunctions.Utility_DisplayArrayInTable(Fertiliser_SourceData.Fertiliser_Products_Data2(), FertiliserProducts[[#Headers],[Company]],31)</f>
        <v/>
      </c>
      <c r="Z135" s="170" t="str" cm="1">
        <f t="array" ref="Z135">Common_InputFunctions.Utility_DisplayArrayInTable(Fertiliser_SourceData.Fertiliser_Products_Data2(), FertiliserProducts[[#Headers],[Company]],31)</f>
        <v/>
      </c>
      <c r="AA135" s="170" t="str" cm="1">
        <f t="array" ref="AA135">Common_InputFunctions.Utility_DisplayArrayInTable(Fertiliser_SourceData.Fertiliser_Products_Data2(), FertiliserProducts[[#Headers],[Company]],31)</f>
        <v/>
      </c>
      <c r="AB135" s="170" t="str" cm="1">
        <f t="array" ref="AB135">Common_InputFunctions.Utility_DisplayArrayInTable(Fertiliser_SourceData.Fertiliser_Products_Data2(), FertiliserProducts[[#Headers],[Company]],31)</f>
        <v/>
      </c>
      <c r="AC135" s="170" t="str" cm="1">
        <f t="array" ref="AC135">Common_InputFunctions.Utility_DisplayArrayInTable(Fertiliser_SourceData.Fertiliser_Products_Data2(), FertiliserProducts[[#Headers],[Company]],31)</f>
        <v/>
      </c>
      <c r="AD135" s="170" t="str" cm="1">
        <f t="array" ref="AD135">Common_InputFunctions.Utility_DisplayArrayInTable(Fertiliser_SourceData.Fertiliser_Products_Data2(), FertiliserProducts[[#Headers],[Company]],31)</f>
        <v/>
      </c>
      <c r="AE135" s="170" t="str" cm="1">
        <f t="array" ref="AE135">Common_InputFunctions.Utility_DisplayArrayInTable(Fertiliser_SourceData.Fertiliser_Products_Data2(), FertiliserProducts[[#Headers],[Company]],31)</f>
        <v/>
      </c>
      <c r="AF135" s="170" t="str" cm="1">
        <f t="array" ref="AF135">Common_InputFunctions.Utility_DisplayArrayInTable(Fertiliser_SourceData.Fertiliser_Products_Data2(), FertiliserProducts[[#Headers],[Company]],31)</f>
        <v/>
      </c>
      <c r="AG135" s="170" t="str" cm="1">
        <f t="array" ref="AG135">Common_InputFunctions.Utility_DisplayArrayInTable(Fertiliser_SourceData.Fertiliser_Products_Data2(), FertiliserProducts[[#Headers],[Company]],31)</f>
        <v/>
      </c>
      <c r="AH135" s="170" t="str" cm="1">
        <f t="array" ref="AH135">Common_InputFunctions.Utility_DisplayArrayInTable(Fertiliser_SourceData.Fertiliser_Products_Data2(), FertiliserProducts[[#Headers],[Company]],31)</f>
        <v/>
      </c>
      <c r="AK135" s="1"/>
      <c r="AL135" s="1"/>
      <c r="AM135" s="1"/>
    </row>
    <row r="136" spans="4:39" ht="20.100000000000001" customHeight="1" x14ac:dyDescent="0.2">
      <c r="D136" s="170" t="str" cm="1">
        <f t="array" ref="D136">Common_InputFunctions.Utility_DisplayArrayInTable(Fertiliser_SourceData.Fertiliser_Products_Data2(), FertiliserProducts[[#Headers],[Company]],31)</f>
        <v>Impact Fertilisers</v>
      </c>
      <c r="E136" s="170" t="str" cm="1">
        <f t="array" ref="E136">Common_InputFunctions.Utility_DisplayArrayInTable(Fertiliser_SourceData.Fertiliser_Products_Data2(), FertiliserProducts[[#Headers],[Company]],31)</f>
        <v>Urea</v>
      </c>
      <c r="F136" s="170" t="str" cm="1">
        <f t="array" ref="F136">Common_InputFunctions.Utility_DisplayArrayInTable(Fertiliser_SourceData.Fertiliser_Products_Data2(), FertiliserProducts[[#Headers],[Company]],31)</f>
        <v>kg</v>
      </c>
      <c r="G136" s="170" cm="1">
        <f t="array" ref="G136">Common_InputFunctions.Utility_DisplayArrayInTable(Fertiliser_SourceData.Fertiliser_Products_Data2(), FertiliserProducts[[#Headers],[Company]],31)</f>
        <v>1</v>
      </c>
      <c r="H136" s="170" t="str" cm="1">
        <f t="array" ref="H136">Common_InputFunctions.Utility_DisplayArrayInTable(Fertiliser_SourceData.Fertiliser_Products_Data2(), FertiliserProducts[[#Headers],[Company]],31)</f>
        <v/>
      </c>
      <c r="I136" s="170" t="str" cm="1">
        <f t="array" ref="I136">Common_InputFunctions.Utility_DisplayArrayInTable(Fertiliser_SourceData.Fertiliser_Products_Data2(), FertiliserProducts[[#Headers],[Company]],31)</f>
        <v/>
      </c>
      <c r="J136" s="170" t="str" cm="1">
        <f t="array" ref="J136">Common_InputFunctions.Utility_DisplayArrayInTable(Fertiliser_SourceData.Fertiliser_Products_Data2(), FertiliserProducts[[#Headers],[Company]],31)</f>
        <v/>
      </c>
      <c r="K136" s="170" cm="1">
        <f t="array" ref="K136">Common_InputFunctions.Utility_DisplayArrayInTable(Fertiliser_SourceData.Fertiliser_Products_Data2(), FertiliserProducts[[#Headers],[Company]],31)</f>
        <v>46</v>
      </c>
      <c r="L136" s="170" t="str" cm="1">
        <f t="array" ref="L136">Common_InputFunctions.Utility_DisplayArrayInTable(Fertiliser_SourceData.Fertiliser_Products_Data2(), FertiliserProducts[[#Headers],[Company]],31)</f>
        <v/>
      </c>
      <c r="M136" s="170" t="str" cm="1">
        <f t="array" ref="M136">Common_InputFunctions.Utility_DisplayArrayInTable(Fertiliser_SourceData.Fertiliser_Products_Data2(), FertiliserProducts[[#Headers],[Company]],31)</f>
        <v/>
      </c>
      <c r="N136" s="170" t="str" cm="1">
        <f t="array" ref="N136">Common_InputFunctions.Utility_DisplayArrayInTable(Fertiliser_SourceData.Fertiliser_Products_Data2(), FertiliserProducts[[#Headers],[Company]],31)</f>
        <v/>
      </c>
      <c r="O136" s="170" t="str" cm="1">
        <f t="array" ref="O136">Common_InputFunctions.Utility_DisplayArrayInTable(Fertiliser_SourceData.Fertiliser_Products_Data2(), FertiliserProducts[[#Headers],[Company]],31)</f>
        <v>Urea</v>
      </c>
      <c r="P136" s="170" cm="1">
        <f t="array" ref="P136">Common_InputFunctions.Utility_DisplayArrayInTable(Fertiliser_SourceData.Fertiliser_Products_Data2(), FertiliserProducts[[#Headers],[Company]],31)</f>
        <v>1</v>
      </c>
      <c r="Q136" s="170" t="str" cm="1">
        <f t="array" ref="Q136">Common_InputFunctions.Utility_DisplayArrayInTable(Fertiliser_SourceData.Fertiliser_Products_Data2(), FertiliserProducts[[#Headers],[Company]],31)</f>
        <v/>
      </c>
      <c r="R136" s="170" t="str" cm="1">
        <f t="array" ref="R136">Common_InputFunctions.Utility_DisplayArrayInTable(Fertiliser_SourceData.Fertiliser_Products_Data2(), FertiliserProducts[[#Headers],[Company]],31)</f>
        <v/>
      </c>
      <c r="S136" s="170" t="str" cm="1">
        <f t="array" ref="S136">Common_InputFunctions.Utility_DisplayArrayInTable(Fertiliser_SourceData.Fertiliser_Products_Data2(), FertiliserProducts[[#Headers],[Company]],31)</f>
        <v/>
      </c>
      <c r="T136" s="170" t="str" cm="1">
        <f t="array" ref="T136">Common_InputFunctions.Utility_DisplayArrayInTable(Fertiliser_SourceData.Fertiliser_Products_Data2(), FertiliserProducts[[#Headers],[Company]],31)</f>
        <v/>
      </c>
      <c r="U136" s="170" t="str" cm="1">
        <f t="array" ref="U136">Common_InputFunctions.Utility_DisplayArrayInTable(Fertiliser_SourceData.Fertiliser_Products_Data2(), FertiliserProducts[[#Headers],[Company]],31)</f>
        <v/>
      </c>
      <c r="V136" s="170" t="str" cm="1">
        <f t="array" ref="V136">Common_InputFunctions.Utility_DisplayArrayInTable(Fertiliser_SourceData.Fertiliser_Products_Data2(), FertiliserProducts[[#Headers],[Company]],31)</f>
        <v/>
      </c>
      <c r="W136" s="170" t="str" cm="1">
        <f t="array" ref="W136">Common_InputFunctions.Utility_DisplayArrayInTable(Fertiliser_SourceData.Fertiliser_Products_Data2(), FertiliserProducts[[#Headers],[Company]],31)</f>
        <v/>
      </c>
      <c r="X136" s="170" t="str" cm="1">
        <f t="array" ref="X136">Common_InputFunctions.Utility_DisplayArrayInTable(Fertiliser_SourceData.Fertiliser_Products_Data2(), FertiliserProducts[[#Headers],[Company]],31)</f>
        <v/>
      </c>
      <c r="Y136" s="170" t="str" cm="1">
        <f t="array" ref="Y136">Common_InputFunctions.Utility_DisplayArrayInTable(Fertiliser_SourceData.Fertiliser_Products_Data2(), FertiliserProducts[[#Headers],[Company]],31)</f>
        <v/>
      </c>
      <c r="Z136" s="170" t="str" cm="1">
        <f t="array" ref="Z136">Common_InputFunctions.Utility_DisplayArrayInTable(Fertiliser_SourceData.Fertiliser_Products_Data2(), FertiliserProducts[[#Headers],[Company]],31)</f>
        <v/>
      </c>
      <c r="AA136" s="170" t="str" cm="1">
        <f t="array" ref="AA136">Common_InputFunctions.Utility_DisplayArrayInTable(Fertiliser_SourceData.Fertiliser_Products_Data2(), FertiliserProducts[[#Headers],[Company]],31)</f>
        <v/>
      </c>
      <c r="AB136" s="170" t="str" cm="1">
        <f t="array" ref="AB136">Common_InputFunctions.Utility_DisplayArrayInTable(Fertiliser_SourceData.Fertiliser_Products_Data2(), FertiliserProducts[[#Headers],[Company]],31)</f>
        <v/>
      </c>
      <c r="AC136" s="170" t="str" cm="1">
        <f t="array" ref="AC136">Common_InputFunctions.Utility_DisplayArrayInTable(Fertiliser_SourceData.Fertiliser_Products_Data2(), FertiliserProducts[[#Headers],[Company]],31)</f>
        <v/>
      </c>
      <c r="AD136" s="170" t="str" cm="1">
        <f t="array" ref="AD136">Common_InputFunctions.Utility_DisplayArrayInTable(Fertiliser_SourceData.Fertiliser_Products_Data2(), FertiliserProducts[[#Headers],[Company]],31)</f>
        <v/>
      </c>
      <c r="AE136" s="170" t="str" cm="1">
        <f t="array" ref="AE136">Common_InputFunctions.Utility_DisplayArrayInTable(Fertiliser_SourceData.Fertiliser_Products_Data2(), FertiliserProducts[[#Headers],[Company]],31)</f>
        <v/>
      </c>
      <c r="AF136" s="170" t="str" cm="1">
        <f t="array" ref="AF136">Common_InputFunctions.Utility_DisplayArrayInTable(Fertiliser_SourceData.Fertiliser_Products_Data2(), FertiliserProducts[[#Headers],[Company]],31)</f>
        <v/>
      </c>
      <c r="AG136" s="170" t="str" cm="1">
        <f t="array" ref="AG136">Common_InputFunctions.Utility_DisplayArrayInTable(Fertiliser_SourceData.Fertiliser_Products_Data2(), FertiliserProducts[[#Headers],[Company]],31)</f>
        <v/>
      </c>
      <c r="AH136" s="170" t="str" cm="1">
        <f t="array" ref="AH136">Common_InputFunctions.Utility_DisplayArrayInTable(Fertiliser_SourceData.Fertiliser_Products_Data2(), FertiliserProducts[[#Headers],[Company]],31)</f>
        <v/>
      </c>
      <c r="AK136" s="1"/>
      <c r="AL136" s="1"/>
      <c r="AM136" s="1"/>
    </row>
    <row r="137" spans="4:39" ht="20.100000000000001" customHeight="1" x14ac:dyDescent="0.2">
      <c r="D137" s="170" t="str" cm="1">
        <f t="array" ref="D137">Common_InputFunctions.Utility_DisplayArrayInTable(Fertiliser_SourceData.Fertiliser_Products_Data2(), FertiliserProducts[[#Headers],[Company]],31)</f>
        <v>Koch Fertiliser Australia</v>
      </c>
      <c r="E137" s="170" t="str" cm="1">
        <f t="array" ref="E137">Common_InputFunctions.Utility_DisplayArrayInTable(Fertiliser_SourceData.Fertiliser_Products_Data2(), FertiliserProducts[[#Headers],[Company]],31)</f>
        <v>Muriate of potash (MOP)</v>
      </c>
      <c r="F137" s="170" t="str" cm="1">
        <f t="array" ref="F137">Common_InputFunctions.Utility_DisplayArrayInTable(Fertiliser_SourceData.Fertiliser_Products_Data2(), FertiliserProducts[[#Headers],[Company]],31)</f>
        <v>kg</v>
      </c>
      <c r="G137" s="170" cm="1">
        <f t="array" ref="G137">Common_InputFunctions.Utility_DisplayArrayInTable(Fertiliser_SourceData.Fertiliser_Products_Data2(), FertiliserProducts[[#Headers],[Company]],31)</f>
        <v>1</v>
      </c>
      <c r="H137" s="170" t="str" cm="1">
        <f t="array" ref="H137">Common_InputFunctions.Utility_DisplayArrayInTable(Fertiliser_SourceData.Fertiliser_Products_Data2(), FertiliserProducts[[#Headers],[Company]],31)</f>
        <v/>
      </c>
      <c r="I137" s="170" t="str" cm="1">
        <f t="array" ref="I137">Common_InputFunctions.Utility_DisplayArrayInTable(Fertiliser_SourceData.Fertiliser_Products_Data2(), FertiliserProducts[[#Headers],[Company]],31)</f>
        <v/>
      </c>
      <c r="J137" s="170" t="str" cm="1">
        <f t="array" ref="J137">Common_InputFunctions.Utility_DisplayArrayInTable(Fertiliser_SourceData.Fertiliser_Products_Data2(), FertiliserProducts[[#Headers],[Company]],31)</f>
        <v/>
      </c>
      <c r="K137" s="170" t="str" cm="1">
        <f t="array" ref="K137">Common_InputFunctions.Utility_DisplayArrayInTable(Fertiliser_SourceData.Fertiliser_Products_Data2(), FertiliserProducts[[#Headers],[Company]],31)</f>
        <v/>
      </c>
      <c r="L137" s="170" t="str" cm="1">
        <f t="array" ref="L137">Common_InputFunctions.Utility_DisplayArrayInTable(Fertiliser_SourceData.Fertiliser_Products_Data2(), FertiliserProducts[[#Headers],[Company]],31)</f>
        <v/>
      </c>
      <c r="M137" s="170" cm="1">
        <f t="array" ref="M137">Common_InputFunctions.Utility_DisplayArrayInTable(Fertiliser_SourceData.Fertiliser_Products_Data2(), FertiliserProducts[[#Headers],[Company]],31)</f>
        <v>50</v>
      </c>
      <c r="N137" s="170" t="str" cm="1">
        <f t="array" ref="N137">Common_InputFunctions.Utility_DisplayArrayInTable(Fertiliser_SourceData.Fertiliser_Products_Data2(), FertiliserProducts[[#Headers],[Company]],31)</f>
        <v/>
      </c>
      <c r="O137" s="170" t="str" cm="1">
        <f t="array" ref="O137">Common_InputFunctions.Utility_DisplayArrayInTable(Fertiliser_SourceData.Fertiliser_Products_Data2(), FertiliserProducts[[#Headers],[Company]],31)</f>
        <v>Muriate of potash (MOP)</v>
      </c>
      <c r="P137" s="170" cm="1">
        <f t="array" ref="P137">Common_InputFunctions.Utility_DisplayArrayInTable(Fertiliser_SourceData.Fertiliser_Products_Data2(), FertiliserProducts[[#Headers],[Company]],31)</f>
        <v>1</v>
      </c>
      <c r="Q137" s="170" t="str" cm="1">
        <f t="array" ref="Q137">Common_InputFunctions.Utility_DisplayArrayInTable(Fertiliser_SourceData.Fertiliser_Products_Data2(), FertiliserProducts[[#Headers],[Company]],31)</f>
        <v/>
      </c>
      <c r="R137" s="170" t="str" cm="1">
        <f t="array" ref="R137">Common_InputFunctions.Utility_DisplayArrayInTable(Fertiliser_SourceData.Fertiliser_Products_Data2(), FertiliserProducts[[#Headers],[Company]],31)</f>
        <v/>
      </c>
      <c r="S137" s="170" t="str" cm="1">
        <f t="array" ref="S137">Common_InputFunctions.Utility_DisplayArrayInTable(Fertiliser_SourceData.Fertiliser_Products_Data2(), FertiliserProducts[[#Headers],[Company]],31)</f>
        <v/>
      </c>
      <c r="T137" s="170" t="str" cm="1">
        <f t="array" ref="T137">Common_InputFunctions.Utility_DisplayArrayInTable(Fertiliser_SourceData.Fertiliser_Products_Data2(), FertiliserProducts[[#Headers],[Company]],31)</f>
        <v/>
      </c>
      <c r="U137" s="170" t="str" cm="1">
        <f t="array" ref="U137">Common_InputFunctions.Utility_DisplayArrayInTable(Fertiliser_SourceData.Fertiliser_Products_Data2(), FertiliserProducts[[#Headers],[Company]],31)</f>
        <v/>
      </c>
      <c r="V137" s="170" t="str" cm="1">
        <f t="array" ref="V137">Common_InputFunctions.Utility_DisplayArrayInTable(Fertiliser_SourceData.Fertiliser_Products_Data2(), FertiliserProducts[[#Headers],[Company]],31)</f>
        <v/>
      </c>
      <c r="W137" s="170" t="str" cm="1">
        <f t="array" ref="W137">Common_InputFunctions.Utility_DisplayArrayInTable(Fertiliser_SourceData.Fertiliser_Products_Data2(), FertiliserProducts[[#Headers],[Company]],31)</f>
        <v/>
      </c>
      <c r="X137" s="170" t="str" cm="1">
        <f t="array" ref="X137">Common_InputFunctions.Utility_DisplayArrayInTable(Fertiliser_SourceData.Fertiliser_Products_Data2(), FertiliserProducts[[#Headers],[Company]],31)</f>
        <v/>
      </c>
      <c r="Y137" s="170" t="str" cm="1">
        <f t="array" ref="Y137">Common_InputFunctions.Utility_DisplayArrayInTable(Fertiliser_SourceData.Fertiliser_Products_Data2(), FertiliserProducts[[#Headers],[Company]],31)</f>
        <v/>
      </c>
      <c r="Z137" s="170" t="str" cm="1">
        <f t="array" ref="Z137">Common_InputFunctions.Utility_DisplayArrayInTable(Fertiliser_SourceData.Fertiliser_Products_Data2(), FertiliserProducts[[#Headers],[Company]],31)</f>
        <v/>
      </c>
      <c r="AA137" s="170" t="str" cm="1">
        <f t="array" ref="AA137">Common_InputFunctions.Utility_DisplayArrayInTable(Fertiliser_SourceData.Fertiliser_Products_Data2(), FertiliserProducts[[#Headers],[Company]],31)</f>
        <v/>
      </c>
      <c r="AB137" s="170" t="str" cm="1">
        <f t="array" ref="AB137">Common_InputFunctions.Utility_DisplayArrayInTable(Fertiliser_SourceData.Fertiliser_Products_Data2(), FertiliserProducts[[#Headers],[Company]],31)</f>
        <v/>
      </c>
      <c r="AC137" s="170" t="str" cm="1">
        <f t="array" ref="AC137">Common_InputFunctions.Utility_DisplayArrayInTable(Fertiliser_SourceData.Fertiliser_Products_Data2(), FertiliserProducts[[#Headers],[Company]],31)</f>
        <v/>
      </c>
      <c r="AD137" s="170" t="str" cm="1">
        <f t="array" ref="AD137">Common_InputFunctions.Utility_DisplayArrayInTable(Fertiliser_SourceData.Fertiliser_Products_Data2(), FertiliserProducts[[#Headers],[Company]],31)</f>
        <v/>
      </c>
      <c r="AE137" s="170" t="str" cm="1">
        <f t="array" ref="AE137">Common_InputFunctions.Utility_DisplayArrayInTable(Fertiliser_SourceData.Fertiliser_Products_Data2(), FertiliserProducts[[#Headers],[Company]],31)</f>
        <v/>
      </c>
      <c r="AF137" s="170" t="str" cm="1">
        <f t="array" ref="AF137">Common_InputFunctions.Utility_DisplayArrayInTable(Fertiliser_SourceData.Fertiliser_Products_Data2(), FertiliserProducts[[#Headers],[Company]],31)</f>
        <v/>
      </c>
      <c r="AG137" s="170" t="str" cm="1">
        <f t="array" ref="AG137">Common_InputFunctions.Utility_DisplayArrayInTable(Fertiliser_SourceData.Fertiliser_Products_Data2(), FertiliserProducts[[#Headers],[Company]],31)</f>
        <v/>
      </c>
      <c r="AH137" s="170" t="str" cm="1">
        <f t="array" ref="AH137">Common_InputFunctions.Utility_DisplayArrayInTable(Fertiliser_SourceData.Fertiliser_Products_Data2(), FertiliserProducts[[#Headers],[Company]],31)</f>
        <v/>
      </c>
      <c r="AK137" s="1"/>
      <c r="AL137" s="1"/>
      <c r="AM137" s="1"/>
    </row>
    <row r="138" spans="4:39" ht="20.100000000000001" customHeight="1" x14ac:dyDescent="0.2">
      <c r="D138" s="170" t="str" cm="1">
        <f t="array" ref="D138">Common_InputFunctions.Utility_DisplayArrayInTable(Fertiliser_SourceData.Fertiliser_Products_Data2(), FertiliserProducts[[#Headers],[Company]],31)</f>
        <v>Risso-Chemical</v>
      </c>
      <c r="E138" s="170" t="str" cm="1">
        <f t="array" ref="E138">Common_InputFunctions.Utility_DisplayArrayInTable(Fertiliser_SourceData.Fertiliser_Products_Data2(), FertiliserProducts[[#Headers],[Company]],31)</f>
        <v>Urea Ammonium nitrate (UAN 32-0-0)</v>
      </c>
      <c r="F138" s="170" t="str" cm="1">
        <f t="array" ref="F138">Common_InputFunctions.Utility_DisplayArrayInTable(Fertiliser_SourceData.Fertiliser_Products_Data2(), FertiliserProducts[[#Headers],[Company]],31)</f>
        <v>L</v>
      </c>
      <c r="G138" s="170" cm="1">
        <f t="array" ref="G138">Common_InputFunctions.Utility_DisplayArrayInTable(Fertiliser_SourceData.Fertiliser_Products_Data2(), FertiliserProducts[[#Headers],[Company]],31)</f>
        <v>1.32</v>
      </c>
      <c r="H138" s="170" t="str" cm="1">
        <f t="array" ref="H138">Common_InputFunctions.Utility_DisplayArrayInTable(Fertiliser_SourceData.Fertiliser_Products_Data2(), FertiliserProducts[[#Headers],[Company]],31)</f>
        <v/>
      </c>
      <c r="I138" s="170" t="str" cm="1">
        <f t="array" ref="I138">Common_InputFunctions.Utility_DisplayArrayInTable(Fertiliser_SourceData.Fertiliser_Products_Data2(), FertiliserProducts[[#Headers],[Company]],31)</f>
        <v>China</v>
      </c>
      <c r="J138" s="170" t="str" cm="1">
        <f t="array" ref="J138">Common_InputFunctions.Utility_DisplayArrayInTable(Fertiliser_SourceData.Fertiliser_Products_Data2(), FertiliserProducts[[#Headers],[Company]],31)</f>
        <v>China</v>
      </c>
      <c r="K138" s="170" cm="1">
        <f t="array" ref="K138">Common_InputFunctions.Utility_DisplayArrayInTable(Fertiliser_SourceData.Fertiliser_Products_Data2(), FertiliserProducts[[#Headers],[Company]],31)</f>
        <v>32</v>
      </c>
      <c r="L138" s="170" t="str" cm="1">
        <f t="array" ref="L138">Common_InputFunctions.Utility_DisplayArrayInTable(Fertiliser_SourceData.Fertiliser_Products_Data2(), FertiliserProducts[[#Headers],[Company]],31)</f>
        <v/>
      </c>
      <c r="M138" s="170" t="str" cm="1">
        <f t="array" ref="M138">Common_InputFunctions.Utility_DisplayArrayInTable(Fertiliser_SourceData.Fertiliser_Products_Data2(), FertiliserProducts[[#Headers],[Company]],31)</f>
        <v/>
      </c>
      <c r="N138" s="170" t="str" cm="1">
        <f t="array" ref="N138">Common_InputFunctions.Utility_DisplayArrayInTable(Fertiliser_SourceData.Fertiliser_Products_Data2(), FertiliserProducts[[#Headers],[Company]],31)</f>
        <v/>
      </c>
      <c r="O138" s="170" t="str" cm="1">
        <f t="array" ref="O138">Common_InputFunctions.Utility_DisplayArrayInTable(Fertiliser_SourceData.Fertiliser_Products_Data2(), FertiliserProducts[[#Headers],[Company]],31)</f>
        <v>Urea-ammonium nitrate (UAN)</v>
      </c>
      <c r="P138" s="170" cm="1">
        <f t="array" ref="P138">Common_InputFunctions.Utility_DisplayArrayInTable(Fertiliser_SourceData.Fertiliser_Products_Data2(), FertiliserProducts[[#Headers],[Company]],31)</f>
        <v>1</v>
      </c>
      <c r="Q138" s="170" t="str" cm="1">
        <f t="array" ref="Q138">Common_InputFunctions.Utility_DisplayArrayInTable(Fertiliser_SourceData.Fertiliser_Products_Data2(), FertiliserProducts[[#Headers],[Company]],31)</f>
        <v/>
      </c>
      <c r="R138" s="170" t="str" cm="1">
        <f t="array" ref="R138">Common_InputFunctions.Utility_DisplayArrayInTable(Fertiliser_SourceData.Fertiliser_Products_Data2(), FertiliserProducts[[#Headers],[Company]],31)</f>
        <v/>
      </c>
      <c r="S138" s="170" t="str" cm="1">
        <f t="array" ref="S138">Common_InputFunctions.Utility_DisplayArrayInTable(Fertiliser_SourceData.Fertiliser_Products_Data2(), FertiliserProducts[[#Headers],[Company]],31)</f>
        <v/>
      </c>
      <c r="T138" s="170" t="str" cm="1">
        <f t="array" ref="T138">Common_InputFunctions.Utility_DisplayArrayInTable(Fertiliser_SourceData.Fertiliser_Products_Data2(), FertiliserProducts[[#Headers],[Company]],31)</f>
        <v/>
      </c>
      <c r="U138" s="170" t="str" cm="1">
        <f t="array" ref="U138">Common_InputFunctions.Utility_DisplayArrayInTable(Fertiliser_SourceData.Fertiliser_Products_Data2(), FertiliserProducts[[#Headers],[Company]],31)</f>
        <v/>
      </c>
      <c r="V138" s="170" t="str" cm="1">
        <f t="array" ref="V138">Common_InputFunctions.Utility_DisplayArrayInTable(Fertiliser_SourceData.Fertiliser_Products_Data2(), FertiliserProducts[[#Headers],[Company]],31)</f>
        <v/>
      </c>
      <c r="W138" s="170" t="str" cm="1">
        <f t="array" ref="W138">Common_InputFunctions.Utility_DisplayArrayInTable(Fertiliser_SourceData.Fertiliser_Products_Data2(), FertiliserProducts[[#Headers],[Company]],31)</f>
        <v/>
      </c>
      <c r="X138" s="170" t="str" cm="1">
        <f t="array" ref="X138">Common_InputFunctions.Utility_DisplayArrayInTable(Fertiliser_SourceData.Fertiliser_Products_Data2(), FertiliserProducts[[#Headers],[Company]],31)</f>
        <v/>
      </c>
      <c r="Y138" s="170" t="str" cm="1">
        <f t="array" ref="Y138">Common_InputFunctions.Utility_DisplayArrayInTable(Fertiliser_SourceData.Fertiliser_Products_Data2(), FertiliserProducts[[#Headers],[Company]],31)</f>
        <v/>
      </c>
      <c r="Z138" s="170" t="str" cm="1">
        <f t="array" ref="Z138">Common_InputFunctions.Utility_DisplayArrayInTable(Fertiliser_SourceData.Fertiliser_Products_Data2(), FertiliserProducts[[#Headers],[Company]],31)</f>
        <v/>
      </c>
      <c r="AA138" s="170" t="str" cm="1">
        <f t="array" ref="AA138">Common_InputFunctions.Utility_DisplayArrayInTable(Fertiliser_SourceData.Fertiliser_Products_Data2(), FertiliserProducts[[#Headers],[Company]],31)</f>
        <v/>
      </c>
      <c r="AB138" s="170" t="str" cm="1">
        <f t="array" ref="AB138">Common_InputFunctions.Utility_DisplayArrayInTable(Fertiliser_SourceData.Fertiliser_Products_Data2(), FertiliserProducts[[#Headers],[Company]],31)</f>
        <v/>
      </c>
      <c r="AC138" s="170" t="str" cm="1">
        <f t="array" ref="AC138">Common_InputFunctions.Utility_DisplayArrayInTable(Fertiliser_SourceData.Fertiliser_Products_Data2(), FertiliserProducts[[#Headers],[Company]],31)</f>
        <v/>
      </c>
      <c r="AD138" s="170" t="str" cm="1">
        <f t="array" ref="AD138">Common_InputFunctions.Utility_DisplayArrayInTable(Fertiliser_SourceData.Fertiliser_Products_Data2(), FertiliserProducts[[#Headers],[Company]],31)</f>
        <v/>
      </c>
      <c r="AE138" s="170" t="str" cm="1">
        <f t="array" ref="AE138">Common_InputFunctions.Utility_DisplayArrayInTable(Fertiliser_SourceData.Fertiliser_Products_Data2(), FertiliserProducts[[#Headers],[Company]],31)</f>
        <v/>
      </c>
      <c r="AF138" s="170" t="str" cm="1">
        <f t="array" ref="AF138">Common_InputFunctions.Utility_DisplayArrayInTable(Fertiliser_SourceData.Fertiliser_Products_Data2(), FertiliserProducts[[#Headers],[Company]],31)</f>
        <v/>
      </c>
      <c r="AG138" s="170" t="str" cm="1">
        <f t="array" ref="AG138">Common_InputFunctions.Utility_DisplayArrayInTable(Fertiliser_SourceData.Fertiliser_Products_Data2(), FertiliserProducts[[#Headers],[Company]],31)</f>
        <v/>
      </c>
      <c r="AH138" s="170" t="str" cm="1">
        <f t="array" ref="AH138">Common_InputFunctions.Utility_DisplayArrayInTable(Fertiliser_SourceData.Fertiliser_Products_Data2(), FertiliserProducts[[#Headers],[Company]],31)</f>
        <v/>
      </c>
      <c r="AK138" s="1"/>
      <c r="AL138" s="1"/>
      <c r="AM138" s="1"/>
    </row>
    <row r="139" spans="4:39" ht="20.100000000000001" customHeight="1" x14ac:dyDescent="0.2">
      <c r="D139" s="170" t="str" cm="1">
        <f t="array" ref="D139">Common_InputFunctions.Utility_DisplayArrayInTable(Fertiliser_SourceData.Fertiliser_Products_Data2(), FertiliserProducts[[#Headers],[Company]],31)</f>
        <v>Risso-Chemical</v>
      </c>
      <c r="E139" s="170" t="str" cm="1">
        <f t="array" ref="E139">Common_InputFunctions.Utility_DisplayArrayInTable(Fertiliser_SourceData.Fertiliser_Products_Data2(), FertiliserProducts[[#Headers],[Company]],31)</f>
        <v>Polypeptide Urea</v>
      </c>
      <c r="F139" s="170" t="str" cm="1">
        <f t="array" ref="F139">Common_InputFunctions.Utility_DisplayArrayInTable(Fertiliser_SourceData.Fertiliser_Products_Data2(), FertiliserProducts[[#Headers],[Company]],31)</f>
        <v>kg</v>
      </c>
      <c r="G139" s="170" cm="1">
        <f t="array" ref="G139">Common_InputFunctions.Utility_DisplayArrayInTable(Fertiliser_SourceData.Fertiliser_Products_Data2(), FertiliserProducts[[#Headers],[Company]],31)</f>
        <v>1</v>
      </c>
      <c r="H139" s="170" t="str" cm="1">
        <f t="array" ref="H139">Common_InputFunctions.Utility_DisplayArrayInTable(Fertiliser_SourceData.Fertiliser_Products_Data2(), FertiliserProducts[[#Headers],[Company]],31)</f>
        <v/>
      </c>
      <c r="I139" s="170" t="str" cm="1">
        <f t="array" ref="I139">Common_InputFunctions.Utility_DisplayArrayInTable(Fertiliser_SourceData.Fertiliser_Products_Data2(), FertiliserProducts[[#Headers],[Company]],31)</f>
        <v>China</v>
      </c>
      <c r="J139" s="170" t="str" cm="1">
        <f t="array" ref="J139">Common_InputFunctions.Utility_DisplayArrayInTable(Fertiliser_SourceData.Fertiliser_Products_Data2(), FertiliserProducts[[#Headers],[Company]],31)</f>
        <v/>
      </c>
      <c r="K139" s="170" cm="1">
        <f t="array" ref="K139">Common_InputFunctions.Utility_DisplayArrayInTable(Fertiliser_SourceData.Fertiliser_Products_Data2(), FertiliserProducts[[#Headers],[Company]],31)</f>
        <v>46</v>
      </c>
      <c r="L139" s="170" t="str" cm="1">
        <f t="array" ref="L139">Common_InputFunctions.Utility_DisplayArrayInTable(Fertiliser_SourceData.Fertiliser_Products_Data2(), FertiliserProducts[[#Headers],[Company]],31)</f>
        <v/>
      </c>
      <c r="M139" s="170" t="str" cm="1">
        <f t="array" ref="M139">Common_InputFunctions.Utility_DisplayArrayInTable(Fertiliser_SourceData.Fertiliser_Products_Data2(), FertiliserProducts[[#Headers],[Company]],31)</f>
        <v/>
      </c>
      <c r="N139" s="170" t="str" cm="1">
        <f t="array" ref="N139">Common_InputFunctions.Utility_DisplayArrayInTable(Fertiliser_SourceData.Fertiliser_Products_Data2(), FertiliserProducts[[#Headers],[Company]],31)</f>
        <v/>
      </c>
      <c r="O139" s="170" t="str" cm="1">
        <f t="array" ref="O139">Common_InputFunctions.Utility_DisplayArrayInTable(Fertiliser_SourceData.Fertiliser_Products_Data2(), FertiliserProducts[[#Headers],[Company]],31)</f>
        <v>Urea</v>
      </c>
      <c r="P139" s="170" cm="1">
        <f t="array" ref="P139">Common_InputFunctions.Utility_DisplayArrayInTable(Fertiliser_SourceData.Fertiliser_Products_Data2(), FertiliserProducts[[#Headers],[Company]],31)</f>
        <v>1</v>
      </c>
      <c r="Q139" s="170" t="str" cm="1">
        <f t="array" ref="Q139">Common_InputFunctions.Utility_DisplayArrayInTable(Fertiliser_SourceData.Fertiliser_Products_Data2(), FertiliserProducts[[#Headers],[Company]],31)</f>
        <v>Polypeptide (amino acids)</v>
      </c>
      <c r="R139" s="170" cm="1">
        <f t="array" ref="R139">Common_InputFunctions.Utility_DisplayArrayInTable(Fertiliser_SourceData.Fertiliser_Products_Data2(), FertiliserProducts[[#Headers],[Company]],31)</f>
        <v>0</v>
      </c>
      <c r="S139" s="170" t="str" cm="1">
        <f t="array" ref="S139">Common_InputFunctions.Utility_DisplayArrayInTable(Fertiliser_SourceData.Fertiliser_Products_Data2(), FertiliserProducts[[#Headers],[Company]],31)</f>
        <v/>
      </c>
      <c r="T139" s="170" t="str" cm="1">
        <f t="array" ref="T139">Common_InputFunctions.Utility_DisplayArrayInTable(Fertiliser_SourceData.Fertiliser_Products_Data2(), FertiliserProducts[[#Headers],[Company]],31)</f>
        <v/>
      </c>
      <c r="U139" s="170" t="str" cm="1">
        <f t="array" ref="U139">Common_InputFunctions.Utility_DisplayArrayInTable(Fertiliser_SourceData.Fertiliser_Products_Data2(), FertiliserProducts[[#Headers],[Company]],31)</f>
        <v/>
      </c>
      <c r="V139" s="170" t="str" cm="1">
        <f t="array" ref="V139">Common_InputFunctions.Utility_DisplayArrayInTable(Fertiliser_SourceData.Fertiliser_Products_Data2(), FertiliserProducts[[#Headers],[Company]],31)</f>
        <v/>
      </c>
      <c r="W139" s="170" t="str" cm="1">
        <f t="array" ref="W139">Common_InputFunctions.Utility_DisplayArrayInTable(Fertiliser_SourceData.Fertiliser_Products_Data2(), FertiliserProducts[[#Headers],[Company]],31)</f>
        <v/>
      </c>
      <c r="X139" s="170" t="str" cm="1">
        <f t="array" ref="X139">Common_InputFunctions.Utility_DisplayArrayInTable(Fertiliser_SourceData.Fertiliser_Products_Data2(), FertiliserProducts[[#Headers],[Company]],31)</f>
        <v/>
      </c>
      <c r="Y139" s="170" t="str" cm="1">
        <f t="array" ref="Y139">Common_InputFunctions.Utility_DisplayArrayInTable(Fertiliser_SourceData.Fertiliser_Products_Data2(), FertiliserProducts[[#Headers],[Company]],31)</f>
        <v/>
      </c>
      <c r="Z139" s="170" t="str" cm="1">
        <f t="array" ref="Z139">Common_InputFunctions.Utility_DisplayArrayInTable(Fertiliser_SourceData.Fertiliser_Products_Data2(), FertiliserProducts[[#Headers],[Company]],31)</f>
        <v/>
      </c>
      <c r="AA139" s="170" t="str" cm="1">
        <f t="array" ref="AA139">Common_InputFunctions.Utility_DisplayArrayInTable(Fertiliser_SourceData.Fertiliser_Products_Data2(), FertiliserProducts[[#Headers],[Company]],31)</f>
        <v/>
      </c>
      <c r="AB139" s="170" t="str" cm="1">
        <f t="array" ref="AB139">Common_InputFunctions.Utility_DisplayArrayInTable(Fertiliser_SourceData.Fertiliser_Products_Data2(), FertiliserProducts[[#Headers],[Company]],31)</f>
        <v/>
      </c>
      <c r="AC139" s="170" t="str" cm="1">
        <f t="array" ref="AC139">Common_InputFunctions.Utility_DisplayArrayInTable(Fertiliser_SourceData.Fertiliser_Products_Data2(), FertiliserProducts[[#Headers],[Company]],31)</f>
        <v/>
      </c>
      <c r="AD139" s="170" t="str" cm="1">
        <f t="array" ref="AD139">Common_InputFunctions.Utility_DisplayArrayInTable(Fertiliser_SourceData.Fertiliser_Products_Data2(), FertiliserProducts[[#Headers],[Company]],31)</f>
        <v/>
      </c>
      <c r="AE139" s="170" t="str" cm="1">
        <f t="array" ref="AE139">Common_InputFunctions.Utility_DisplayArrayInTable(Fertiliser_SourceData.Fertiliser_Products_Data2(), FertiliserProducts[[#Headers],[Company]],31)</f>
        <v/>
      </c>
      <c r="AF139" s="170" t="str" cm="1">
        <f t="array" ref="AF139">Common_InputFunctions.Utility_DisplayArrayInTable(Fertiliser_SourceData.Fertiliser_Products_Data2(), FertiliserProducts[[#Headers],[Company]],31)</f>
        <v/>
      </c>
      <c r="AG139" s="170" t="str" cm="1">
        <f t="array" ref="AG139">Common_InputFunctions.Utility_DisplayArrayInTable(Fertiliser_SourceData.Fertiliser_Products_Data2(), FertiliserProducts[[#Headers],[Company]],31)</f>
        <v/>
      </c>
      <c r="AH139" s="170" t="str" cm="1">
        <f t="array" ref="AH139">Common_InputFunctions.Utility_DisplayArrayInTable(Fertiliser_SourceData.Fertiliser_Products_Data2(), FertiliserProducts[[#Headers],[Company]],31)</f>
        <v/>
      </c>
      <c r="AK139" s="1"/>
      <c r="AL139" s="1"/>
      <c r="AM139" s="1"/>
    </row>
    <row r="140" spans="4:39" ht="20.100000000000001" customHeight="1" x14ac:dyDescent="0.2">
      <c r="D140" s="170" t="str" cm="1">
        <f t="array" ref="D140">Common_InputFunctions.Utility_DisplayArrayInTable(Fertiliser_SourceData.Fertiliser_Products_Data2(), FertiliserProducts[[#Headers],[Company]],31)</f>
        <v>Yara Australia</v>
      </c>
      <c r="E140" s="170" t="str" cm="1">
        <f t="array" ref="E140">Common_InputFunctions.Utility_DisplayArrayInTable(Fertiliser_SourceData.Fertiliser_Products_Data2(), FertiliserProducts[[#Headers],[Company]],31)</f>
        <v>YaraTera CALCINIT</v>
      </c>
      <c r="F140" s="170" t="str" cm="1">
        <f t="array" ref="F140">Common_InputFunctions.Utility_DisplayArrayInTable(Fertiliser_SourceData.Fertiliser_Products_Data2(), FertiliserProducts[[#Headers],[Company]],31)</f>
        <v>kg</v>
      </c>
      <c r="G140" s="170" cm="1">
        <f t="array" ref="G140">Common_InputFunctions.Utility_DisplayArrayInTable(Fertiliser_SourceData.Fertiliser_Products_Data2(), FertiliserProducts[[#Headers],[Company]],31)</f>
        <v>1</v>
      </c>
      <c r="H140" s="170" t="str" cm="1">
        <f t="array" ref="H140">Common_InputFunctions.Utility_DisplayArrayInTable(Fertiliser_SourceData.Fertiliser_Products_Data2(), FertiliserProducts[[#Headers],[Company]],31)</f>
        <v/>
      </c>
      <c r="I140" s="170" t="str" cm="1">
        <f t="array" ref="I140">Common_InputFunctions.Utility_DisplayArrayInTable(Fertiliser_SourceData.Fertiliser_Products_Data2(), FertiliserProducts[[#Headers],[Company]],31)</f>
        <v/>
      </c>
      <c r="J140" s="170" t="str" cm="1">
        <f t="array" ref="J140">Common_InputFunctions.Utility_DisplayArrayInTable(Fertiliser_SourceData.Fertiliser_Products_Data2(), FertiliserProducts[[#Headers],[Company]],31)</f>
        <v/>
      </c>
      <c r="K140" s="170" cm="1">
        <f t="array" ref="K140">Common_InputFunctions.Utility_DisplayArrayInTable(Fertiliser_SourceData.Fertiliser_Products_Data2(), FertiliserProducts[[#Headers],[Company]],31)</f>
        <v>15.5</v>
      </c>
      <c r="L140" s="170" t="str" cm="1">
        <f t="array" ref="L140">Common_InputFunctions.Utility_DisplayArrayInTable(Fertiliser_SourceData.Fertiliser_Products_Data2(), FertiliserProducts[[#Headers],[Company]],31)</f>
        <v/>
      </c>
      <c r="M140" s="170" t="str" cm="1">
        <f t="array" ref="M140">Common_InputFunctions.Utility_DisplayArrayInTable(Fertiliser_SourceData.Fertiliser_Products_Data2(), FertiliserProducts[[#Headers],[Company]],31)</f>
        <v/>
      </c>
      <c r="N140" s="170" t="str" cm="1">
        <f t="array" ref="N140">Common_InputFunctions.Utility_DisplayArrayInTable(Fertiliser_SourceData.Fertiliser_Products_Data2(), FertiliserProducts[[#Headers],[Company]],31)</f>
        <v/>
      </c>
      <c r="O140" s="170" t="str" cm="1">
        <f t="array" ref="O140">Common_InputFunctions.Utility_DisplayArrayInTable(Fertiliser_SourceData.Fertiliser_Products_Data2(), FertiliserProducts[[#Headers],[Company]],31)</f>
        <v>Calcium nitrate</v>
      </c>
      <c r="P140" s="170" cm="1">
        <f t="array" ref="P140">Common_InputFunctions.Utility_DisplayArrayInTable(Fertiliser_SourceData.Fertiliser_Products_Data2(), FertiliserProducts[[#Headers],[Company]],31)</f>
        <v>1</v>
      </c>
      <c r="Q140" s="170" t="str" cm="1">
        <f t="array" ref="Q140">Common_InputFunctions.Utility_DisplayArrayInTable(Fertiliser_SourceData.Fertiliser_Products_Data2(), FertiliserProducts[[#Headers],[Company]],31)</f>
        <v/>
      </c>
      <c r="R140" s="170" t="str" cm="1">
        <f t="array" ref="R140">Common_InputFunctions.Utility_DisplayArrayInTable(Fertiliser_SourceData.Fertiliser_Products_Data2(), FertiliserProducts[[#Headers],[Company]],31)</f>
        <v/>
      </c>
      <c r="S140" s="170" t="str" cm="1">
        <f t="array" ref="S140">Common_InputFunctions.Utility_DisplayArrayInTable(Fertiliser_SourceData.Fertiliser_Products_Data2(), FertiliserProducts[[#Headers],[Company]],31)</f>
        <v/>
      </c>
      <c r="T140" s="170" t="str" cm="1">
        <f t="array" ref="T140">Common_InputFunctions.Utility_DisplayArrayInTable(Fertiliser_SourceData.Fertiliser_Products_Data2(), FertiliserProducts[[#Headers],[Company]],31)</f>
        <v/>
      </c>
      <c r="U140" s="170" t="str" cm="1">
        <f t="array" ref="U140">Common_InputFunctions.Utility_DisplayArrayInTable(Fertiliser_SourceData.Fertiliser_Products_Data2(), FertiliserProducts[[#Headers],[Company]],31)</f>
        <v/>
      </c>
      <c r="V140" s="170" t="str" cm="1">
        <f t="array" ref="V140">Common_InputFunctions.Utility_DisplayArrayInTable(Fertiliser_SourceData.Fertiliser_Products_Data2(), FertiliserProducts[[#Headers],[Company]],31)</f>
        <v/>
      </c>
      <c r="W140" s="170" t="str" cm="1">
        <f t="array" ref="W140">Common_InputFunctions.Utility_DisplayArrayInTable(Fertiliser_SourceData.Fertiliser_Products_Data2(), FertiliserProducts[[#Headers],[Company]],31)</f>
        <v/>
      </c>
      <c r="X140" s="170" t="str" cm="1">
        <f t="array" ref="X140">Common_InputFunctions.Utility_DisplayArrayInTable(Fertiliser_SourceData.Fertiliser_Products_Data2(), FertiliserProducts[[#Headers],[Company]],31)</f>
        <v/>
      </c>
      <c r="Y140" s="170" t="str" cm="1">
        <f t="array" ref="Y140">Common_InputFunctions.Utility_DisplayArrayInTable(Fertiliser_SourceData.Fertiliser_Products_Data2(), FertiliserProducts[[#Headers],[Company]],31)</f>
        <v/>
      </c>
      <c r="Z140" s="170" t="str" cm="1">
        <f t="array" ref="Z140">Common_InputFunctions.Utility_DisplayArrayInTable(Fertiliser_SourceData.Fertiliser_Products_Data2(), FertiliserProducts[[#Headers],[Company]],31)</f>
        <v/>
      </c>
      <c r="AA140" s="170" t="str" cm="1">
        <f t="array" ref="AA140">Common_InputFunctions.Utility_DisplayArrayInTable(Fertiliser_SourceData.Fertiliser_Products_Data2(), FertiliserProducts[[#Headers],[Company]],31)</f>
        <v/>
      </c>
      <c r="AB140" s="170" t="str" cm="1">
        <f t="array" ref="AB140">Common_InputFunctions.Utility_DisplayArrayInTable(Fertiliser_SourceData.Fertiliser_Products_Data2(), FertiliserProducts[[#Headers],[Company]],31)</f>
        <v/>
      </c>
      <c r="AC140" s="170" t="str" cm="1">
        <f t="array" ref="AC140">Common_InputFunctions.Utility_DisplayArrayInTable(Fertiliser_SourceData.Fertiliser_Products_Data2(), FertiliserProducts[[#Headers],[Company]],31)</f>
        <v/>
      </c>
      <c r="AD140" s="170" t="str" cm="1">
        <f t="array" ref="AD140">Common_InputFunctions.Utility_DisplayArrayInTable(Fertiliser_SourceData.Fertiliser_Products_Data2(), FertiliserProducts[[#Headers],[Company]],31)</f>
        <v/>
      </c>
      <c r="AE140" s="170" t="str" cm="1">
        <f t="array" ref="AE140">Common_InputFunctions.Utility_DisplayArrayInTable(Fertiliser_SourceData.Fertiliser_Products_Data2(), FertiliserProducts[[#Headers],[Company]],31)</f>
        <v/>
      </c>
      <c r="AF140" s="170" t="str" cm="1">
        <f t="array" ref="AF140">Common_InputFunctions.Utility_DisplayArrayInTable(Fertiliser_SourceData.Fertiliser_Products_Data2(), FertiliserProducts[[#Headers],[Company]],31)</f>
        <v/>
      </c>
      <c r="AG140" s="170" t="str" cm="1">
        <f t="array" ref="AG140">Common_InputFunctions.Utility_DisplayArrayInTable(Fertiliser_SourceData.Fertiliser_Products_Data2(), FertiliserProducts[[#Headers],[Company]],31)</f>
        <v/>
      </c>
      <c r="AH140" s="170" t="str" cm="1">
        <f t="array" ref="AH140">Common_InputFunctions.Utility_DisplayArrayInTable(Fertiliser_SourceData.Fertiliser_Products_Data2(), FertiliserProducts[[#Headers],[Company]],31)</f>
        <v/>
      </c>
      <c r="AK140" s="1"/>
      <c r="AL140" s="1"/>
      <c r="AM140" s="1"/>
    </row>
    <row r="141" spans="4:39" ht="20.100000000000001" customHeight="1" x14ac:dyDescent="0.2">
      <c r="D141" s="170" t="str" cm="1">
        <f t="array" ref="D141">Common_InputFunctions.Utility_DisplayArrayInTable(Fertiliser_SourceData.Fertiliser_Products_Data2(), FertiliserProducts[[#Headers],[Company]],31)</f>
        <v>Yara Australia</v>
      </c>
      <c r="E141" s="170" t="str" cm="1">
        <f t="array" ref="E141">Common_InputFunctions.Utility_DisplayArrayInTable(Fertiliser_SourceData.Fertiliser_Products_Data2(), FertiliserProducts[[#Headers],[Company]],31)</f>
        <v>YaraLiva NITRABOR</v>
      </c>
      <c r="F141" s="170" t="str" cm="1">
        <f t="array" ref="F141">Common_InputFunctions.Utility_DisplayArrayInTable(Fertiliser_SourceData.Fertiliser_Products_Data2(), FertiliserProducts[[#Headers],[Company]],31)</f>
        <v>kg</v>
      </c>
      <c r="G141" s="170" cm="1">
        <f t="array" ref="G141">Common_InputFunctions.Utility_DisplayArrayInTable(Fertiliser_SourceData.Fertiliser_Products_Data2(), FertiliserProducts[[#Headers],[Company]],31)</f>
        <v>1</v>
      </c>
      <c r="H141" s="170" t="str" cm="1">
        <f t="array" ref="H141">Common_InputFunctions.Utility_DisplayArrayInTable(Fertiliser_SourceData.Fertiliser_Products_Data2(), FertiliserProducts[[#Headers],[Company]],31)</f>
        <v/>
      </c>
      <c r="I141" s="170" t="str" cm="1">
        <f t="array" ref="I141">Common_InputFunctions.Utility_DisplayArrayInTable(Fertiliser_SourceData.Fertiliser_Products_Data2(), FertiliserProducts[[#Headers],[Company]],31)</f>
        <v/>
      </c>
      <c r="J141" s="170" t="str" cm="1">
        <f t="array" ref="J141">Common_InputFunctions.Utility_DisplayArrayInTable(Fertiliser_SourceData.Fertiliser_Products_Data2(), FertiliserProducts[[#Headers],[Company]],31)</f>
        <v/>
      </c>
      <c r="K141" s="170" cm="1">
        <f t="array" ref="K141">Common_InputFunctions.Utility_DisplayArrayInTable(Fertiliser_SourceData.Fertiliser_Products_Data2(), FertiliserProducts[[#Headers],[Company]],31)</f>
        <v>15.4</v>
      </c>
      <c r="L141" s="170" t="str" cm="1">
        <f t="array" ref="L141">Common_InputFunctions.Utility_DisplayArrayInTable(Fertiliser_SourceData.Fertiliser_Products_Data2(), FertiliserProducts[[#Headers],[Company]],31)</f>
        <v/>
      </c>
      <c r="M141" s="170" t="str" cm="1">
        <f t="array" ref="M141">Common_InputFunctions.Utility_DisplayArrayInTable(Fertiliser_SourceData.Fertiliser_Products_Data2(), FertiliserProducts[[#Headers],[Company]],31)</f>
        <v/>
      </c>
      <c r="N141" s="170" t="str" cm="1">
        <f t="array" ref="N141">Common_InputFunctions.Utility_DisplayArrayInTable(Fertiliser_SourceData.Fertiliser_Products_Data2(), FertiliserProducts[[#Headers],[Company]],31)</f>
        <v/>
      </c>
      <c r="O141" s="170" t="str" cm="1">
        <f t="array" ref="O141">Common_InputFunctions.Utility_DisplayArrayInTable(Fertiliser_SourceData.Fertiliser_Products_Data2(), FertiliserProducts[[#Headers],[Company]],31)</f>
        <v>Calcium nitrate</v>
      </c>
      <c r="P141" s="170" cm="1">
        <f t="array" ref="P141">Common_InputFunctions.Utility_DisplayArrayInTable(Fertiliser_SourceData.Fertiliser_Products_Data2(), FertiliserProducts[[#Headers],[Company]],31)</f>
        <v>0.99354799999999999</v>
      </c>
      <c r="Q141" s="170" t="str" cm="1">
        <f t="array" ref="Q141">Common_InputFunctions.Utility_DisplayArrayInTable(Fertiliser_SourceData.Fertiliser_Products_Data2(), FertiliserProducts[[#Headers],[Company]],31)</f>
        <v>Boron</v>
      </c>
      <c r="R141" s="170" cm="1">
        <f t="array" ref="R141">Common_InputFunctions.Utility_DisplayArrayInTable(Fertiliser_SourceData.Fertiliser_Products_Data2(), FertiliserProducts[[#Headers],[Company]],31)</f>
        <v>3.0000000000000001E-3</v>
      </c>
      <c r="S141" s="170" t="str" cm="1">
        <f t="array" ref="S141">Common_InputFunctions.Utility_DisplayArrayInTable(Fertiliser_SourceData.Fertiliser_Products_Data2(), FertiliserProducts[[#Headers],[Company]],31)</f>
        <v/>
      </c>
      <c r="T141" s="170" t="str" cm="1">
        <f t="array" ref="T141">Common_InputFunctions.Utility_DisplayArrayInTable(Fertiliser_SourceData.Fertiliser_Products_Data2(), FertiliserProducts[[#Headers],[Company]],31)</f>
        <v/>
      </c>
      <c r="U141" s="170" t="str" cm="1">
        <f t="array" ref="U141">Common_InputFunctions.Utility_DisplayArrayInTable(Fertiliser_SourceData.Fertiliser_Products_Data2(), FertiliserProducts[[#Headers],[Company]],31)</f>
        <v/>
      </c>
      <c r="V141" s="170" t="str" cm="1">
        <f t="array" ref="V141">Common_InputFunctions.Utility_DisplayArrayInTable(Fertiliser_SourceData.Fertiliser_Products_Data2(), FertiliserProducts[[#Headers],[Company]],31)</f>
        <v/>
      </c>
      <c r="W141" s="170" t="str" cm="1">
        <f t="array" ref="W141">Common_InputFunctions.Utility_DisplayArrayInTable(Fertiliser_SourceData.Fertiliser_Products_Data2(), FertiliserProducts[[#Headers],[Company]],31)</f>
        <v/>
      </c>
      <c r="X141" s="170" t="str" cm="1">
        <f t="array" ref="X141">Common_InputFunctions.Utility_DisplayArrayInTable(Fertiliser_SourceData.Fertiliser_Products_Data2(), FertiliserProducts[[#Headers],[Company]],31)</f>
        <v/>
      </c>
      <c r="Y141" s="170" t="str" cm="1">
        <f t="array" ref="Y141">Common_InputFunctions.Utility_DisplayArrayInTable(Fertiliser_SourceData.Fertiliser_Products_Data2(), FertiliserProducts[[#Headers],[Company]],31)</f>
        <v/>
      </c>
      <c r="Z141" s="170" t="str" cm="1">
        <f t="array" ref="Z141">Common_InputFunctions.Utility_DisplayArrayInTable(Fertiliser_SourceData.Fertiliser_Products_Data2(), FertiliserProducts[[#Headers],[Company]],31)</f>
        <v/>
      </c>
      <c r="AA141" s="170" t="str" cm="1">
        <f t="array" ref="AA141">Common_InputFunctions.Utility_DisplayArrayInTable(Fertiliser_SourceData.Fertiliser_Products_Data2(), FertiliserProducts[[#Headers],[Company]],31)</f>
        <v/>
      </c>
      <c r="AB141" s="170" t="str" cm="1">
        <f t="array" ref="AB141">Common_InputFunctions.Utility_DisplayArrayInTable(Fertiliser_SourceData.Fertiliser_Products_Data2(), FertiliserProducts[[#Headers],[Company]],31)</f>
        <v/>
      </c>
      <c r="AC141" s="170" t="str" cm="1">
        <f t="array" ref="AC141">Common_InputFunctions.Utility_DisplayArrayInTable(Fertiliser_SourceData.Fertiliser_Products_Data2(), FertiliserProducts[[#Headers],[Company]],31)</f>
        <v/>
      </c>
      <c r="AD141" s="170" t="str" cm="1">
        <f t="array" ref="AD141">Common_InputFunctions.Utility_DisplayArrayInTable(Fertiliser_SourceData.Fertiliser_Products_Data2(), FertiliserProducts[[#Headers],[Company]],31)</f>
        <v/>
      </c>
      <c r="AE141" s="170" t="str" cm="1">
        <f t="array" ref="AE141">Common_InputFunctions.Utility_DisplayArrayInTable(Fertiliser_SourceData.Fertiliser_Products_Data2(), FertiliserProducts[[#Headers],[Company]],31)</f>
        <v/>
      </c>
      <c r="AF141" s="170" t="str" cm="1">
        <f t="array" ref="AF141">Common_InputFunctions.Utility_DisplayArrayInTable(Fertiliser_SourceData.Fertiliser_Products_Data2(), FertiliserProducts[[#Headers],[Company]],31)</f>
        <v/>
      </c>
      <c r="AG141" s="170" t="str" cm="1">
        <f t="array" ref="AG141">Common_InputFunctions.Utility_DisplayArrayInTable(Fertiliser_SourceData.Fertiliser_Products_Data2(), FertiliserProducts[[#Headers],[Company]],31)</f>
        <v/>
      </c>
      <c r="AH141" s="170" t="str" cm="1">
        <f t="array" ref="AH141">Common_InputFunctions.Utility_DisplayArrayInTable(Fertiliser_SourceData.Fertiliser_Products_Data2(), FertiliserProducts[[#Headers],[Company]],31)</f>
        <v/>
      </c>
      <c r="AK141" s="1"/>
      <c r="AL141" s="1"/>
      <c r="AM141" s="1"/>
    </row>
    <row r="142" spans="4:39" ht="20.100000000000001" customHeight="1" x14ac:dyDescent="0.2">
      <c r="D142" s="170" t="str" cm="1">
        <f t="array" ref="D142">Common_InputFunctions.Utility_DisplayArrayInTable(Fertiliser_SourceData.Fertiliser_Products_Data2(), FertiliserProducts[[#Headers],[Company]],31)</f>
        <v>Yara Australia</v>
      </c>
      <c r="E142" s="170" t="str" cm="1">
        <f t="array" ref="E142">Common_InputFunctions.Utility_DisplayArrayInTable(Fertiliser_SourceData.Fertiliser_Products_Data2(), FertiliserProducts[[#Headers],[Company]],31)</f>
        <v>YaraMila COMPLEX</v>
      </c>
      <c r="F142" s="170" t="str" cm="1">
        <f t="array" ref="F142">Common_InputFunctions.Utility_DisplayArrayInTable(Fertiliser_SourceData.Fertiliser_Products_Data2(), FertiliserProducts[[#Headers],[Company]],31)</f>
        <v>kg</v>
      </c>
      <c r="G142" s="170" cm="1">
        <f t="array" ref="G142">Common_InputFunctions.Utility_DisplayArrayInTable(Fertiliser_SourceData.Fertiliser_Products_Data2(), FertiliserProducts[[#Headers],[Company]],31)</f>
        <v>1</v>
      </c>
      <c r="H142" s="170" t="str" cm="1">
        <f t="array" ref="H142">Common_InputFunctions.Utility_DisplayArrayInTable(Fertiliser_SourceData.Fertiliser_Products_Data2(), FertiliserProducts[[#Headers],[Company]],31)</f>
        <v/>
      </c>
      <c r="I142" s="170" t="str" cm="1">
        <f t="array" ref="I142">Common_InputFunctions.Utility_DisplayArrayInTable(Fertiliser_SourceData.Fertiliser_Products_Data2(), FertiliserProducts[[#Headers],[Company]],31)</f>
        <v/>
      </c>
      <c r="J142" s="170" t="str" cm="1">
        <f t="array" ref="J142">Common_InputFunctions.Utility_DisplayArrayInTable(Fertiliser_SourceData.Fertiliser_Products_Data2(), FertiliserProducts[[#Headers],[Company]],31)</f>
        <v/>
      </c>
      <c r="K142" s="170" cm="1">
        <f t="array" ref="K142">Common_InputFunctions.Utility_DisplayArrayInTable(Fertiliser_SourceData.Fertiliser_Products_Data2(), FertiliserProducts[[#Headers],[Company]],31)</f>
        <v>12</v>
      </c>
      <c r="L142" s="170" cm="1">
        <f t="array" ref="L142">Common_InputFunctions.Utility_DisplayArrayInTable(Fertiliser_SourceData.Fertiliser_Products_Data2(), FertiliserProducts[[#Headers],[Company]],31)</f>
        <v>5</v>
      </c>
      <c r="M142" s="170" cm="1">
        <f t="array" ref="M142">Common_InputFunctions.Utility_DisplayArrayInTable(Fertiliser_SourceData.Fertiliser_Products_Data2(), FertiliserProducts[[#Headers],[Company]],31)</f>
        <v>15</v>
      </c>
      <c r="N142" s="170" cm="1">
        <f t="array" ref="N142">Common_InputFunctions.Utility_DisplayArrayInTable(Fertiliser_SourceData.Fertiliser_Products_Data2(), FertiliserProducts[[#Headers],[Company]],31)</f>
        <v>8</v>
      </c>
      <c r="O142" s="170" t="str" cm="1">
        <f t="array" ref="O142">Common_InputFunctions.Utility_DisplayArrayInTable(Fertiliser_SourceData.Fertiliser_Products_Data2(), FertiliserProducts[[#Headers],[Company]],31)</f>
        <v>Nitrogen - Nitrate</v>
      </c>
      <c r="P142" s="170" cm="1">
        <f t="array" ref="P142">Common_InputFunctions.Utility_DisplayArrayInTable(Fertiliser_SourceData.Fertiliser_Products_Data2(), FertiliserProducts[[#Headers],[Company]],31)</f>
        <v>0.05</v>
      </c>
      <c r="Q142" s="170" t="str" cm="1">
        <f t="array" ref="Q142">Common_InputFunctions.Utility_DisplayArrayInTable(Fertiliser_SourceData.Fertiliser_Products_Data2(), FertiliserProducts[[#Headers],[Company]],31)</f>
        <v>Nitrogen - Ammoniacal</v>
      </c>
      <c r="R142" s="170" cm="1">
        <f t="array" ref="R142">Common_InputFunctions.Utility_DisplayArrayInTable(Fertiliser_SourceData.Fertiliser_Products_Data2(), FertiliserProducts[[#Headers],[Company]],31)</f>
        <v>7.0000000000000007E-2</v>
      </c>
      <c r="S142" s="170" t="str" cm="1">
        <f t="array" ref="S142">Common_InputFunctions.Utility_DisplayArrayInTable(Fertiliser_SourceData.Fertiliser_Products_Data2(), FertiliserProducts[[#Headers],[Company]],31)</f>
        <v>Phosphorus - Generic</v>
      </c>
      <c r="T142" s="170" cm="1">
        <f t="array" ref="T142">Common_InputFunctions.Utility_DisplayArrayInTable(Fertiliser_SourceData.Fertiliser_Products_Data2(), FertiliserProducts[[#Headers],[Company]],31)</f>
        <v>0.05</v>
      </c>
      <c r="U142" s="170" t="str" cm="1">
        <f t="array" ref="U142">Common_InputFunctions.Utility_DisplayArrayInTable(Fertiliser_SourceData.Fertiliser_Products_Data2(), FertiliserProducts[[#Headers],[Company]],31)</f>
        <v>Potassium - Generic</v>
      </c>
      <c r="V142" s="170" cm="1">
        <f t="array" ref="V142">Common_InputFunctions.Utility_DisplayArrayInTable(Fertiliser_SourceData.Fertiliser_Products_Data2(), FertiliserProducts[[#Headers],[Company]],31)</f>
        <v>0.15</v>
      </c>
      <c r="W142" s="170" t="str" cm="1">
        <f t="array" ref="W142">Common_InputFunctions.Utility_DisplayArrayInTable(Fertiliser_SourceData.Fertiliser_Products_Data2(), FertiliserProducts[[#Headers],[Company]],31)</f>
        <v>Sulfur - Generic</v>
      </c>
      <c r="X142" s="170" cm="1">
        <f t="array" ref="X142">Common_InputFunctions.Utility_DisplayArrayInTable(Fertiliser_SourceData.Fertiliser_Products_Data2(), FertiliserProducts[[#Headers],[Company]],31)</f>
        <v>0.08</v>
      </c>
      <c r="Y142" s="170" t="str" cm="1">
        <f t="array" ref="Y142">Common_InputFunctions.Utility_DisplayArrayInTable(Fertiliser_SourceData.Fertiliser_Products_Data2(), FertiliserProducts[[#Headers],[Company]],31)</f>
        <v>Magnesium</v>
      </c>
      <c r="Z142" s="170" cm="1">
        <f t="array" ref="Z142">Common_InputFunctions.Utility_DisplayArrayInTable(Fertiliser_SourceData.Fertiliser_Products_Data2(), FertiliserProducts[[#Headers],[Company]],31)</f>
        <v>1.6E-2</v>
      </c>
      <c r="AA142" s="170" t="str" cm="1">
        <f t="array" ref="AA142">Common_InputFunctions.Utility_DisplayArrayInTable(Fertiliser_SourceData.Fertiliser_Products_Data2(), FertiliserProducts[[#Headers],[Company]],31)</f>
        <v>Zinc</v>
      </c>
      <c r="AB142" s="170" cm="1">
        <f t="array" ref="AB142">Common_InputFunctions.Utility_DisplayArrayInTable(Fertiliser_SourceData.Fertiliser_Products_Data2(), FertiliserProducts[[#Headers],[Company]],31)</f>
        <v>2.0000000000000001E-4</v>
      </c>
      <c r="AC142" s="170" t="str" cm="1">
        <f t="array" ref="AC142">Common_InputFunctions.Utility_DisplayArrayInTable(Fertiliser_SourceData.Fertiliser_Products_Data2(), FertiliserProducts[[#Headers],[Company]],31)</f>
        <v>Boron</v>
      </c>
      <c r="AD142" s="170" cm="1">
        <f t="array" ref="AD142">Common_InputFunctions.Utility_DisplayArrayInTable(Fertiliser_SourceData.Fertiliser_Products_Data2(), FertiliserProducts[[#Headers],[Company]],31)</f>
        <v>1.4999999999999999E-4</v>
      </c>
      <c r="AE142" s="170" t="str" cm="1">
        <f t="array" ref="AE142">Common_InputFunctions.Utility_DisplayArrayInTable(Fertiliser_SourceData.Fertiliser_Products_Data2(), FertiliserProducts[[#Headers],[Company]],31)</f>
        <v/>
      </c>
      <c r="AF142" s="170" t="str" cm="1">
        <f t="array" ref="AF142">Common_InputFunctions.Utility_DisplayArrayInTable(Fertiliser_SourceData.Fertiliser_Products_Data2(), FertiliserProducts[[#Headers],[Company]],31)</f>
        <v/>
      </c>
      <c r="AG142" s="170" t="str" cm="1">
        <f t="array" ref="AG142">Common_InputFunctions.Utility_DisplayArrayInTable(Fertiliser_SourceData.Fertiliser_Products_Data2(), FertiliserProducts[[#Headers],[Company]],31)</f>
        <v/>
      </c>
      <c r="AH142" s="170" t="str" cm="1">
        <f t="array" ref="AH142">Common_InputFunctions.Utility_DisplayArrayInTable(Fertiliser_SourceData.Fertiliser_Products_Data2(), FertiliserProducts[[#Headers],[Company]],31)</f>
        <v/>
      </c>
      <c r="AK142" s="1"/>
      <c r="AL142" s="1"/>
      <c r="AM142" s="1"/>
    </row>
    <row r="143" spans="4:39" ht="20.100000000000001" customHeight="1" x14ac:dyDescent="0.2">
      <c r="D143" s="170" t="str" cm="1">
        <f t="array" ref="D143">Common_InputFunctions.Utility_DisplayArrayInTable(Fertiliser_SourceData.Fertiliser_Products_Data2(), FertiliserProducts[[#Headers],[Company]],31)</f>
        <v>Yara Australia</v>
      </c>
      <c r="E143" s="170" t="str" cm="1">
        <f t="array" ref="E143">Common_InputFunctions.Utility_DisplayArrayInTable(Fertiliser_SourceData.Fertiliser_Products_Data2(), FertiliserProducts[[#Headers],[Company]],31)</f>
        <v>YaraRega 9-0-30 (14)</v>
      </c>
      <c r="F143" s="170" t="str" cm="1">
        <f t="array" ref="F143">Common_InputFunctions.Utility_DisplayArrayInTable(Fertiliser_SourceData.Fertiliser_Products_Data2(), FertiliserProducts[[#Headers],[Company]],31)</f>
        <v>kg</v>
      </c>
      <c r="G143" s="170" cm="1">
        <f t="array" ref="G143">Common_InputFunctions.Utility_DisplayArrayInTable(Fertiliser_SourceData.Fertiliser_Products_Data2(), FertiliserProducts[[#Headers],[Company]],31)</f>
        <v>1</v>
      </c>
      <c r="H143" s="170" t="str" cm="1">
        <f t="array" ref="H143">Common_InputFunctions.Utility_DisplayArrayInTable(Fertiliser_SourceData.Fertiliser_Products_Data2(), FertiliserProducts[[#Headers],[Company]],31)</f>
        <v/>
      </c>
      <c r="I143" s="170" t="str" cm="1">
        <f t="array" ref="I143">Common_InputFunctions.Utility_DisplayArrayInTable(Fertiliser_SourceData.Fertiliser_Products_Data2(), FertiliserProducts[[#Headers],[Company]],31)</f>
        <v/>
      </c>
      <c r="J143" s="170" t="str" cm="1">
        <f t="array" ref="J143">Common_InputFunctions.Utility_DisplayArrayInTable(Fertiliser_SourceData.Fertiliser_Products_Data2(), FertiliserProducts[[#Headers],[Company]],31)</f>
        <v/>
      </c>
      <c r="K143" s="170" cm="1">
        <f t="array" ref="K143">Common_InputFunctions.Utility_DisplayArrayInTable(Fertiliser_SourceData.Fertiliser_Products_Data2(), FertiliserProducts[[#Headers],[Company]],31)</f>
        <v>9</v>
      </c>
      <c r="L143" s="170" t="str" cm="1">
        <f t="array" ref="L143">Common_InputFunctions.Utility_DisplayArrayInTable(Fertiliser_SourceData.Fertiliser_Products_Data2(), FertiliserProducts[[#Headers],[Company]],31)</f>
        <v/>
      </c>
      <c r="M143" s="170" cm="1">
        <f t="array" ref="M143">Common_InputFunctions.Utility_DisplayArrayInTable(Fertiliser_SourceData.Fertiliser_Products_Data2(), FertiliserProducts[[#Headers],[Company]],31)</f>
        <v>30</v>
      </c>
      <c r="N143" s="170" cm="1">
        <f t="array" ref="N143">Common_InputFunctions.Utility_DisplayArrayInTable(Fertiliser_SourceData.Fertiliser_Products_Data2(), FertiliserProducts[[#Headers],[Company]],31)</f>
        <v>14</v>
      </c>
      <c r="O143" s="170" t="str" cm="1">
        <f t="array" ref="O143">Common_InputFunctions.Utility_DisplayArrayInTable(Fertiliser_SourceData.Fertiliser_Products_Data2(), FertiliserProducts[[#Headers],[Company]],31)</f>
        <v>Potassium - Generic</v>
      </c>
      <c r="P143" s="170" cm="1">
        <f t="array" ref="P143">Common_InputFunctions.Utility_DisplayArrayInTable(Fertiliser_SourceData.Fertiliser_Products_Data2(), FertiliserProducts[[#Headers],[Company]],31)</f>
        <v>0.3</v>
      </c>
      <c r="Q143" s="170" t="str" cm="1">
        <f t="array" ref="Q143">Common_InputFunctions.Utility_DisplayArrayInTable(Fertiliser_SourceData.Fertiliser_Products_Data2(), FertiliserProducts[[#Headers],[Company]],31)</f>
        <v>Sulfur - Generic</v>
      </c>
      <c r="R143" s="170" cm="1">
        <f t="array" ref="R143">Common_InputFunctions.Utility_DisplayArrayInTable(Fertiliser_SourceData.Fertiliser_Products_Data2(), FertiliserProducts[[#Headers],[Company]],31)</f>
        <v>0.14000000000000001</v>
      </c>
      <c r="S143" s="170" t="str" cm="1">
        <f t="array" ref="S143">Common_InputFunctions.Utility_DisplayArrayInTable(Fertiliser_SourceData.Fertiliser_Products_Data2(), FertiliserProducts[[#Headers],[Company]],31)</f>
        <v>Nitrogen - Nitrate</v>
      </c>
      <c r="T143" s="170" cm="1">
        <f t="array" ref="T143">Common_InputFunctions.Utility_DisplayArrayInTable(Fertiliser_SourceData.Fertiliser_Products_Data2(), FertiliserProducts[[#Headers],[Company]],31)</f>
        <v>4.4999999999999998E-2</v>
      </c>
      <c r="U143" s="170" t="str" cm="1">
        <f t="array" ref="U143">Common_InputFunctions.Utility_DisplayArrayInTable(Fertiliser_SourceData.Fertiliser_Products_Data2(), FertiliserProducts[[#Headers],[Company]],31)</f>
        <v>Nitrogen - Ammoniacal</v>
      </c>
      <c r="V143" s="170" cm="1">
        <f t="array" ref="V143">Common_InputFunctions.Utility_DisplayArrayInTable(Fertiliser_SourceData.Fertiliser_Products_Data2(), FertiliserProducts[[#Headers],[Company]],31)</f>
        <v>4.4999999999999998E-2</v>
      </c>
      <c r="W143" s="170" t="str" cm="1">
        <f t="array" ref="W143">Common_InputFunctions.Utility_DisplayArrayInTable(Fertiliser_SourceData.Fertiliser_Products_Data2(), FertiliserProducts[[#Headers],[Company]],31)</f>
        <v/>
      </c>
      <c r="X143" s="170" t="str" cm="1">
        <f t="array" ref="X143">Common_InputFunctions.Utility_DisplayArrayInTable(Fertiliser_SourceData.Fertiliser_Products_Data2(), FertiliserProducts[[#Headers],[Company]],31)</f>
        <v/>
      </c>
      <c r="Y143" s="170" t="str" cm="1">
        <f t="array" ref="Y143">Common_InputFunctions.Utility_DisplayArrayInTable(Fertiliser_SourceData.Fertiliser_Products_Data2(), FertiliserProducts[[#Headers],[Company]],31)</f>
        <v/>
      </c>
      <c r="Z143" s="170" t="str" cm="1">
        <f t="array" ref="Z143">Common_InputFunctions.Utility_DisplayArrayInTable(Fertiliser_SourceData.Fertiliser_Products_Data2(), FertiliserProducts[[#Headers],[Company]],31)</f>
        <v/>
      </c>
      <c r="AA143" s="170" t="str" cm="1">
        <f t="array" ref="AA143">Common_InputFunctions.Utility_DisplayArrayInTable(Fertiliser_SourceData.Fertiliser_Products_Data2(), FertiliserProducts[[#Headers],[Company]],31)</f>
        <v/>
      </c>
      <c r="AB143" s="170" t="str" cm="1">
        <f t="array" ref="AB143">Common_InputFunctions.Utility_DisplayArrayInTable(Fertiliser_SourceData.Fertiliser_Products_Data2(), FertiliserProducts[[#Headers],[Company]],31)</f>
        <v/>
      </c>
      <c r="AC143" s="170" t="str" cm="1">
        <f t="array" ref="AC143">Common_InputFunctions.Utility_DisplayArrayInTable(Fertiliser_SourceData.Fertiliser_Products_Data2(), FertiliserProducts[[#Headers],[Company]],31)</f>
        <v/>
      </c>
      <c r="AD143" s="170" t="str" cm="1">
        <f t="array" ref="AD143">Common_InputFunctions.Utility_DisplayArrayInTable(Fertiliser_SourceData.Fertiliser_Products_Data2(), FertiliserProducts[[#Headers],[Company]],31)</f>
        <v/>
      </c>
      <c r="AE143" s="170" t="str" cm="1">
        <f t="array" ref="AE143">Common_InputFunctions.Utility_DisplayArrayInTable(Fertiliser_SourceData.Fertiliser_Products_Data2(), FertiliserProducts[[#Headers],[Company]],31)</f>
        <v/>
      </c>
      <c r="AF143" s="170" t="str" cm="1">
        <f t="array" ref="AF143">Common_InputFunctions.Utility_DisplayArrayInTable(Fertiliser_SourceData.Fertiliser_Products_Data2(), FertiliserProducts[[#Headers],[Company]],31)</f>
        <v/>
      </c>
      <c r="AG143" s="170" t="str" cm="1">
        <f t="array" ref="AG143">Common_InputFunctions.Utility_DisplayArrayInTable(Fertiliser_SourceData.Fertiliser_Products_Data2(), FertiliserProducts[[#Headers],[Company]],31)</f>
        <v/>
      </c>
      <c r="AH143" s="170" t="str" cm="1">
        <f t="array" ref="AH143">Common_InputFunctions.Utility_DisplayArrayInTable(Fertiliser_SourceData.Fertiliser_Products_Data2(), FertiliserProducts[[#Headers],[Company]],31)</f>
        <v/>
      </c>
      <c r="AK143" s="1"/>
      <c r="AL143" s="1"/>
      <c r="AM143" s="1"/>
    </row>
    <row r="144" spans="4:39" ht="20.100000000000001" customHeight="1" x14ac:dyDescent="0.2">
      <c r="D144" s="170" t="str" cm="1">
        <f t="array" ref="D144">Common_InputFunctions.Utility_DisplayArrayInTable(Fertiliser_SourceData.Fertiliser_Products_Data2(), FertiliserProducts[[#Headers],[Company]],31)</f>
        <v>Yara Australia</v>
      </c>
      <c r="E144" s="170" t="str" cm="1">
        <f t="array" ref="E144">Common_InputFunctions.Utility_DisplayArrayInTable(Fertiliser_SourceData.Fertiliser_Products_Data2(), FertiliserProducts[[#Headers],[Company]],31)</f>
        <v>YaraRega 13-2-21</v>
      </c>
      <c r="F144" s="170" t="str" cm="1">
        <f t="array" ref="F144">Common_InputFunctions.Utility_DisplayArrayInTable(Fertiliser_SourceData.Fertiliser_Products_Data2(), FertiliserProducts[[#Headers],[Company]],31)</f>
        <v>kg</v>
      </c>
      <c r="G144" s="170" cm="1">
        <f t="array" ref="G144">Common_InputFunctions.Utility_DisplayArrayInTable(Fertiliser_SourceData.Fertiliser_Products_Data2(), FertiliserProducts[[#Headers],[Company]],31)</f>
        <v>1</v>
      </c>
      <c r="H144" s="170" t="str" cm="1">
        <f t="array" ref="H144">Common_InputFunctions.Utility_DisplayArrayInTable(Fertiliser_SourceData.Fertiliser_Products_Data2(), FertiliserProducts[[#Headers],[Company]],31)</f>
        <v/>
      </c>
      <c r="I144" s="170" t="str" cm="1">
        <f t="array" ref="I144">Common_InputFunctions.Utility_DisplayArrayInTable(Fertiliser_SourceData.Fertiliser_Products_Data2(), FertiliserProducts[[#Headers],[Company]],31)</f>
        <v/>
      </c>
      <c r="J144" s="170" t="str" cm="1">
        <f t="array" ref="J144">Common_InputFunctions.Utility_DisplayArrayInTable(Fertiliser_SourceData.Fertiliser_Products_Data2(), FertiliserProducts[[#Headers],[Company]],31)</f>
        <v/>
      </c>
      <c r="K144" s="170" cm="1">
        <f t="array" ref="K144">Common_InputFunctions.Utility_DisplayArrayInTable(Fertiliser_SourceData.Fertiliser_Products_Data2(), FertiliserProducts[[#Headers],[Company]],31)</f>
        <v>13</v>
      </c>
      <c r="L144" s="170" cm="1">
        <f t="array" ref="L144">Common_InputFunctions.Utility_DisplayArrayInTable(Fertiliser_SourceData.Fertiliser_Products_Data2(), FertiliserProducts[[#Headers],[Company]],31)</f>
        <v>1.75</v>
      </c>
      <c r="M144" s="170" cm="1">
        <f t="array" ref="M144">Common_InputFunctions.Utility_DisplayArrayInTable(Fertiliser_SourceData.Fertiliser_Products_Data2(), FertiliserProducts[[#Headers],[Company]],31)</f>
        <v>21</v>
      </c>
      <c r="N144" s="170" cm="1">
        <f t="array" ref="N144">Common_InputFunctions.Utility_DisplayArrayInTable(Fertiliser_SourceData.Fertiliser_Products_Data2(), FertiliserProducts[[#Headers],[Company]],31)</f>
        <v>10.8</v>
      </c>
      <c r="O144" s="170" t="str" cm="1">
        <f t="array" ref="O144">Common_InputFunctions.Utility_DisplayArrayInTable(Fertiliser_SourceData.Fertiliser_Products_Data2(), FertiliserProducts[[#Headers],[Company]],31)</f>
        <v>Potassium - Generic</v>
      </c>
      <c r="P144" s="170" cm="1">
        <f t="array" ref="P144">Common_InputFunctions.Utility_DisplayArrayInTable(Fertiliser_SourceData.Fertiliser_Products_Data2(), FertiliserProducts[[#Headers],[Company]],31)</f>
        <v>0.21</v>
      </c>
      <c r="Q144" s="170" t="str" cm="1">
        <f t="array" ref="Q144">Common_InputFunctions.Utility_DisplayArrayInTable(Fertiliser_SourceData.Fertiliser_Products_Data2(), FertiliserProducts[[#Headers],[Company]],31)</f>
        <v>Sulfur - Generic</v>
      </c>
      <c r="R144" s="170" cm="1">
        <f t="array" ref="R144">Common_InputFunctions.Utility_DisplayArrayInTable(Fertiliser_SourceData.Fertiliser_Products_Data2(), FertiliserProducts[[#Headers],[Company]],31)</f>
        <v>0.108</v>
      </c>
      <c r="S144" s="170" t="str" cm="1">
        <f t="array" ref="S144">Common_InputFunctions.Utility_DisplayArrayInTable(Fertiliser_SourceData.Fertiliser_Products_Data2(), FertiliserProducts[[#Headers],[Company]],31)</f>
        <v>Nitrogen - Ammoniacal</v>
      </c>
      <c r="T144" s="170" cm="1">
        <f t="array" ref="T144">Common_InputFunctions.Utility_DisplayArrayInTable(Fertiliser_SourceData.Fertiliser_Products_Data2(), FertiliserProducts[[#Headers],[Company]],31)</f>
        <v>7.6999999999999999E-2</v>
      </c>
      <c r="U144" s="170" t="str" cm="1">
        <f t="array" ref="U144">Common_InputFunctions.Utility_DisplayArrayInTable(Fertiliser_SourceData.Fertiliser_Products_Data2(), FertiliserProducts[[#Headers],[Company]],31)</f>
        <v>Nitrogen - Nitrate</v>
      </c>
      <c r="V144" s="170" cm="1">
        <f t="array" ref="V144">Common_InputFunctions.Utility_DisplayArrayInTable(Fertiliser_SourceData.Fertiliser_Products_Data2(), FertiliserProducts[[#Headers],[Company]],31)</f>
        <v>5.2999999999999999E-2</v>
      </c>
      <c r="W144" s="170" t="str" cm="1">
        <f t="array" ref="W144">Common_InputFunctions.Utility_DisplayArrayInTable(Fertiliser_SourceData.Fertiliser_Products_Data2(), FertiliserProducts[[#Headers],[Company]],31)</f>
        <v>Phosphorus - Generic</v>
      </c>
      <c r="X144" s="170" cm="1">
        <f t="array" ref="X144">Common_InputFunctions.Utility_DisplayArrayInTable(Fertiliser_SourceData.Fertiliser_Products_Data2(), FertiliserProducts[[#Headers],[Company]],31)</f>
        <v>1.7500000000000002E-2</v>
      </c>
      <c r="Y144" s="170" t="str" cm="1">
        <f t="array" ref="Y144">Common_InputFunctions.Utility_DisplayArrayInTable(Fertiliser_SourceData.Fertiliser_Products_Data2(), FertiliserProducts[[#Headers],[Company]],31)</f>
        <v>Magnesium</v>
      </c>
      <c r="Z144" s="170" cm="1">
        <f t="array" ref="Z144">Common_InputFunctions.Utility_DisplayArrayInTable(Fertiliser_SourceData.Fertiliser_Products_Data2(), FertiliserProducts[[#Headers],[Company]],31)</f>
        <v>4.0000000000000001E-3</v>
      </c>
      <c r="AA144" s="170" t="str" cm="1">
        <f t="array" ref="AA144">Common_InputFunctions.Utility_DisplayArrayInTable(Fertiliser_SourceData.Fertiliser_Products_Data2(), FertiliserProducts[[#Headers],[Company]],31)</f>
        <v>Zinc</v>
      </c>
      <c r="AB144" s="170" cm="1">
        <f t="array" ref="AB144">Common_InputFunctions.Utility_DisplayArrayInTable(Fertiliser_SourceData.Fertiliser_Products_Data2(), FertiliserProducts[[#Headers],[Company]],31)</f>
        <v>8.0000000000000004E-4</v>
      </c>
      <c r="AC144" s="170" t="str" cm="1">
        <f t="array" ref="AC144">Common_InputFunctions.Utility_DisplayArrayInTable(Fertiliser_SourceData.Fertiliser_Products_Data2(), FertiliserProducts[[#Headers],[Company]],31)</f>
        <v>Boron</v>
      </c>
      <c r="AD144" s="170" cm="1">
        <f t="array" ref="AD144">Common_InputFunctions.Utility_DisplayArrayInTable(Fertiliser_SourceData.Fertiliser_Products_Data2(), FertiliserProducts[[#Headers],[Company]],31)</f>
        <v>8.0000000000000004E-4</v>
      </c>
      <c r="AE144" s="170" t="str" cm="1">
        <f t="array" ref="AE144">Common_InputFunctions.Utility_DisplayArrayInTable(Fertiliser_SourceData.Fertiliser_Products_Data2(), FertiliserProducts[[#Headers],[Company]],31)</f>
        <v/>
      </c>
      <c r="AF144" s="170" t="str" cm="1">
        <f t="array" ref="AF144">Common_InputFunctions.Utility_DisplayArrayInTable(Fertiliser_SourceData.Fertiliser_Products_Data2(), FertiliserProducts[[#Headers],[Company]],31)</f>
        <v/>
      </c>
      <c r="AG144" s="170" t="str" cm="1">
        <f t="array" ref="AG144">Common_InputFunctions.Utility_DisplayArrayInTable(Fertiliser_SourceData.Fertiliser_Products_Data2(), FertiliserProducts[[#Headers],[Company]],31)</f>
        <v/>
      </c>
      <c r="AH144" s="170" t="str" cm="1">
        <f t="array" ref="AH144">Common_InputFunctions.Utility_DisplayArrayInTable(Fertiliser_SourceData.Fertiliser_Products_Data2(), FertiliserProducts[[#Headers],[Company]],31)</f>
        <v/>
      </c>
      <c r="AK144" s="1"/>
      <c r="AL144" s="1"/>
      <c r="AM144" s="1"/>
    </row>
    <row r="145" spans="1:39" ht="20.100000000000001" customHeight="1" x14ac:dyDescent="0.2">
      <c r="D145" s="170" t="str" cm="1">
        <f t="array" ref="D145">Common_InputFunctions.Utility_DisplayArrayInTable(Fertiliser_SourceData.Fertiliser_Products_Data2(), FertiliserProducts[[#Headers],[Company]],31)</f>
        <v>Yara Australia</v>
      </c>
      <c r="E145" s="170" t="str" cm="1">
        <f t="array" ref="E145">Common_InputFunctions.Utility_DisplayArrayInTable(Fertiliser_SourceData.Fertiliser_Products_Data2(), FertiliserProducts[[#Headers],[Company]],31)</f>
        <v>YaraRega 15-7-13 (7S)</v>
      </c>
      <c r="F145" s="170" t="str" cm="1">
        <f t="array" ref="F145">Common_InputFunctions.Utility_DisplayArrayInTable(Fertiliser_SourceData.Fertiliser_Products_Data2(), FertiliserProducts[[#Headers],[Company]],31)</f>
        <v>kg</v>
      </c>
      <c r="G145" s="170" cm="1">
        <f t="array" ref="G145">Common_InputFunctions.Utility_DisplayArrayInTable(Fertiliser_SourceData.Fertiliser_Products_Data2(), FertiliserProducts[[#Headers],[Company]],31)</f>
        <v>1</v>
      </c>
      <c r="H145" s="170" t="str" cm="1">
        <f t="array" ref="H145">Common_InputFunctions.Utility_DisplayArrayInTable(Fertiliser_SourceData.Fertiliser_Products_Data2(), FertiliserProducts[[#Headers],[Company]],31)</f>
        <v/>
      </c>
      <c r="I145" s="170" t="str" cm="1">
        <f t="array" ref="I145">Common_InputFunctions.Utility_DisplayArrayInTable(Fertiliser_SourceData.Fertiliser_Products_Data2(), FertiliserProducts[[#Headers],[Company]],31)</f>
        <v/>
      </c>
      <c r="J145" s="170" t="str" cm="1">
        <f t="array" ref="J145">Common_InputFunctions.Utility_DisplayArrayInTable(Fertiliser_SourceData.Fertiliser_Products_Data2(), FertiliserProducts[[#Headers],[Company]],31)</f>
        <v/>
      </c>
      <c r="K145" s="170" cm="1">
        <f t="array" ref="K145">Common_InputFunctions.Utility_DisplayArrayInTable(Fertiliser_SourceData.Fertiliser_Products_Data2(), FertiliserProducts[[#Headers],[Company]],31)</f>
        <v>15</v>
      </c>
      <c r="L145" s="170" cm="1">
        <f t="array" ref="L145">Common_InputFunctions.Utility_DisplayArrayInTable(Fertiliser_SourceData.Fertiliser_Products_Data2(), FertiliserProducts[[#Headers],[Company]],31)</f>
        <v>6.5</v>
      </c>
      <c r="M145" s="170" cm="1">
        <f t="array" ref="M145">Common_InputFunctions.Utility_DisplayArrayInTable(Fertiliser_SourceData.Fertiliser_Products_Data2(), FertiliserProducts[[#Headers],[Company]],31)</f>
        <v>12.5</v>
      </c>
      <c r="N145" s="170" cm="1">
        <f t="array" ref="N145">Common_InputFunctions.Utility_DisplayArrayInTable(Fertiliser_SourceData.Fertiliser_Products_Data2(), FertiliserProducts[[#Headers],[Company]],31)</f>
        <v>7.2</v>
      </c>
      <c r="O145" s="170" t="str" cm="1">
        <f t="array" ref="O145">Common_InputFunctions.Utility_DisplayArrayInTable(Fertiliser_SourceData.Fertiliser_Products_Data2(), FertiliserProducts[[#Headers],[Company]],31)</f>
        <v>Nitrogen - Nitrate</v>
      </c>
      <c r="P145" s="170" cm="1">
        <f t="array" ref="P145">Common_InputFunctions.Utility_DisplayArrayInTable(Fertiliser_SourceData.Fertiliser_Products_Data2(), FertiliserProducts[[#Headers],[Company]],31)</f>
        <v>9.5000000000000001E-2</v>
      </c>
      <c r="Q145" s="170" t="str" cm="1">
        <f t="array" ref="Q145">Common_InputFunctions.Utility_DisplayArrayInTable(Fertiliser_SourceData.Fertiliser_Products_Data2(), FertiliserProducts[[#Headers],[Company]],31)</f>
        <v>Potassium - Generic</v>
      </c>
      <c r="R145" s="170" cm="1">
        <f t="array" ref="R145">Common_InputFunctions.Utility_DisplayArrayInTable(Fertiliser_SourceData.Fertiliser_Products_Data2(), FertiliserProducts[[#Headers],[Company]],31)</f>
        <v>0.125</v>
      </c>
      <c r="S145" s="170" t="str" cm="1">
        <f t="array" ref="S145">Common_InputFunctions.Utility_DisplayArrayInTable(Fertiliser_SourceData.Fertiliser_Products_Data2(), FertiliserProducts[[#Headers],[Company]],31)</f>
        <v>Sulfur - Generic</v>
      </c>
      <c r="T145" s="170" cm="1">
        <f t="array" ref="T145">Common_InputFunctions.Utility_DisplayArrayInTable(Fertiliser_SourceData.Fertiliser_Products_Data2(), FertiliserProducts[[#Headers],[Company]],31)</f>
        <v>7.1999999999999995E-2</v>
      </c>
      <c r="U145" s="170" t="str" cm="1">
        <f t="array" ref="U145">Common_InputFunctions.Utility_DisplayArrayInTable(Fertiliser_SourceData.Fertiliser_Products_Data2(), FertiliserProducts[[#Headers],[Company]],31)</f>
        <v>Phosphorus - Generic</v>
      </c>
      <c r="V145" s="170" cm="1">
        <f t="array" ref="V145">Common_InputFunctions.Utility_DisplayArrayInTable(Fertiliser_SourceData.Fertiliser_Products_Data2(), FertiliserProducts[[#Headers],[Company]],31)</f>
        <v>6.5000000000000002E-2</v>
      </c>
      <c r="W145" s="170" t="str" cm="1">
        <f t="array" ref="W145">Common_InputFunctions.Utility_DisplayArrayInTable(Fertiliser_SourceData.Fertiliser_Products_Data2(), FertiliserProducts[[#Headers],[Company]],31)</f>
        <v>Nitrogen - Ammoniacal</v>
      </c>
      <c r="X145" s="170" cm="1">
        <f t="array" ref="X145">Common_InputFunctions.Utility_DisplayArrayInTable(Fertiliser_SourceData.Fertiliser_Products_Data2(), FertiliserProducts[[#Headers],[Company]],31)</f>
        <v>5.5E-2</v>
      </c>
      <c r="Y145" s="170" t="str" cm="1">
        <f t="array" ref="Y145">Common_InputFunctions.Utility_DisplayArrayInTable(Fertiliser_SourceData.Fertiliser_Products_Data2(), FertiliserProducts[[#Headers],[Company]],31)</f>
        <v>Magnesium</v>
      </c>
      <c r="Z145" s="170" cm="1">
        <f t="array" ref="Z145">Common_InputFunctions.Utility_DisplayArrayInTable(Fertiliser_SourceData.Fertiliser_Products_Data2(), FertiliserProducts[[#Headers],[Company]],31)</f>
        <v>6.6E-3</v>
      </c>
      <c r="AA145" s="170" t="str" cm="1">
        <f t="array" ref="AA145">Common_InputFunctions.Utility_DisplayArrayInTable(Fertiliser_SourceData.Fertiliser_Products_Data2(), FertiliserProducts[[#Headers],[Company]],31)</f>
        <v>Boron</v>
      </c>
      <c r="AB145" s="170" cm="1">
        <f t="array" ref="AB145">Common_InputFunctions.Utility_DisplayArrayInTable(Fertiliser_SourceData.Fertiliser_Products_Data2(), FertiliserProducts[[#Headers],[Company]],31)</f>
        <v>1E-3</v>
      </c>
      <c r="AC145" s="170" t="str" cm="1">
        <f t="array" ref="AC145">Common_InputFunctions.Utility_DisplayArrayInTable(Fertiliser_SourceData.Fertiliser_Products_Data2(), FertiliserProducts[[#Headers],[Company]],31)</f>
        <v>Zinc</v>
      </c>
      <c r="AD145" s="170" cm="1">
        <f t="array" ref="AD145">Common_InputFunctions.Utility_DisplayArrayInTable(Fertiliser_SourceData.Fertiliser_Products_Data2(), FertiliserProducts[[#Headers],[Company]],31)</f>
        <v>5.9999999999999995E-4</v>
      </c>
      <c r="AE145" s="170" t="str" cm="1">
        <f t="array" ref="AE145">Common_InputFunctions.Utility_DisplayArrayInTable(Fertiliser_SourceData.Fertiliser_Products_Data2(), FertiliserProducts[[#Headers],[Company]],31)</f>
        <v/>
      </c>
      <c r="AF145" s="170" t="str" cm="1">
        <f t="array" ref="AF145">Common_InputFunctions.Utility_DisplayArrayInTable(Fertiliser_SourceData.Fertiliser_Products_Data2(), FertiliserProducts[[#Headers],[Company]],31)</f>
        <v/>
      </c>
      <c r="AG145" s="170" t="str" cm="1">
        <f t="array" ref="AG145">Common_InputFunctions.Utility_DisplayArrayInTable(Fertiliser_SourceData.Fertiliser_Products_Data2(), FertiliserProducts[[#Headers],[Company]],31)</f>
        <v/>
      </c>
      <c r="AH145" s="170" t="str" cm="1">
        <f t="array" ref="AH145">Common_InputFunctions.Utility_DisplayArrayInTable(Fertiliser_SourceData.Fertiliser_Products_Data2(), FertiliserProducts[[#Headers],[Company]],31)</f>
        <v/>
      </c>
      <c r="AK145" s="1"/>
      <c r="AL145" s="1"/>
      <c r="AM145" s="1"/>
    </row>
    <row r="146" spans="1:39" ht="20.100000000000001" customHeight="1" x14ac:dyDescent="0.2">
      <c r="D146" s="170" t="str" cm="1">
        <f t="array" ref="D146">Common_InputFunctions.Utility_DisplayArrayInTable(Fertiliser_SourceData.Fertiliser_Products_Data2(), FertiliserProducts[[#Headers],[Company]],31)</f>
        <v>Yara Australia</v>
      </c>
      <c r="E146" s="170" t="str" cm="1">
        <f t="array" ref="E146">Common_InputFunctions.Utility_DisplayArrayInTable(Fertiliser_SourceData.Fertiliser_Products_Data2(), FertiliserProducts[[#Headers],[Company]],31)</f>
        <v>YaraTera CALCINIT B</v>
      </c>
      <c r="F146" s="170" t="str" cm="1">
        <f t="array" ref="F146">Common_InputFunctions.Utility_DisplayArrayInTable(Fertiliser_SourceData.Fertiliser_Products_Data2(), FertiliserProducts[[#Headers],[Company]],31)</f>
        <v>kg</v>
      </c>
      <c r="G146" s="170" cm="1">
        <f t="array" ref="G146">Common_InputFunctions.Utility_DisplayArrayInTable(Fertiliser_SourceData.Fertiliser_Products_Data2(), FertiliserProducts[[#Headers],[Company]],31)</f>
        <v>1</v>
      </c>
      <c r="H146" s="170" t="str" cm="1">
        <f t="array" ref="H146">Common_InputFunctions.Utility_DisplayArrayInTable(Fertiliser_SourceData.Fertiliser_Products_Data2(), FertiliserProducts[[#Headers],[Company]],31)</f>
        <v/>
      </c>
      <c r="I146" s="170" t="str" cm="1">
        <f t="array" ref="I146">Common_InputFunctions.Utility_DisplayArrayInTable(Fertiliser_SourceData.Fertiliser_Products_Data2(), FertiliserProducts[[#Headers],[Company]],31)</f>
        <v/>
      </c>
      <c r="J146" s="170" t="str" cm="1">
        <f t="array" ref="J146">Common_InputFunctions.Utility_DisplayArrayInTable(Fertiliser_SourceData.Fertiliser_Products_Data2(), FertiliserProducts[[#Headers],[Company]],31)</f>
        <v/>
      </c>
      <c r="K146" s="170" cm="1">
        <f t="array" ref="K146">Common_InputFunctions.Utility_DisplayArrayInTable(Fertiliser_SourceData.Fertiliser_Products_Data2(), FertiliserProducts[[#Headers],[Company]],31)</f>
        <v>15.5</v>
      </c>
      <c r="L146" s="170" t="str" cm="1">
        <f t="array" ref="L146">Common_InputFunctions.Utility_DisplayArrayInTable(Fertiliser_SourceData.Fertiliser_Products_Data2(), FertiliserProducts[[#Headers],[Company]],31)</f>
        <v/>
      </c>
      <c r="M146" s="170" t="str" cm="1">
        <f t="array" ref="M146">Common_InputFunctions.Utility_DisplayArrayInTable(Fertiliser_SourceData.Fertiliser_Products_Data2(), FertiliserProducts[[#Headers],[Company]],31)</f>
        <v/>
      </c>
      <c r="N146" s="170" t="str" cm="1">
        <f t="array" ref="N146">Common_InputFunctions.Utility_DisplayArrayInTable(Fertiliser_SourceData.Fertiliser_Products_Data2(), FertiliserProducts[[#Headers],[Company]],31)</f>
        <v/>
      </c>
      <c r="O146" s="170" t="str" cm="1">
        <f t="array" ref="O146">Common_InputFunctions.Utility_DisplayArrayInTable(Fertiliser_SourceData.Fertiliser_Products_Data2(), FertiliserProducts[[#Headers],[Company]],31)</f>
        <v>Calcium nitrate</v>
      </c>
      <c r="P146" s="170" cm="1">
        <f t="array" ref="P146">Common_InputFunctions.Utility_DisplayArrayInTable(Fertiliser_SourceData.Fertiliser_Products_Data2(), FertiliserProducts[[#Headers],[Company]],31)</f>
        <v>1</v>
      </c>
      <c r="Q146" s="170" t="str" cm="1">
        <f t="array" ref="Q146">Common_InputFunctions.Utility_DisplayArrayInTable(Fertiliser_SourceData.Fertiliser_Products_Data2(), FertiliserProducts[[#Headers],[Company]],31)</f>
        <v>Boron</v>
      </c>
      <c r="R146" s="170" cm="1">
        <f t="array" ref="R146">Common_InputFunctions.Utility_DisplayArrayInTable(Fertiliser_SourceData.Fertiliser_Products_Data2(), FertiliserProducts[[#Headers],[Company]],31)</f>
        <v>1E-3</v>
      </c>
      <c r="S146" s="170" t="str" cm="1">
        <f t="array" ref="S146">Common_InputFunctions.Utility_DisplayArrayInTable(Fertiliser_SourceData.Fertiliser_Products_Data2(), FertiliserProducts[[#Headers],[Company]],31)</f>
        <v/>
      </c>
      <c r="T146" s="170" t="str" cm="1">
        <f t="array" ref="T146">Common_InputFunctions.Utility_DisplayArrayInTable(Fertiliser_SourceData.Fertiliser_Products_Data2(), FertiliserProducts[[#Headers],[Company]],31)</f>
        <v/>
      </c>
      <c r="U146" s="170" t="str" cm="1">
        <f t="array" ref="U146">Common_InputFunctions.Utility_DisplayArrayInTable(Fertiliser_SourceData.Fertiliser_Products_Data2(), FertiliserProducts[[#Headers],[Company]],31)</f>
        <v/>
      </c>
      <c r="V146" s="170" t="str" cm="1">
        <f t="array" ref="V146">Common_InputFunctions.Utility_DisplayArrayInTable(Fertiliser_SourceData.Fertiliser_Products_Data2(), FertiliserProducts[[#Headers],[Company]],31)</f>
        <v/>
      </c>
      <c r="W146" s="170" t="str" cm="1">
        <f t="array" ref="W146">Common_InputFunctions.Utility_DisplayArrayInTable(Fertiliser_SourceData.Fertiliser_Products_Data2(), FertiliserProducts[[#Headers],[Company]],31)</f>
        <v/>
      </c>
      <c r="X146" s="170" t="str" cm="1">
        <f t="array" ref="X146">Common_InputFunctions.Utility_DisplayArrayInTable(Fertiliser_SourceData.Fertiliser_Products_Data2(), FertiliserProducts[[#Headers],[Company]],31)</f>
        <v/>
      </c>
      <c r="Y146" s="170" t="str" cm="1">
        <f t="array" ref="Y146">Common_InputFunctions.Utility_DisplayArrayInTable(Fertiliser_SourceData.Fertiliser_Products_Data2(), FertiliserProducts[[#Headers],[Company]],31)</f>
        <v/>
      </c>
      <c r="Z146" s="170" t="str" cm="1">
        <f t="array" ref="Z146">Common_InputFunctions.Utility_DisplayArrayInTable(Fertiliser_SourceData.Fertiliser_Products_Data2(), FertiliserProducts[[#Headers],[Company]],31)</f>
        <v/>
      </c>
      <c r="AA146" s="170" t="str" cm="1">
        <f t="array" ref="AA146">Common_InputFunctions.Utility_DisplayArrayInTable(Fertiliser_SourceData.Fertiliser_Products_Data2(), FertiliserProducts[[#Headers],[Company]],31)</f>
        <v/>
      </c>
      <c r="AB146" s="170" t="str" cm="1">
        <f t="array" ref="AB146">Common_InputFunctions.Utility_DisplayArrayInTable(Fertiliser_SourceData.Fertiliser_Products_Data2(), FertiliserProducts[[#Headers],[Company]],31)</f>
        <v/>
      </c>
      <c r="AC146" s="170" t="str" cm="1">
        <f t="array" ref="AC146">Common_InputFunctions.Utility_DisplayArrayInTable(Fertiliser_SourceData.Fertiliser_Products_Data2(), FertiliserProducts[[#Headers],[Company]],31)</f>
        <v/>
      </c>
      <c r="AD146" s="170" t="str" cm="1">
        <f t="array" ref="AD146">Common_InputFunctions.Utility_DisplayArrayInTable(Fertiliser_SourceData.Fertiliser_Products_Data2(), FertiliserProducts[[#Headers],[Company]],31)</f>
        <v/>
      </c>
      <c r="AE146" s="170" t="str" cm="1">
        <f t="array" ref="AE146">Common_InputFunctions.Utility_DisplayArrayInTable(Fertiliser_SourceData.Fertiliser_Products_Data2(), FertiliserProducts[[#Headers],[Company]],31)</f>
        <v/>
      </c>
      <c r="AF146" s="170" t="str" cm="1">
        <f t="array" ref="AF146">Common_InputFunctions.Utility_DisplayArrayInTable(Fertiliser_SourceData.Fertiliser_Products_Data2(), FertiliserProducts[[#Headers],[Company]],31)</f>
        <v/>
      </c>
      <c r="AG146" s="170" t="str" cm="1">
        <f t="array" ref="AG146">Common_InputFunctions.Utility_DisplayArrayInTable(Fertiliser_SourceData.Fertiliser_Products_Data2(), FertiliserProducts[[#Headers],[Company]],31)</f>
        <v/>
      </c>
      <c r="AH146" s="170" t="str" cm="1">
        <f t="array" ref="AH146">Common_InputFunctions.Utility_DisplayArrayInTable(Fertiliser_SourceData.Fertiliser_Products_Data2(), FertiliserProducts[[#Headers],[Company]],31)</f>
        <v/>
      </c>
      <c r="AK146" s="1"/>
      <c r="AL146" s="1"/>
      <c r="AM146" s="1"/>
    </row>
    <row r="147" spans="1:39" ht="20.100000000000001" customHeight="1" x14ac:dyDescent="0.2">
      <c r="D147" s="170" t="str" cm="1">
        <f t="array" ref="D147">Common_InputFunctions.Utility_DisplayArrayInTable(Fertiliser_SourceData.Fertiliser_Products_Data2(), FertiliserProducts[[#Headers],[Company]],31)</f>
        <v>Yara Australia</v>
      </c>
      <c r="E147" s="170" t="str" cm="1">
        <f t="array" ref="E147">Common_InputFunctions.Utility_DisplayArrayInTable(Fertiliser_SourceData.Fertiliser_Products_Data2(), FertiliserProducts[[#Headers],[Company]],31)</f>
        <v>YaraTera KRISTA MAP</v>
      </c>
      <c r="F147" s="170" t="str" cm="1">
        <f t="array" ref="F147">Common_InputFunctions.Utility_DisplayArrayInTable(Fertiliser_SourceData.Fertiliser_Products_Data2(), FertiliserProducts[[#Headers],[Company]],31)</f>
        <v>kg</v>
      </c>
      <c r="G147" s="170" cm="1">
        <f t="array" ref="G147">Common_InputFunctions.Utility_DisplayArrayInTable(Fertiliser_SourceData.Fertiliser_Products_Data2(), FertiliserProducts[[#Headers],[Company]],31)</f>
        <v>1</v>
      </c>
      <c r="H147" s="170" t="str" cm="1">
        <f t="array" ref="H147">Common_InputFunctions.Utility_DisplayArrayInTable(Fertiliser_SourceData.Fertiliser_Products_Data2(), FertiliserProducts[[#Headers],[Company]],31)</f>
        <v/>
      </c>
      <c r="I147" s="170" t="str" cm="1">
        <f t="array" ref="I147">Common_InputFunctions.Utility_DisplayArrayInTable(Fertiliser_SourceData.Fertiliser_Products_Data2(), FertiliserProducts[[#Headers],[Company]],31)</f>
        <v/>
      </c>
      <c r="J147" s="170" t="str" cm="1">
        <f t="array" ref="J147">Common_InputFunctions.Utility_DisplayArrayInTable(Fertiliser_SourceData.Fertiliser_Products_Data2(), FertiliserProducts[[#Headers],[Company]],31)</f>
        <v/>
      </c>
      <c r="K147" s="170" cm="1">
        <f t="array" ref="K147">Common_InputFunctions.Utility_DisplayArrayInTable(Fertiliser_SourceData.Fertiliser_Products_Data2(), FertiliserProducts[[#Headers],[Company]],31)</f>
        <v>10</v>
      </c>
      <c r="L147" s="170" cm="1">
        <f t="array" ref="L147">Common_InputFunctions.Utility_DisplayArrayInTable(Fertiliser_SourceData.Fertiliser_Products_Data2(), FertiliserProducts[[#Headers],[Company]],31)</f>
        <v>21.9</v>
      </c>
      <c r="M147" s="170" t="str" cm="1">
        <f t="array" ref="M147">Common_InputFunctions.Utility_DisplayArrayInTable(Fertiliser_SourceData.Fertiliser_Products_Data2(), FertiliserProducts[[#Headers],[Company]],31)</f>
        <v/>
      </c>
      <c r="N147" s="170" t="str" cm="1">
        <f t="array" ref="N147">Common_InputFunctions.Utility_DisplayArrayInTable(Fertiliser_SourceData.Fertiliser_Products_Data2(), FertiliserProducts[[#Headers],[Company]],31)</f>
        <v/>
      </c>
      <c r="O147" s="170" t="str" cm="1">
        <f t="array" ref="O147">Common_InputFunctions.Utility_DisplayArrayInTable(Fertiliser_SourceData.Fertiliser_Products_Data2(), FertiliserProducts[[#Headers],[Company]],31)</f>
        <v>Monoammonium phosphate (MAP)</v>
      </c>
      <c r="P147" s="170" cm="1">
        <f t="array" ref="P147">Common_InputFunctions.Utility_DisplayArrayInTable(Fertiliser_SourceData.Fertiliser_Products_Data2(), FertiliserProducts[[#Headers],[Company]],31)</f>
        <v>1</v>
      </c>
      <c r="Q147" s="170" t="str" cm="1">
        <f t="array" ref="Q147">Common_InputFunctions.Utility_DisplayArrayInTable(Fertiliser_SourceData.Fertiliser_Products_Data2(), FertiliserProducts[[#Headers],[Company]],31)</f>
        <v/>
      </c>
      <c r="R147" s="170" t="str" cm="1">
        <f t="array" ref="R147">Common_InputFunctions.Utility_DisplayArrayInTable(Fertiliser_SourceData.Fertiliser_Products_Data2(), FertiliserProducts[[#Headers],[Company]],31)</f>
        <v/>
      </c>
      <c r="S147" s="170" t="str" cm="1">
        <f t="array" ref="S147">Common_InputFunctions.Utility_DisplayArrayInTable(Fertiliser_SourceData.Fertiliser_Products_Data2(), FertiliserProducts[[#Headers],[Company]],31)</f>
        <v/>
      </c>
      <c r="T147" s="170" t="str" cm="1">
        <f t="array" ref="T147">Common_InputFunctions.Utility_DisplayArrayInTable(Fertiliser_SourceData.Fertiliser_Products_Data2(), FertiliserProducts[[#Headers],[Company]],31)</f>
        <v/>
      </c>
      <c r="U147" s="170" t="str" cm="1">
        <f t="array" ref="U147">Common_InputFunctions.Utility_DisplayArrayInTable(Fertiliser_SourceData.Fertiliser_Products_Data2(), FertiliserProducts[[#Headers],[Company]],31)</f>
        <v/>
      </c>
      <c r="V147" s="170" t="str" cm="1">
        <f t="array" ref="V147">Common_InputFunctions.Utility_DisplayArrayInTable(Fertiliser_SourceData.Fertiliser_Products_Data2(), FertiliserProducts[[#Headers],[Company]],31)</f>
        <v/>
      </c>
      <c r="W147" s="170" t="str" cm="1">
        <f t="array" ref="W147">Common_InputFunctions.Utility_DisplayArrayInTable(Fertiliser_SourceData.Fertiliser_Products_Data2(), FertiliserProducts[[#Headers],[Company]],31)</f>
        <v/>
      </c>
      <c r="X147" s="170" t="str" cm="1">
        <f t="array" ref="X147">Common_InputFunctions.Utility_DisplayArrayInTable(Fertiliser_SourceData.Fertiliser_Products_Data2(), FertiliserProducts[[#Headers],[Company]],31)</f>
        <v/>
      </c>
      <c r="Y147" s="170" t="str" cm="1">
        <f t="array" ref="Y147">Common_InputFunctions.Utility_DisplayArrayInTable(Fertiliser_SourceData.Fertiliser_Products_Data2(), FertiliserProducts[[#Headers],[Company]],31)</f>
        <v/>
      </c>
      <c r="Z147" s="170" t="str" cm="1">
        <f t="array" ref="Z147">Common_InputFunctions.Utility_DisplayArrayInTable(Fertiliser_SourceData.Fertiliser_Products_Data2(), FertiliserProducts[[#Headers],[Company]],31)</f>
        <v/>
      </c>
      <c r="AA147" s="170" t="str" cm="1">
        <f t="array" ref="AA147">Common_InputFunctions.Utility_DisplayArrayInTable(Fertiliser_SourceData.Fertiliser_Products_Data2(), FertiliserProducts[[#Headers],[Company]],31)</f>
        <v/>
      </c>
      <c r="AB147" s="170" t="str" cm="1">
        <f t="array" ref="AB147">Common_InputFunctions.Utility_DisplayArrayInTable(Fertiliser_SourceData.Fertiliser_Products_Data2(), FertiliserProducts[[#Headers],[Company]],31)</f>
        <v/>
      </c>
      <c r="AC147" s="170" t="str" cm="1">
        <f t="array" ref="AC147">Common_InputFunctions.Utility_DisplayArrayInTable(Fertiliser_SourceData.Fertiliser_Products_Data2(), FertiliserProducts[[#Headers],[Company]],31)</f>
        <v/>
      </c>
      <c r="AD147" s="170" t="str" cm="1">
        <f t="array" ref="AD147">Common_InputFunctions.Utility_DisplayArrayInTable(Fertiliser_SourceData.Fertiliser_Products_Data2(), FertiliserProducts[[#Headers],[Company]],31)</f>
        <v/>
      </c>
      <c r="AE147" s="170" t="str" cm="1">
        <f t="array" ref="AE147">Common_InputFunctions.Utility_DisplayArrayInTable(Fertiliser_SourceData.Fertiliser_Products_Data2(), FertiliserProducts[[#Headers],[Company]],31)</f>
        <v/>
      </c>
      <c r="AF147" s="170" t="str" cm="1">
        <f t="array" ref="AF147">Common_InputFunctions.Utility_DisplayArrayInTable(Fertiliser_SourceData.Fertiliser_Products_Data2(), FertiliserProducts[[#Headers],[Company]],31)</f>
        <v/>
      </c>
      <c r="AG147" s="170" t="str" cm="1">
        <f t="array" ref="AG147">Common_InputFunctions.Utility_DisplayArrayInTable(Fertiliser_SourceData.Fertiliser_Products_Data2(), FertiliserProducts[[#Headers],[Company]],31)</f>
        <v/>
      </c>
      <c r="AH147" s="170" t="str" cm="1">
        <f t="array" ref="AH147">Common_InputFunctions.Utility_DisplayArrayInTable(Fertiliser_SourceData.Fertiliser_Products_Data2(), FertiliserProducts[[#Headers],[Company]],31)</f>
        <v/>
      </c>
      <c r="AK147" s="1"/>
      <c r="AL147" s="1"/>
      <c r="AM147" s="1"/>
    </row>
    <row r="148" spans="1:39" ht="20.100000000000001" customHeight="1" x14ac:dyDescent="0.2">
      <c r="A148" s="81" t="str">
        <f>HYPERLINK("#A1", "▲ Back to top")</f>
        <v>▲ Back to top</v>
      </c>
      <c r="D148" s="170" t="str" cm="1">
        <f t="array" ref="D148">Common_InputFunctions.Utility_DisplayArrayInTable(Fertiliser_SourceData.Fertiliser_Products_Data2(), FertiliserProducts[[#Headers],[Company]],31)</f>
        <v>Yara Australia</v>
      </c>
      <c r="E148" s="170" t="str" cm="1">
        <f t="array" ref="E148">Common_InputFunctions.Utility_DisplayArrayInTable(Fertiliser_SourceData.Fertiliser_Products_Data2(), FertiliserProducts[[#Headers],[Company]],31)</f>
        <v>YaraTera KRISTALON RED</v>
      </c>
      <c r="F148" s="170" t="str" cm="1">
        <f t="array" ref="F148">Common_InputFunctions.Utility_DisplayArrayInTable(Fertiliser_SourceData.Fertiliser_Products_Data2(), FertiliserProducts[[#Headers],[Company]],31)</f>
        <v>kg</v>
      </c>
      <c r="G148" s="170" cm="1">
        <f t="array" ref="G148">Common_InputFunctions.Utility_DisplayArrayInTable(Fertiliser_SourceData.Fertiliser_Products_Data2(), FertiliserProducts[[#Headers],[Company]],31)</f>
        <v>1</v>
      </c>
      <c r="H148" s="170" t="str" cm="1">
        <f t="array" ref="H148">Common_InputFunctions.Utility_DisplayArrayInTable(Fertiliser_SourceData.Fertiliser_Products_Data2(), FertiliserProducts[[#Headers],[Company]],31)</f>
        <v/>
      </c>
      <c r="I148" s="170" t="str" cm="1">
        <f t="array" ref="I148">Common_InputFunctions.Utility_DisplayArrayInTable(Fertiliser_SourceData.Fertiliser_Products_Data2(), FertiliserProducts[[#Headers],[Company]],31)</f>
        <v/>
      </c>
      <c r="J148" s="170" t="str" cm="1">
        <f t="array" ref="J148">Common_InputFunctions.Utility_DisplayArrayInTable(Fertiliser_SourceData.Fertiliser_Products_Data2(), FertiliserProducts[[#Headers],[Company]],31)</f>
        <v/>
      </c>
      <c r="K148" s="170" cm="1">
        <f t="array" ref="K148">Common_InputFunctions.Utility_DisplayArrayInTable(Fertiliser_SourceData.Fertiliser_Products_Data2(), FertiliserProducts[[#Headers],[Company]],31)</f>
        <v>12</v>
      </c>
      <c r="L148" s="170" cm="1">
        <f t="array" ref="L148">Common_InputFunctions.Utility_DisplayArrayInTable(Fertiliser_SourceData.Fertiliser_Products_Data2(), FertiliserProducts[[#Headers],[Company]],31)</f>
        <v>5.2</v>
      </c>
      <c r="M148" s="170" cm="1">
        <f t="array" ref="M148">Common_InputFunctions.Utility_DisplayArrayInTable(Fertiliser_SourceData.Fertiliser_Products_Data2(), FertiliserProducts[[#Headers],[Company]],31)</f>
        <v>29.9</v>
      </c>
      <c r="N148" s="170" cm="1">
        <f t="array" ref="N148">Common_InputFunctions.Utility_DisplayArrayInTable(Fertiliser_SourceData.Fertiliser_Products_Data2(), FertiliserProducts[[#Headers],[Company]],31)</f>
        <v>1</v>
      </c>
      <c r="O148" s="170" t="str" cm="1">
        <f t="array" ref="O148">Common_InputFunctions.Utility_DisplayArrayInTable(Fertiliser_SourceData.Fertiliser_Products_Data2(), FertiliserProducts[[#Headers],[Company]],31)</f>
        <v>Potassium - Generic</v>
      </c>
      <c r="P148" s="170" cm="1">
        <f t="array" ref="P148">Common_InputFunctions.Utility_DisplayArrayInTable(Fertiliser_SourceData.Fertiliser_Products_Data2(), FertiliserProducts[[#Headers],[Company]],31)</f>
        <v>0.29899999999999999</v>
      </c>
      <c r="Q148" s="170" t="str" cm="1">
        <f t="array" ref="Q148">Common_InputFunctions.Utility_DisplayArrayInTable(Fertiliser_SourceData.Fertiliser_Products_Data2(), FertiliserProducts[[#Headers],[Company]],31)</f>
        <v>Nitrogen - Nitrate</v>
      </c>
      <c r="R148" s="170" cm="1">
        <f t="array" ref="R148">Common_InputFunctions.Utility_DisplayArrayInTable(Fertiliser_SourceData.Fertiliser_Products_Data2(), FertiliserProducts[[#Headers],[Company]],31)</f>
        <v>0.10100000000000001</v>
      </c>
      <c r="S148" s="170" t="str" cm="1">
        <f t="array" ref="S148">Common_InputFunctions.Utility_DisplayArrayInTable(Fertiliser_SourceData.Fertiliser_Products_Data2(), FertiliserProducts[[#Headers],[Company]],31)</f>
        <v>Phosphorus - Generic</v>
      </c>
      <c r="T148" s="170" cm="1">
        <f t="array" ref="T148">Common_InputFunctions.Utility_DisplayArrayInTable(Fertiliser_SourceData.Fertiliser_Products_Data2(), FertiliserProducts[[#Headers],[Company]],31)</f>
        <v>5.1999999999999998E-2</v>
      </c>
      <c r="U148" s="170" t="str" cm="1">
        <f t="array" ref="U148">Common_InputFunctions.Utility_DisplayArrayInTable(Fertiliser_SourceData.Fertiliser_Products_Data2(), FertiliserProducts[[#Headers],[Company]],31)</f>
        <v>Nitrogen - Ammoniacal</v>
      </c>
      <c r="V148" s="170" cm="1">
        <f t="array" ref="V148">Common_InputFunctions.Utility_DisplayArrayInTable(Fertiliser_SourceData.Fertiliser_Products_Data2(), FertiliserProducts[[#Headers],[Company]],31)</f>
        <v>1.9E-2</v>
      </c>
      <c r="W148" s="170" t="str" cm="1">
        <f t="array" ref="W148">Common_InputFunctions.Utility_DisplayArrayInTable(Fertiliser_SourceData.Fertiliser_Products_Data2(), FertiliserProducts[[#Headers],[Company]],31)</f>
        <v>Sulfur - Generic</v>
      </c>
      <c r="X148" s="170" cm="1">
        <f t="array" ref="X148">Common_InputFunctions.Utility_DisplayArrayInTable(Fertiliser_SourceData.Fertiliser_Products_Data2(), FertiliserProducts[[#Headers],[Company]],31)</f>
        <v>0.01</v>
      </c>
      <c r="Y148" s="170" t="str" cm="1">
        <f t="array" ref="Y148">Common_InputFunctions.Utility_DisplayArrayInTable(Fertiliser_SourceData.Fertiliser_Products_Data2(), FertiliserProducts[[#Headers],[Company]],31)</f>
        <v>Magnesium</v>
      </c>
      <c r="Z148" s="170" cm="1">
        <f t="array" ref="Z148">Common_InputFunctions.Utility_DisplayArrayInTable(Fertiliser_SourceData.Fertiliser_Products_Data2(), FertiliserProducts[[#Headers],[Company]],31)</f>
        <v>6.0000000000000001E-3</v>
      </c>
      <c r="AA148" s="170" t="str" cm="1">
        <f t="array" ref="AA148">Common_InputFunctions.Utility_DisplayArrayInTable(Fertiliser_SourceData.Fertiliser_Products_Data2(), FertiliserProducts[[#Headers],[Company]],31)</f>
        <v>Iron</v>
      </c>
      <c r="AB148" s="170" cm="1">
        <f t="array" ref="AB148">Common_InputFunctions.Utility_DisplayArrayInTable(Fertiliser_SourceData.Fertiliser_Products_Data2(), FertiliserProducts[[#Headers],[Company]],31)</f>
        <v>6.9999999999999999E-4</v>
      </c>
      <c r="AC148" s="170" t="str" cm="1">
        <f t="array" ref="AC148">Common_InputFunctions.Utility_DisplayArrayInTable(Fertiliser_SourceData.Fertiliser_Products_Data2(), FertiliserProducts[[#Headers],[Company]],31)</f>
        <v>Manganese</v>
      </c>
      <c r="AD148" s="170" cm="1">
        <f t="array" ref="AD148">Common_InputFunctions.Utility_DisplayArrayInTable(Fertiliser_SourceData.Fertiliser_Products_Data2(), FertiliserProducts[[#Headers],[Company]],31)</f>
        <v>4.0000000000000002E-4</v>
      </c>
      <c r="AE148" s="170" t="str" cm="1">
        <f t="array" ref="AE148">Common_InputFunctions.Utility_DisplayArrayInTable(Fertiliser_SourceData.Fertiliser_Products_Data2(), FertiliserProducts[[#Headers],[Company]],31)</f>
        <v>Zinc</v>
      </c>
      <c r="AF148" s="170" cm="1">
        <f t="array" ref="AF148">Common_InputFunctions.Utility_DisplayArrayInTable(Fertiliser_SourceData.Fertiliser_Products_Data2(), FertiliserProducts[[#Headers],[Company]],31)</f>
        <v>2.5000000000000001E-4</v>
      </c>
      <c r="AG148" s="170" t="str" cm="1">
        <f t="array" ref="AG148">Common_InputFunctions.Utility_DisplayArrayInTable(Fertiliser_SourceData.Fertiliser_Products_Data2(), FertiliserProducts[[#Headers],[Company]],31)</f>
        <v>Boron</v>
      </c>
      <c r="AH148" s="170" cm="1">
        <f t="array" ref="AH148">Common_InputFunctions.Utility_DisplayArrayInTable(Fertiliser_SourceData.Fertiliser_Products_Data2(), FertiliserProducts[[#Headers],[Company]],31)</f>
        <v>2.5000000000000001E-4</v>
      </c>
      <c r="AK148" s="1"/>
      <c r="AL148" s="1"/>
      <c r="AM148" s="1"/>
    </row>
    <row r="149" spans="1:39" ht="20.100000000000001" customHeight="1" x14ac:dyDescent="0.2">
      <c r="D149" s="170" t="str" cm="1">
        <f t="array" ref="D149">Common_InputFunctions.Utility_DisplayArrayInTable(Fertiliser_SourceData.Fertiliser_Products_Data2(), FertiliserProducts[[#Headers],[Company]],31)</f>
        <v>Yara Australia</v>
      </c>
      <c r="E149" s="170" t="str" cm="1">
        <f t="array" ref="E149">Common_InputFunctions.Utility_DisplayArrayInTable(Fertiliser_SourceData.Fertiliser_Products_Data2(), FertiliserProducts[[#Headers],[Company]],31)</f>
        <v>YaraTera KRISTALON SPECIAL</v>
      </c>
      <c r="F149" s="170" t="str" cm="1">
        <f t="array" ref="F149">Common_InputFunctions.Utility_DisplayArrayInTable(Fertiliser_SourceData.Fertiliser_Products_Data2(), FertiliserProducts[[#Headers],[Company]],31)</f>
        <v>kg</v>
      </c>
      <c r="G149" s="170" cm="1">
        <f t="array" ref="G149">Common_InputFunctions.Utility_DisplayArrayInTable(Fertiliser_SourceData.Fertiliser_Products_Data2(), FertiliserProducts[[#Headers],[Company]],31)</f>
        <v>1</v>
      </c>
      <c r="H149" s="170" t="str" cm="1">
        <f t="array" ref="H149">Common_InputFunctions.Utility_DisplayArrayInTable(Fertiliser_SourceData.Fertiliser_Products_Data2(), FertiliserProducts[[#Headers],[Company]],31)</f>
        <v/>
      </c>
      <c r="I149" s="170" t="str" cm="1">
        <f t="array" ref="I149">Common_InputFunctions.Utility_DisplayArrayInTable(Fertiliser_SourceData.Fertiliser_Products_Data2(), FertiliserProducts[[#Headers],[Company]],31)</f>
        <v/>
      </c>
      <c r="J149" s="170" t="str" cm="1">
        <f t="array" ref="J149">Common_InputFunctions.Utility_DisplayArrayInTable(Fertiliser_SourceData.Fertiliser_Products_Data2(), FertiliserProducts[[#Headers],[Company]],31)</f>
        <v/>
      </c>
      <c r="K149" s="170" cm="1">
        <f t="array" ref="K149">Common_InputFunctions.Utility_DisplayArrayInTable(Fertiliser_SourceData.Fertiliser_Products_Data2(), FertiliserProducts[[#Headers],[Company]],31)</f>
        <v>18</v>
      </c>
      <c r="L149" s="170" cm="1">
        <f t="array" ref="L149">Common_InputFunctions.Utility_DisplayArrayInTable(Fertiliser_SourceData.Fertiliser_Products_Data2(), FertiliserProducts[[#Headers],[Company]],31)</f>
        <v>7.9</v>
      </c>
      <c r="M149" s="170" cm="1">
        <f t="array" ref="M149">Common_InputFunctions.Utility_DisplayArrayInTable(Fertiliser_SourceData.Fertiliser_Products_Data2(), FertiliserProducts[[#Headers],[Company]],31)</f>
        <v>14.9</v>
      </c>
      <c r="N149" s="170" cm="1">
        <f t="array" ref="N149">Common_InputFunctions.Utility_DisplayArrayInTable(Fertiliser_SourceData.Fertiliser_Products_Data2(), FertiliserProducts[[#Headers],[Company]],31)</f>
        <v>2</v>
      </c>
      <c r="O149" s="170" t="str" cm="1">
        <f t="array" ref="O149">Common_InputFunctions.Utility_DisplayArrayInTable(Fertiliser_SourceData.Fertiliser_Products_Data2(), FertiliserProducts[[#Headers],[Company]],31)</f>
        <v>Potassium - Generic</v>
      </c>
      <c r="P149" s="170" cm="1">
        <f t="array" ref="P149">Common_InputFunctions.Utility_DisplayArrayInTable(Fertiliser_SourceData.Fertiliser_Products_Data2(), FertiliserProducts[[#Headers],[Company]],31)</f>
        <v>0.14899999999999999</v>
      </c>
      <c r="Q149" s="170" t="str" cm="1">
        <f t="array" ref="Q149">Common_InputFunctions.Utility_DisplayArrayInTable(Fertiliser_SourceData.Fertiliser_Products_Data2(), FertiliserProducts[[#Headers],[Company]],31)</f>
        <v>Urea</v>
      </c>
      <c r="R149" s="170" cm="1">
        <f t="array" ref="R149">Common_InputFunctions.Utility_DisplayArrayInTable(Fertiliser_SourceData.Fertiliser_Products_Data2(), FertiliserProducts[[#Headers],[Company]],31)</f>
        <v>0.21304300000000001</v>
      </c>
      <c r="S149" s="170" t="str" cm="1">
        <f t="array" ref="S149">Common_InputFunctions.Utility_DisplayArrayInTable(Fertiliser_SourceData.Fertiliser_Products_Data2(), FertiliserProducts[[#Headers],[Company]],31)</f>
        <v>Phosphorus - Generic</v>
      </c>
      <c r="T149" s="170" cm="1">
        <f t="array" ref="T149">Common_InputFunctions.Utility_DisplayArrayInTable(Fertiliser_SourceData.Fertiliser_Products_Data2(), FertiliserProducts[[#Headers],[Company]],31)</f>
        <v>7.9000000000000001E-2</v>
      </c>
      <c r="U149" s="170" t="str" cm="1">
        <f t="array" ref="U149">Common_InputFunctions.Utility_DisplayArrayInTable(Fertiliser_SourceData.Fertiliser_Products_Data2(), FertiliserProducts[[#Headers],[Company]],31)</f>
        <v>Nitrogen - Nitrate</v>
      </c>
      <c r="V149" s="170" cm="1">
        <f t="array" ref="V149">Common_InputFunctions.Utility_DisplayArrayInTable(Fertiliser_SourceData.Fertiliser_Products_Data2(), FertiliserProducts[[#Headers],[Company]],31)</f>
        <v>4.9000000000000002E-2</v>
      </c>
      <c r="W149" s="170" t="str" cm="1">
        <f t="array" ref="W149">Common_InputFunctions.Utility_DisplayArrayInTable(Fertiliser_SourceData.Fertiliser_Products_Data2(), FertiliserProducts[[#Headers],[Company]],31)</f>
        <v>Nitrogen - Ammoniacal</v>
      </c>
      <c r="X149" s="170" cm="1">
        <f t="array" ref="X149">Common_InputFunctions.Utility_DisplayArrayInTable(Fertiliser_SourceData.Fertiliser_Products_Data2(), FertiliserProducts[[#Headers],[Company]],31)</f>
        <v>3.3000000000000002E-2</v>
      </c>
      <c r="Y149" s="170" t="str" cm="1">
        <f t="array" ref="Y149">Common_InputFunctions.Utility_DisplayArrayInTable(Fertiliser_SourceData.Fertiliser_Products_Data2(), FertiliserProducts[[#Headers],[Company]],31)</f>
        <v>Sulfur - Generic</v>
      </c>
      <c r="Z149" s="170" cm="1">
        <f t="array" ref="Z149">Common_InputFunctions.Utility_DisplayArrayInTable(Fertiliser_SourceData.Fertiliser_Products_Data2(), FertiliserProducts[[#Headers],[Company]],31)</f>
        <v>0.02</v>
      </c>
      <c r="AA149" s="170" t="str" cm="1">
        <f t="array" ref="AA149">Common_InputFunctions.Utility_DisplayArrayInTable(Fertiliser_SourceData.Fertiliser_Products_Data2(), FertiliserProducts[[#Headers],[Company]],31)</f>
        <v>Magnesium</v>
      </c>
      <c r="AB149" s="170" cm="1">
        <f t="array" ref="AB149">Common_InputFunctions.Utility_DisplayArrayInTable(Fertiliser_SourceData.Fertiliser_Products_Data2(), FertiliserProducts[[#Headers],[Company]],31)</f>
        <v>1.7999999999999999E-2</v>
      </c>
      <c r="AC149" s="170" t="str" cm="1">
        <f t="array" ref="AC149">Common_InputFunctions.Utility_DisplayArrayInTable(Fertiliser_SourceData.Fertiliser_Products_Data2(), FertiliserProducts[[#Headers],[Company]],31)</f>
        <v>Iron</v>
      </c>
      <c r="AD149" s="170" cm="1">
        <f t="array" ref="AD149">Common_InputFunctions.Utility_DisplayArrayInTable(Fertiliser_SourceData.Fertiliser_Products_Data2(), FertiliserProducts[[#Headers],[Company]],31)</f>
        <v>6.9999999999999999E-4</v>
      </c>
      <c r="AE149" s="170" t="str" cm="1">
        <f t="array" ref="AE149">Common_InputFunctions.Utility_DisplayArrayInTable(Fertiliser_SourceData.Fertiliser_Products_Data2(), FertiliserProducts[[#Headers],[Company]],31)</f>
        <v>Manganese</v>
      </c>
      <c r="AF149" s="170" cm="1">
        <f t="array" ref="AF149">Common_InputFunctions.Utility_DisplayArrayInTable(Fertiliser_SourceData.Fertiliser_Products_Data2(), FertiliserProducts[[#Headers],[Company]],31)</f>
        <v>4.0000000000000002E-4</v>
      </c>
      <c r="AG149" s="170" t="str" cm="1">
        <f t="array" ref="AG149">Common_InputFunctions.Utility_DisplayArrayInTable(Fertiliser_SourceData.Fertiliser_Products_Data2(), FertiliserProducts[[#Headers],[Company]],31)</f>
        <v>Zinc</v>
      </c>
      <c r="AH149" s="170" cm="1">
        <f t="array" ref="AH149">Common_InputFunctions.Utility_DisplayArrayInTable(Fertiliser_SourceData.Fertiliser_Products_Data2(), FertiliserProducts[[#Headers],[Company]],31)</f>
        <v>2.5000000000000001E-4</v>
      </c>
      <c r="AK149" s="1"/>
      <c r="AL149" s="1"/>
      <c r="AM149" s="1"/>
    </row>
    <row r="150" spans="1:39" ht="20.100000000000001" customHeight="1" x14ac:dyDescent="0.2">
      <c r="D150" s="170" t="str" cm="1">
        <f t="array" ref="D150">Common_InputFunctions.Utility_DisplayArrayInTable(Fertiliser_SourceData.Fertiliser_Products_Data3(), FertiliserProducts[[#Headers],[Company]],61)</f>
        <v>Yara Australia</v>
      </c>
      <c r="E150" s="170" t="str" cm="1">
        <f t="array" ref="E150">Common_InputFunctions.Utility_DisplayArrayInTable(Fertiliser_SourceData.Fertiliser_Products_Data3(), FertiliserProducts[[#Headers],[Company]],61)</f>
        <v>YaraMila 21-7-3(4)</v>
      </c>
      <c r="F150" s="170" t="str" cm="1">
        <f t="array" ref="F150">Common_InputFunctions.Utility_DisplayArrayInTable(Fertiliser_SourceData.Fertiliser_Products_Data3(), FertiliserProducts[[#Headers],[Company]],61)</f>
        <v>kg</v>
      </c>
      <c r="G150" s="170" cm="1">
        <f t="array" ref="G150">Common_InputFunctions.Utility_DisplayArrayInTable(Fertiliser_SourceData.Fertiliser_Products_Data3(), FertiliserProducts[[#Headers],[Company]],61)</f>
        <v>1</v>
      </c>
      <c r="H150" s="170" t="str" cm="1">
        <f t="array" ref="H150">Common_InputFunctions.Utility_DisplayArrayInTable(Fertiliser_SourceData.Fertiliser_Products_Data3(), FertiliserProducts[[#Headers],[Company]],61)</f>
        <v/>
      </c>
      <c r="I150" s="170" t="str" cm="1">
        <f t="array" ref="I150">Common_InputFunctions.Utility_DisplayArrayInTable(Fertiliser_SourceData.Fertiliser_Products_Data3(), FertiliserProducts[[#Headers],[Company]],61)</f>
        <v/>
      </c>
      <c r="J150" s="170" t="str" cm="1">
        <f t="array" ref="J150">Common_InputFunctions.Utility_DisplayArrayInTable(Fertiliser_SourceData.Fertiliser_Products_Data3(), FertiliserProducts[[#Headers],[Company]],61)</f>
        <v/>
      </c>
      <c r="K150" s="170" cm="1">
        <f t="array" ref="K150">Common_InputFunctions.Utility_DisplayArrayInTable(Fertiliser_SourceData.Fertiliser_Products_Data3(), FertiliserProducts[[#Headers],[Company]],61)</f>
        <v>21</v>
      </c>
      <c r="L150" s="170" cm="1">
        <f t="array" ref="L150">Common_InputFunctions.Utility_DisplayArrayInTable(Fertiliser_SourceData.Fertiliser_Products_Data3(), FertiliserProducts[[#Headers],[Company]],61)</f>
        <v>7.4</v>
      </c>
      <c r="M150" s="170" cm="1">
        <f t="array" ref="M150">Common_InputFunctions.Utility_DisplayArrayInTable(Fertiliser_SourceData.Fertiliser_Products_Data3(), FertiliserProducts[[#Headers],[Company]],61)</f>
        <v>2.5</v>
      </c>
      <c r="N150" s="170" cm="1">
        <f t="array" ref="N150">Common_InputFunctions.Utility_DisplayArrayInTable(Fertiliser_SourceData.Fertiliser_Products_Data3(), FertiliserProducts[[#Headers],[Company]],61)</f>
        <v>4</v>
      </c>
      <c r="O150" s="170" t="str" cm="1">
        <f t="array" ref="O150">Common_InputFunctions.Utility_DisplayArrayInTable(Fertiliser_SourceData.Fertiliser_Products_Data3(), FertiliserProducts[[#Headers],[Company]],61)</f>
        <v>Nitrogen - Nitrate</v>
      </c>
      <c r="P150" s="170" cm="1">
        <f t="array" ref="P150">Common_InputFunctions.Utility_DisplayArrayInTable(Fertiliser_SourceData.Fertiliser_Products_Data3(), FertiliserProducts[[#Headers],[Company]],61)</f>
        <v>0.105</v>
      </c>
      <c r="Q150" s="170" t="str" cm="1">
        <f t="array" ref="Q150">Common_InputFunctions.Utility_DisplayArrayInTable(Fertiliser_SourceData.Fertiliser_Products_Data3(), FertiliserProducts[[#Headers],[Company]],61)</f>
        <v>Nitrogen - Ammoniacal</v>
      </c>
      <c r="R150" s="170" cm="1">
        <f t="array" ref="R150">Common_InputFunctions.Utility_DisplayArrayInTable(Fertiliser_SourceData.Fertiliser_Products_Data3(), FertiliserProducts[[#Headers],[Company]],61)</f>
        <v>0.105</v>
      </c>
      <c r="S150" s="170" t="str" cm="1">
        <f t="array" ref="S150">Common_InputFunctions.Utility_DisplayArrayInTable(Fertiliser_SourceData.Fertiliser_Products_Data3(), FertiliserProducts[[#Headers],[Company]],61)</f>
        <v>Phosphorus - Generic</v>
      </c>
      <c r="T150" s="170" cm="1">
        <f t="array" ref="T150">Common_InputFunctions.Utility_DisplayArrayInTable(Fertiliser_SourceData.Fertiliser_Products_Data3(), FertiliserProducts[[#Headers],[Company]],61)</f>
        <v>7.3999999999999996E-2</v>
      </c>
      <c r="U150" s="170" t="str" cm="1">
        <f t="array" ref="U150">Common_InputFunctions.Utility_DisplayArrayInTable(Fertiliser_SourceData.Fertiliser_Products_Data3(), FertiliserProducts[[#Headers],[Company]],61)</f>
        <v>Sulfur - Generic</v>
      </c>
      <c r="V150" s="170" cm="1">
        <f t="array" ref="V150">Common_InputFunctions.Utility_DisplayArrayInTable(Fertiliser_SourceData.Fertiliser_Products_Data3(), FertiliserProducts[[#Headers],[Company]],61)</f>
        <v>0.04</v>
      </c>
      <c r="W150" s="170" t="str" cm="1">
        <f t="array" ref="W150">Common_InputFunctions.Utility_DisplayArrayInTable(Fertiliser_SourceData.Fertiliser_Products_Data3(), FertiliserProducts[[#Headers],[Company]],61)</f>
        <v>Potassium - Generic</v>
      </c>
      <c r="X150" s="170" cm="1">
        <f t="array" ref="X150">Common_InputFunctions.Utility_DisplayArrayInTable(Fertiliser_SourceData.Fertiliser_Products_Data3(), FertiliserProducts[[#Headers],[Company]],61)</f>
        <v>2.5000000000000001E-2</v>
      </c>
      <c r="Y150" s="170" t="str" cm="1">
        <f t="array" ref="Y150">Common_InputFunctions.Utility_DisplayArrayInTable(Fertiliser_SourceData.Fertiliser_Products_Data3(), FertiliserProducts[[#Headers],[Company]],61)</f>
        <v>Magnesium</v>
      </c>
      <c r="Z150" s="170" cm="1">
        <f t="array" ref="Z150">Common_InputFunctions.Utility_DisplayArrayInTable(Fertiliser_SourceData.Fertiliser_Products_Data3(), FertiliserProducts[[#Headers],[Company]],61)</f>
        <v>4.0000000000000001E-3</v>
      </c>
      <c r="AA150" s="170" t="str" cm="1">
        <f t="array" ref="AA150">Common_InputFunctions.Utility_DisplayArrayInTable(Fertiliser_SourceData.Fertiliser_Products_Data3(), FertiliserProducts[[#Headers],[Company]],61)</f>
        <v>Zinc</v>
      </c>
      <c r="AB150" s="170" cm="1">
        <f t="array" ref="AB150">Common_InputFunctions.Utility_DisplayArrayInTable(Fertiliser_SourceData.Fertiliser_Products_Data3(), FertiliserProducts[[#Headers],[Company]],61)</f>
        <v>1.5E-3</v>
      </c>
      <c r="AC150" s="170" t="str" cm="1">
        <f t="array" ref="AC150">Common_InputFunctions.Utility_DisplayArrayInTable(Fertiliser_SourceData.Fertiliser_Products_Data3(), FertiliserProducts[[#Headers],[Company]],61)</f>
        <v/>
      </c>
      <c r="AD150" s="170" t="str" cm="1">
        <f t="array" ref="AD150">Common_InputFunctions.Utility_DisplayArrayInTable(Fertiliser_SourceData.Fertiliser_Products_Data3(), FertiliserProducts[[#Headers],[Company]],61)</f>
        <v/>
      </c>
      <c r="AE150" s="170" t="str" cm="1">
        <f t="array" ref="AE150">Common_InputFunctions.Utility_DisplayArrayInTable(Fertiliser_SourceData.Fertiliser_Products_Data3(), FertiliserProducts[[#Headers],[Company]],61)</f>
        <v/>
      </c>
      <c r="AF150" s="170" t="str" cm="1">
        <f t="array" ref="AF150">Common_InputFunctions.Utility_DisplayArrayInTable(Fertiliser_SourceData.Fertiliser_Products_Data3(), FertiliserProducts[[#Headers],[Company]],61)</f>
        <v/>
      </c>
      <c r="AG150" s="170" t="str" cm="1">
        <f t="array" ref="AG150">Common_InputFunctions.Utility_DisplayArrayInTable(Fertiliser_SourceData.Fertiliser_Products_Data3(), FertiliserProducts[[#Headers],[Company]],61)</f>
        <v/>
      </c>
      <c r="AH150" s="170" t="str" cm="1">
        <f t="array" ref="AH150">Common_InputFunctions.Utility_DisplayArrayInTable(Fertiliser_SourceData.Fertiliser_Products_Data3(), FertiliserProducts[[#Headers],[Company]],61)</f>
        <v/>
      </c>
      <c r="AK150" s="1"/>
      <c r="AL150" s="1"/>
      <c r="AM150" s="1"/>
    </row>
    <row r="151" spans="1:39" ht="20.100000000000001" customHeight="1" x14ac:dyDescent="0.2">
      <c r="D151" s="170" t="str" cm="1">
        <f t="array" ref="D151">Common_InputFunctions.Utility_DisplayArrayInTable(Fertiliser_SourceData.Fertiliser_Products_Data3(), FertiliserProducts[[#Headers],[Company]],61)</f>
        <v>Yara Australia</v>
      </c>
      <c r="E151" s="170" t="str" cm="1">
        <f t="array" ref="E151">Common_InputFunctions.Utility_DisplayArrayInTable(Fertiliser_SourceData.Fertiliser_Products_Data3(), FertiliserProducts[[#Headers],[Company]],61)</f>
        <v>YaraTera KRISTALON SCARLET</v>
      </c>
      <c r="F151" s="170" t="str" cm="1">
        <f t="array" ref="F151">Common_InputFunctions.Utility_DisplayArrayInTable(Fertiliser_SourceData.Fertiliser_Products_Data3(), FertiliserProducts[[#Headers],[Company]],61)</f>
        <v>kg</v>
      </c>
      <c r="G151" s="170" cm="1">
        <f t="array" ref="G151">Common_InputFunctions.Utility_DisplayArrayInTable(Fertiliser_SourceData.Fertiliser_Products_Data3(), FertiliserProducts[[#Headers],[Company]],61)</f>
        <v>1</v>
      </c>
      <c r="H151" s="170" t="str" cm="1">
        <f t="array" ref="H151">Common_InputFunctions.Utility_DisplayArrayInTable(Fertiliser_SourceData.Fertiliser_Products_Data3(), FertiliserProducts[[#Headers],[Company]],61)</f>
        <v/>
      </c>
      <c r="I151" s="170" t="str" cm="1">
        <f t="array" ref="I151">Common_InputFunctions.Utility_DisplayArrayInTable(Fertiliser_SourceData.Fertiliser_Products_Data3(), FertiliserProducts[[#Headers],[Company]],61)</f>
        <v/>
      </c>
      <c r="J151" s="170" t="str" cm="1">
        <f t="array" ref="J151">Common_InputFunctions.Utility_DisplayArrayInTable(Fertiliser_SourceData.Fertiliser_Products_Data3(), FertiliserProducts[[#Headers],[Company]],61)</f>
        <v/>
      </c>
      <c r="K151" s="170" cm="1">
        <f t="array" ref="K151">Common_InputFunctions.Utility_DisplayArrayInTable(Fertiliser_SourceData.Fertiliser_Products_Data3(), FertiliserProducts[[#Headers],[Company]],61)</f>
        <v>7.5</v>
      </c>
      <c r="L151" s="170" t="str" cm="1">
        <f t="array" ref="L151">Common_InputFunctions.Utility_DisplayArrayInTable(Fertiliser_SourceData.Fertiliser_Products_Data3(), FertiliserProducts[[#Headers],[Company]],61)</f>
        <v/>
      </c>
      <c r="M151" s="170" cm="1">
        <f t="array" ref="M151">Common_InputFunctions.Utility_DisplayArrayInTable(Fertiliser_SourceData.Fertiliser_Products_Data3(), FertiliserProducts[[#Headers],[Company]],61)</f>
        <v>29.9</v>
      </c>
      <c r="N151" s="170" cm="1">
        <f t="array" ref="N151">Common_InputFunctions.Utility_DisplayArrayInTable(Fertiliser_SourceData.Fertiliser_Products_Data3(), FertiliserProducts[[#Headers],[Company]],61)</f>
        <v>4</v>
      </c>
      <c r="O151" s="170" t="str" cm="1">
        <f t="array" ref="O151">Common_InputFunctions.Utility_DisplayArrayInTable(Fertiliser_SourceData.Fertiliser_Products_Data3(), FertiliserProducts[[#Headers],[Company]],61)</f>
        <v>Potassium - Generic</v>
      </c>
      <c r="P151" s="170" cm="1">
        <f t="array" ref="P151">Common_InputFunctions.Utility_DisplayArrayInTable(Fertiliser_SourceData.Fertiliser_Products_Data3(), FertiliserProducts[[#Headers],[Company]],61)</f>
        <v>0.29899999999999999</v>
      </c>
      <c r="Q151" s="170" t="str" cm="1">
        <f t="array" ref="Q151">Common_InputFunctions.Utility_DisplayArrayInTable(Fertiliser_SourceData.Fertiliser_Products_Data3(), FertiliserProducts[[#Headers],[Company]],61)</f>
        <v>Nitrogen - Nitrate</v>
      </c>
      <c r="R151" s="170" cm="1">
        <f t="array" ref="R151">Common_InputFunctions.Utility_DisplayArrayInTable(Fertiliser_SourceData.Fertiliser_Products_Data3(), FertiliserProducts[[#Headers],[Company]],61)</f>
        <v>5.1999999999999998E-2</v>
      </c>
      <c r="S151" s="170" t="str" cm="1">
        <f t="array" ref="S151">Common_InputFunctions.Utility_DisplayArrayInTable(Fertiliser_SourceData.Fertiliser_Products_Data3(), FertiliserProducts[[#Headers],[Company]],61)</f>
        <v>Sulfur - Generic</v>
      </c>
      <c r="T151" s="170" cm="1">
        <f t="array" ref="T151">Common_InputFunctions.Utility_DisplayArrayInTable(Fertiliser_SourceData.Fertiliser_Products_Data3(), FertiliserProducts[[#Headers],[Company]],61)</f>
        <v>0.04</v>
      </c>
      <c r="U151" s="170" t="str" cm="1">
        <f t="array" ref="U151">Common_InputFunctions.Utility_DisplayArrayInTable(Fertiliser_SourceData.Fertiliser_Products_Data3(), FertiliserProducts[[#Headers],[Company]],61)</f>
        <v>Magnesium</v>
      </c>
      <c r="V151" s="170" cm="1">
        <f t="array" ref="V151">Common_InputFunctions.Utility_DisplayArrayInTable(Fertiliser_SourceData.Fertiliser_Products_Data3(), FertiliserProducts[[#Headers],[Company]],61)</f>
        <v>2.7E-2</v>
      </c>
      <c r="W151" s="170" t="str" cm="1">
        <f t="array" ref="W151">Common_InputFunctions.Utility_DisplayArrayInTable(Fertiliser_SourceData.Fertiliser_Products_Data3(), FertiliserProducts[[#Headers],[Company]],61)</f>
        <v>Nitrogen - Ammoniacal</v>
      </c>
      <c r="X151" s="170" cm="1">
        <f t="array" ref="X151">Common_InputFunctions.Utility_DisplayArrayInTable(Fertiliser_SourceData.Fertiliser_Products_Data3(), FertiliserProducts[[#Headers],[Company]],61)</f>
        <v>2.3E-2</v>
      </c>
      <c r="Y151" s="170" t="str" cm="1">
        <f t="array" ref="Y151">Common_InputFunctions.Utility_DisplayArrayInTable(Fertiliser_SourceData.Fertiliser_Products_Data3(), FertiliserProducts[[#Headers],[Company]],61)</f>
        <v/>
      </c>
      <c r="Z151" s="170" t="str" cm="1">
        <f t="array" ref="Z151">Common_InputFunctions.Utility_DisplayArrayInTable(Fertiliser_SourceData.Fertiliser_Products_Data3(), FertiliserProducts[[#Headers],[Company]],61)</f>
        <v/>
      </c>
      <c r="AA151" s="170" t="str" cm="1">
        <f t="array" ref="AA151">Common_InputFunctions.Utility_DisplayArrayInTable(Fertiliser_SourceData.Fertiliser_Products_Data3(), FertiliserProducts[[#Headers],[Company]],61)</f>
        <v/>
      </c>
      <c r="AB151" s="170" t="str" cm="1">
        <f t="array" ref="AB151">Common_InputFunctions.Utility_DisplayArrayInTable(Fertiliser_SourceData.Fertiliser_Products_Data3(), FertiliserProducts[[#Headers],[Company]],61)</f>
        <v/>
      </c>
      <c r="AC151" s="170" t="str" cm="1">
        <f t="array" ref="AC151">Common_InputFunctions.Utility_DisplayArrayInTable(Fertiliser_SourceData.Fertiliser_Products_Data3(), FertiliserProducts[[#Headers],[Company]],61)</f>
        <v/>
      </c>
      <c r="AD151" s="170" t="str" cm="1">
        <f t="array" ref="AD151">Common_InputFunctions.Utility_DisplayArrayInTable(Fertiliser_SourceData.Fertiliser_Products_Data3(), FertiliserProducts[[#Headers],[Company]],61)</f>
        <v/>
      </c>
      <c r="AE151" s="170" t="str" cm="1">
        <f t="array" ref="AE151">Common_InputFunctions.Utility_DisplayArrayInTable(Fertiliser_SourceData.Fertiliser_Products_Data3(), FertiliserProducts[[#Headers],[Company]],61)</f>
        <v/>
      </c>
      <c r="AF151" s="170" t="str" cm="1">
        <f t="array" ref="AF151">Common_InputFunctions.Utility_DisplayArrayInTable(Fertiliser_SourceData.Fertiliser_Products_Data3(), FertiliserProducts[[#Headers],[Company]],61)</f>
        <v/>
      </c>
      <c r="AG151" s="170" t="str" cm="1">
        <f t="array" ref="AG151">Common_InputFunctions.Utility_DisplayArrayInTable(Fertiliser_SourceData.Fertiliser_Products_Data3(), FertiliserProducts[[#Headers],[Company]],61)</f>
        <v/>
      </c>
      <c r="AH151" s="170" t="str" cm="1">
        <f t="array" ref="AH151">Common_InputFunctions.Utility_DisplayArrayInTable(Fertiliser_SourceData.Fertiliser_Products_Data3(), FertiliserProducts[[#Headers],[Company]],61)</f>
        <v/>
      </c>
      <c r="AK151" s="1"/>
      <c r="AL151" s="1"/>
      <c r="AM151" s="1"/>
    </row>
    <row r="152" spans="1:39" ht="20.100000000000001" customHeight="1" x14ac:dyDescent="0.2">
      <c r="D152" s="170" t="str" cm="1">
        <f t="array" ref="D152">Common_InputFunctions.Utility_DisplayArrayInTable(Fertiliser_SourceData.Fertiliser_Products_Data3(), FertiliserProducts[[#Headers],[Company]],61)</f>
        <v>Campbells fertilisers Australia</v>
      </c>
      <c r="E152" s="170" t="str" cm="1">
        <f t="array" ref="E152">Common_InputFunctions.Utility_DisplayArrayInTable(Fertiliser_SourceData.Fertiliser_Products_Data3(), FertiliserProducts[[#Headers],[Company]],61)</f>
        <v>Solu-MAP</v>
      </c>
      <c r="F152" s="170" t="str" cm="1">
        <f t="array" ref="F152">Common_InputFunctions.Utility_DisplayArrayInTable(Fertiliser_SourceData.Fertiliser_Products_Data3(), FertiliserProducts[[#Headers],[Company]],61)</f>
        <v>kg</v>
      </c>
      <c r="G152" s="170" cm="1">
        <f t="array" ref="G152">Common_InputFunctions.Utility_DisplayArrayInTable(Fertiliser_SourceData.Fertiliser_Products_Data3(), FertiliserProducts[[#Headers],[Company]],61)</f>
        <v>1</v>
      </c>
      <c r="H152" s="170" t="str" cm="1">
        <f t="array" ref="H152">Common_InputFunctions.Utility_DisplayArrayInTable(Fertiliser_SourceData.Fertiliser_Products_Data3(), FertiliserProducts[[#Headers],[Company]],61)</f>
        <v/>
      </c>
      <c r="I152" s="170" t="str" cm="1">
        <f t="array" ref="I152">Common_InputFunctions.Utility_DisplayArrayInTable(Fertiliser_SourceData.Fertiliser_Products_Data3(), FertiliserProducts[[#Headers],[Company]],61)</f>
        <v/>
      </c>
      <c r="J152" s="170" t="str" cm="1">
        <f t="array" ref="J152">Common_InputFunctions.Utility_DisplayArrayInTable(Fertiliser_SourceData.Fertiliser_Products_Data3(), FertiliserProducts[[#Headers],[Company]],61)</f>
        <v/>
      </c>
      <c r="K152" s="170" cm="1">
        <f t="array" ref="K152">Common_InputFunctions.Utility_DisplayArrayInTable(Fertiliser_SourceData.Fertiliser_Products_Data3(), FertiliserProducts[[#Headers],[Company]],61)</f>
        <v>10</v>
      </c>
      <c r="L152" s="170" cm="1">
        <f t="array" ref="L152">Common_InputFunctions.Utility_DisplayArrayInTable(Fertiliser_SourceData.Fertiliser_Products_Data3(), FertiliserProducts[[#Headers],[Company]],61)</f>
        <v>21.9</v>
      </c>
      <c r="M152" s="170" t="str" cm="1">
        <f t="array" ref="M152">Common_InputFunctions.Utility_DisplayArrayInTable(Fertiliser_SourceData.Fertiliser_Products_Data3(), FertiliserProducts[[#Headers],[Company]],61)</f>
        <v/>
      </c>
      <c r="N152" s="170" t="str" cm="1">
        <f t="array" ref="N152">Common_InputFunctions.Utility_DisplayArrayInTable(Fertiliser_SourceData.Fertiliser_Products_Data3(), FertiliserProducts[[#Headers],[Company]],61)</f>
        <v/>
      </c>
      <c r="O152" s="170" t="str" cm="1">
        <f t="array" ref="O152">Common_InputFunctions.Utility_DisplayArrayInTable(Fertiliser_SourceData.Fertiliser_Products_Data3(), FertiliserProducts[[#Headers],[Company]],61)</f>
        <v>Monoammonium phosphate (MAP)</v>
      </c>
      <c r="P152" s="170" cm="1">
        <f t="array" ref="P152">Common_InputFunctions.Utility_DisplayArrayInTable(Fertiliser_SourceData.Fertiliser_Products_Data3(), FertiliserProducts[[#Headers],[Company]],61)</f>
        <v>1</v>
      </c>
      <c r="Q152" s="170" t="str" cm="1">
        <f t="array" ref="Q152">Common_InputFunctions.Utility_DisplayArrayInTable(Fertiliser_SourceData.Fertiliser_Products_Data3(), FertiliserProducts[[#Headers],[Company]],61)</f>
        <v/>
      </c>
      <c r="R152" s="170" t="str" cm="1">
        <f t="array" ref="R152">Common_InputFunctions.Utility_DisplayArrayInTable(Fertiliser_SourceData.Fertiliser_Products_Data3(), FertiliserProducts[[#Headers],[Company]],61)</f>
        <v/>
      </c>
      <c r="S152" s="170" t="str" cm="1">
        <f t="array" ref="S152">Common_InputFunctions.Utility_DisplayArrayInTable(Fertiliser_SourceData.Fertiliser_Products_Data3(), FertiliserProducts[[#Headers],[Company]],61)</f>
        <v/>
      </c>
      <c r="T152" s="170" t="str" cm="1">
        <f t="array" ref="T152">Common_InputFunctions.Utility_DisplayArrayInTable(Fertiliser_SourceData.Fertiliser_Products_Data3(), FertiliserProducts[[#Headers],[Company]],61)</f>
        <v/>
      </c>
      <c r="U152" s="170" t="str" cm="1">
        <f t="array" ref="U152">Common_InputFunctions.Utility_DisplayArrayInTable(Fertiliser_SourceData.Fertiliser_Products_Data3(), FertiliserProducts[[#Headers],[Company]],61)</f>
        <v/>
      </c>
      <c r="V152" s="170" t="str" cm="1">
        <f t="array" ref="V152">Common_InputFunctions.Utility_DisplayArrayInTable(Fertiliser_SourceData.Fertiliser_Products_Data3(), FertiliserProducts[[#Headers],[Company]],61)</f>
        <v/>
      </c>
      <c r="W152" s="170" t="str" cm="1">
        <f t="array" ref="W152">Common_InputFunctions.Utility_DisplayArrayInTable(Fertiliser_SourceData.Fertiliser_Products_Data3(), FertiliserProducts[[#Headers],[Company]],61)</f>
        <v/>
      </c>
      <c r="X152" s="170" t="str" cm="1">
        <f t="array" ref="X152">Common_InputFunctions.Utility_DisplayArrayInTable(Fertiliser_SourceData.Fertiliser_Products_Data3(), FertiliserProducts[[#Headers],[Company]],61)</f>
        <v/>
      </c>
      <c r="Y152" s="170" t="str" cm="1">
        <f t="array" ref="Y152">Common_InputFunctions.Utility_DisplayArrayInTable(Fertiliser_SourceData.Fertiliser_Products_Data3(), FertiliserProducts[[#Headers],[Company]],61)</f>
        <v/>
      </c>
      <c r="Z152" s="170" t="str" cm="1">
        <f t="array" ref="Z152">Common_InputFunctions.Utility_DisplayArrayInTable(Fertiliser_SourceData.Fertiliser_Products_Data3(), FertiliserProducts[[#Headers],[Company]],61)</f>
        <v/>
      </c>
      <c r="AA152" s="170" t="str" cm="1">
        <f t="array" ref="AA152">Common_InputFunctions.Utility_DisplayArrayInTable(Fertiliser_SourceData.Fertiliser_Products_Data3(), FertiliserProducts[[#Headers],[Company]],61)</f>
        <v/>
      </c>
      <c r="AB152" s="170" t="str" cm="1">
        <f t="array" ref="AB152">Common_InputFunctions.Utility_DisplayArrayInTable(Fertiliser_SourceData.Fertiliser_Products_Data3(), FertiliserProducts[[#Headers],[Company]],61)</f>
        <v/>
      </c>
      <c r="AC152" s="170" t="str" cm="1">
        <f t="array" ref="AC152">Common_InputFunctions.Utility_DisplayArrayInTable(Fertiliser_SourceData.Fertiliser_Products_Data3(), FertiliserProducts[[#Headers],[Company]],61)</f>
        <v/>
      </c>
      <c r="AD152" s="170" t="str" cm="1">
        <f t="array" ref="AD152">Common_InputFunctions.Utility_DisplayArrayInTable(Fertiliser_SourceData.Fertiliser_Products_Data3(), FertiliserProducts[[#Headers],[Company]],61)</f>
        <v/>
      </c>
      <c r="AE152" s="170" t="str" cm="1">
        <f t="array" ref="AE152">Common_InputFunctions.Utility_DisplayArrayInTable(Fertiliser_SourceData.Fertiliser_Products_Data3(), FertiliserProducts[[#Headers],[Company]],61)</f>
        <v/>
      </c>
      <c r="AF152" s="170" t="str" cm="1">
        <f t="array" ref="AF152">Common_InputFunctions.Utility_DisplayArrayInTable(Fertiliser_SourceData.Fertiliser_Products_Data3(), FertiliserProducts[[#Headers],[Company]],61)</f>
        <v/>
      </c>
      <c r="AG152" s="170" t="str" cm="1">
        <f t="array" ref="AG152">Common_InputFunctions.Utility_DisplayArrayInTable(Fertiliser_SourceData.Fertiliser_Products_Data3(), FertiliserProducts[[#Headers],[Company]],61)</f>
        <v/>
      </c>
      <c r="AH152" s="170" t="str" cm="1">
        <f t="array" ref="AH152">Common_InputFunctions.Utility_DisplayArrayInTable(Fertiliser_SourceData.Fertiliser_Products_Data3(), FertiliserProducts[[#Headers],[Company]],61)</f>
        <v/>
      </c>
      <c r="AK152" s="1"/>
      <c r="AL152" s="1"/>
      <c r="AM152" s="1"/>
    </row>
    <row r="153" spans="1:39" ht="20.100000000000001" customHeight="1" x14ac:dyDescent="0.2">
      <c r="D153" s="170" t="str" cm="1">
        <f t="array" ref="D153">Common_InputFunctions.Utility_DisplayArrayInTable(Fertiliser_SourceData.Fertiliser_Products_Data3(), FertiliserProducts[[#Headers],[Company]],61)</f>
        <v>Campbells fertilisers Australia</v>
      </c>
      <c r="E153" s="170" t="str" cm="1">
        <f t="array" ref="E153">Common_InputFunctions.Utility_DisplayArrayInTable(Fertiliser_SourceData.Fertiliser_Products_Data3(), FertiliserProducts[[#Headers],[Company]],61)</f>
        <v>Solu-Sam</v>
      </c>
      <c r="F153" s="170" t="str" cm="1">
        <f t="array" ref="F153">Common_InputFunctions.Utility_DisplayArrayInTable(Fertiliser_SourceData.Fertiliser_Products_Data3(), FertiliserProducts[[#Headers],[Company]],61)</f>
        <v>kg</v>
      </c>
      <c r="G153" s="170" cm="1">
        <f t="array" ref="G153">Common_InputFunctions.Utility_DisplayArrayInTable(Fertiliser_SourceData.Fertiliser_Products_Data3(), FertiliserProducts[[#Headers],[Company]],61)</f>
        <v>1</v>
      </c>
      <c r="H153" s="170" t="str" cm="1">
        <f t="array" ref="H153">Common_InputFunctions.Utility_DisplayArrayInTable(Fertiliser_SourceData.Fertiliser_Products_Data3(), FertiliserProducts[[#Headers],[Company]],61)</f>
        <v/>
      </c>
      <c r="I153" s="170" t="str" cm="1">
        <f t="array" ref="I153">Common_InputFunctions.Utility_DisplayArrayInTable(Fertiliser_SourceData.Fertiliser_Products_Data3(), FertiliserProducts[[#Headers],[Company]],61)</f>
        <v/>
      </c>
      <c r="J153" s="170" t="str" cm="1">
        <f t="array" ref="J153">Common_InputFunctions.Utility_DisplayArrayInTable(Fertiliser_SourceData.Fertiliser_Products_Data3(), FertiliserProducts[[#Headers],[Company]],61)</f>
        <v/>
      </c>
      <c r="K153" s="170" cm="1">
        <f t="array" ref="K153">Common_InputFunctions.Utility_DisplayArrayInTable(Fertiliser_SourceData.Fertiliser_Products_Data3(), FertiliserProducts[[#Headers],[Company]],61)</f>
        <v>21</v>
      </c>
      <c r="L153" s="170" t="str" cm="1">
        <f t="array" ref="L153">Common_InputFunctions.Utility_DisplayArrayInTable(Fertiliser_SourceData.Fertiliser_Products_Data3(), FertiliserProducts[[#Headers],[Company]],61)</f>
        <v/>
      </c>
      <c r="M153" s="170" t="str" cm="1">
        <f t="array" ref="M153">Common_InputFunctions.Utility_DisplayArrayInTable(Fertiliser_SourceData.Fertiliser_Products_Data3(), FertiliserProducts[[#Headers],[Company]],61)</f>
        <v/>
      </c>
      <c r="N153" s="170" cm="1">
        <f t="array" ref="N153">Common_InputFunctions.Utility_DisplayArrayInTable(Fertiliser_SourceData.Fertiliser_Products_Data3(), FertiliserProducts[[#Headers],[Company]],61)</f>
        <v>24</v>
      </c>
      <c r="O153" s="170" t="str" cm="1">
        <f t="array" ref="O153">Common_InputFunctions.Utility_DisplayArrayInTable(Fertiliser_SourceData.Fertiliser_Products_Data3(), FertiliserProducts[[#Headers],[Company]],61)</f>
        <v>Sulphate of ammonia (SOA)</v>
      </c>
      <c r="P153" s="170" cm="1">
        <f t="array" ref="P153">Common_InputFunctions.Utility_DisplayArrayInTable(Fertiliser_SourceData.Fertiliser_Products_Data3(), FertiliserProducts[[#Headers],[Company]],61)</f>
        <v>1</v>
      </c>
      <c r="Q153" s="170" t="str" cm="1">
        <f t="array" ref="Q153">Common_InputFunctions.Utility_DisplayArrayInTable(Fertiliser_SourceData.Fertiliser_Products_Data3(), FertiliserProducts[[#Headers],[Company]],61)</f>
        <v/>
      </c>
      <c r="R153" s="170" t="str" cm="1">
        <f t="array" ref="R153">Common_InputFunctions.Utility_DisplayArrayInTable(Fertiliser_SourceData.Fertiliser_Products_Data3(), FertiliserProducts[[#Headers],[Company]],61)</f>
        <v/>
      </c>
      <c r="S153" s="170" t="str" cm="1">
        <f t="array" ref="S153">Common_InputFunctions.Utility_DisplayArrayInTable(Fertiliser_SourceData.Fertiliser_Products_Data3(), FertiliserProducts[[#Headers],[Company]],61)</f>
        <v/>
      </c>
      <c r="T153" s="170" t="str" cm="1">
        <f t="array" ref="T153">Common_InputFunctions.Utility_DisplayArrayInTable(Fertiliser_SourceData.Fertiliser_Products_Data3(), FertiliserProducts[[#Headers],[Company]],61)</f>
        <v/>
      </c>
      <c r="U153" s="170" t="str" cm="1">
        <f t="array" ref="U153">Common_InputFunctions.Utility_DisplayArrayInTable(Fertiliser_SourceData.Fertiliser_Products_Data3(), FertiliserProducts[[#Headers],[Company]],61)</f>
        <v/>
      </c>
      <c r="V153" s="170" t="str" cm="1">
        <f t="array" ref="V153">Common_InputFunctions.Utility_DisplayArrayInTable(Fertiliser_SourceData.Fertiliser_Products_Data3(), FertiliserProducts[[#Headers],[Company]],61)</f>
        <v/>
      </c>
      <c r="W153" s="170" t="str" cm="1">
        <f t="array" ref="W153">Common_InputFunctions.Utility_DisplayArrayInTable(Fertiliser_SourceData.Fertiliser_Products_Data3(), FertiliserProducts[[#Headers],[Company]],61)</f>
        <v/>
      </c>
      <c r="X153" s="170" t="str" cm="1">
        <f t="array" ref="X153">Common_InputFunctions.Utility_DisplayArrayInTable(Fertiliser_SourceData.Fertiliser_Products_Data3(), FertiliserProducts[[#Headers],[Company]],61)</f>
        <v/>
      </c>
      <c r="Y153" s="170" t="str" cm="1">
        <f t="array" ref="Y153">Common_InputFunctions.Utility_DisplayArrayInTable(Fertiliser_SourceData.Fertiliser_Products_Data3(), FertiliserProducts[[#Headers],[Company]],61)</f>
        <v/>
      </c>
      <c r="Z153" s="170" t="str" cm="1">
        <f t="array" ref="Z153">Common_InputFunctions.Utility_DisplayArrayInTable(Fertiliser_SourceData.Fertiliser_Products_Data3(), FertiliserProducts[[#Headers],[Company]],61)</f>
        <v/>
      </c>
      <c r="AA153" s="170" t="str" cm="1">
        <f t="array" ref="AA153">Common_InputFunctions.Utility_DisplayArrayInTable(Fertiliser_SourceData.Fertiliser_Products_Data3(), FertiliserProducts[[#Headers],[Company]],61)</f>
        <v/>
      </c>
      <c r="AB153" s="170" t="str" cm="1">
        <f t="array" ref="AB153">Common_InputFunctions.Utility_DisplayArrayInTable(Fertiliser_SourceData.Fertiliser_Products_Data3(), FertiliserProducts[[#Headers],[Company]],61)</f>
        <v/>
      </c>
      <c r="AC153" s="170" t="str" cm="1">
        <f t="array" ref="AC153">Common_InputFunctions.Utility_DisplayArrayInTable(Fertiliser_SourceData.Fertiliser_Products_Data3(), FertiliserProducts[[#Headers],[Company]],61)</f>
        <v/>
      </c>
      <c r="AD153" s="170" t="str" cm="1">
        <f t="array" ref="AD153">Common_InputFunctions.Utility_DisplayArrayInTable(Fertiliser_SourceData.Fertiliser_Products_Data3(), FertiliserProducts[[#Headers],[Company]],61)</f>
        <v/>
      </c>
      <c r="AE153" s="170" t="str" cm="1">
        <f t="array" ref="AE153">Common_InputFunctions.Utility_DisplayArrayInTable(Fertiliser_SourceData.Fertiliser_Products_Data3(), FertiliserProducts[[#Headers],[Company]],61)</f>
        <v/>
      </c>
      <c r="AF153" s="170" t="str" cm="1">
        <f t="array" ref="AF153">Common_InputFunctions.Utility_DisplayArrayInTable(Fertiliser_SourceData.Fertiliser_Products_Data3(), FertiliserProducts[[#Headers],[Company]],61)</f>
        <v/>
      </c>
      <c r="AG153" s="170" t="str" cm="1">
        <f t="array" ref="AG153">Common_InputFunctions.Utility_DisplayArrayInTable(Fertiliser_SourceData.Fertiliser_Products_Data3(), FertiliserProducts[[#Headers],[Company]],61)</f>
        <v/>
      </c>
      <c r="AH153" s="170" t="str" cm="1">
        <f t="array" ref="AH153">Common_InputFunctions.Utility_DisplayArrayInTable(Fertiliser_SourceData.Fertiliser_Products_Data3(), FertiliserProducts[[#Headers],[Company]],61)</f>
        <v/>
      </c>
      <c r="AK153" s="1"/>
      <c r="AL153" s="1"/>
      <c r="AM153" s="1"/>
    </row>
    <row r="154" spans="1:39" ht="20.100000000000001" customHeight="1" x14ac:dyDescent="0.2">
      <c r="D154" s="170" t="str" cm="1">
        <f t="array" ref="D154">Common_InputFunctions.Utility_DisplayArrayInTable(Fertiliser_SourceData.Fertiliser_Products_Data3(), FertiliserProducts[[#Headers],[Company]],61)</f>
        <v>Campbells fertilisers Australia</v>
      </c>
      <c r="E154" s="170" t="str" cm="1">
        <f t="array" ref="E154">Common_InputFunctions.Utility_DisplayArrayInTable(Fertiliser_SourceData.Fertiliser_Products_Data3(), FertiliserProducts[[#Headers],[Company]],61)</f>
        <v>Rustica Plus</v>
      </c>
      <c r="F154" s="170" t="str" cm="1">
        <f t="array" ref="F154">Common_InputFunctions.Utility_DisplayArrayInTable(Fertiliser_SourceData.Fertiliser_Products_Data3(), FertiliserProducts[[#Headers],[Company]],61)</f>
        <v>kg</v>
      </c>
      <c r="G154" s="170" cm="1">
        <f t="array" ref="G154">Common_InputFunctions.Utility_DisplayArrayInTable(Fertiliser_SourceData.Fertiliser_Products_Data3(), FertiliserProducts[[#Headers],[Company]],61)</f>
        <v>1</v>
      </c>
      <c r="H154" s="170" t="str" cm="1">
        <f t="array" ref="H154">Common_InputFunctions.Utility_DisplayArrayInTable(Fertiliser_SourceData.Fertiliser_Products_Data3(), FertiliserProducts[[#Headers],[Company]],61)</f>
        <v/>
      </c>
      <c r="I154" s="170" t="str" cm="1">
        <f t="array" ref="I154">Common_InputFunctions.Utility_DisplayArrayInTable(Fertiliser_SourceData.Fertiliser_Products_Data3(), FertiliserProducts[[#Headers],[Company]],61)</f>
        <v/>
      </c>
      <c r="J154" s="170" t="str" cm="1">
        <f t="array" ref="J154">Common_InputFunctions.Utility_DisplayArrayInTable(Fertiliser_SourceData.Fertiliser_Products_Data3(), FertiliserProducts[[#Headers],[Company]],61)</f>
        <v/>
      </c>
      <c r="K154" s="170" cm="1">
        <f t="array" ref="K154">Common_InputFunctions.Utility_DisplayArrayInTable(Fertiliser_SourceData.Fertiliser_Products_Data3(), FertiliserProducts[[#Headers],[Company]],61)</f>
        <v>12</v>
      </c>
      <c r="L154" s="170" cm="1">
        <f t="array" ref="L154">Common_InputFunctions.Utility_DisplayArrayInTable(Fertiliser_SourceData.Fertiliser_Products_Data3(), FertiliserProducts[[#Headers],[Company]],61)</f>
        <v>5</v>
      </c>
      <c r="M154" s="170" cm="1">
        <f t="array" ref="M154">Common_InputFunctions.Utility_DisplayArrayInTable(Fertiliser_SourceData.Fertiliser_Products_Data3(), FertiliserProducts[[#Headers],[Company]],61)</f>
        <v>14</v>
      </c>
      <c r="N154" s="170" cm="1">
        <f t="array" ref="N154">Common_InputFunctions.Utility_DisplayArrayInTable(Fertiliser_SourceData.Fertiliser_Products_Data3(), FertiliserProducts[[#Headers],[Company]],61)</f>
        <v>9.6999999999999993</v>
      </c>
      <c r="O154" s="170" t="str" cm="1">
        <f t="array" ref="O154">Common_InputFunctions.Utility_DisplayArrayInTable(Fertiliser_SourceData.Fertiliser_Products_Data3(), FertiliserProducts[[#Headers],[Company]],61)</f>
        <v>Potassium - Generic</v>
      </c>
      <c r="P154" s="170" cm="1">
        <f t="array" ref="P154">Common_InputFunctions.Utility_DisplayArrayInTable(Fertiliser_SourceData.Fertiliser_Products_Data3(), FertiliserProducts[[#Headers],[Company]],61)</f>
        <v>0.14000000000000001</v>
      </c>
      <c r="Q154" s="170" t="str" cm="1">
        <f t="array" ref="Q154">Common_InputFunctions.Utility_DisplayArrayInTable(Fertiliser_SourceData.Fertiliser_Products_Data3(), FertiliserProducts[[#Headers],[Company]],61)</f>
        <v>Sulfur - Generic</v>
      </c>
      <c r="R154" s="170" cm="1">
        <f t="array" ref="R154">Common_InputFunctions.Utility_DisplayArrayInTable(Fertiliser_SourceData.Fertiliser_Products_Data3(), FertiliserProducts[[#Headers],[Company]],61)</f>
        <v>9.7000000000000003E-2</v>
      </c>
      <c r="S154" s="170" t="str" cm="1">
        <f t="array" ref="S154">Common_InputFunctions.Utility_DisplayArrayInTable(Fertiliser_SourceData.Fertiliser_Products_Data3(), FertiliserProducts[[#Headers],[Company]],61)</f>
        <v>Nitrogen - Nitrate</v>
      </c>
      <c r="T154" s="170" cm="1">
        <f t="array" ref="T154">Common_InputFunctions.Utility_DisplayArrayInTable(Fertiliser_SourceData.Fertiliser_Products_Data3(), FertiliserProducts[[#Headers],[Company]],61)</f>
        <v>0.06</v>
      </c>
      <c r="U154" s="170" t="str" cm="1">
        <f t="array" ref="U154">Common_InputFunctions.Utility_DisplayArrayInTable(Fertiliser_SourceData.Fertiliser_Products_Data3(), FertiliserProducts[[#Headers],[Company]],61)</f>
        <v>Nitrogen - Ammoniacal</v>
      </c>
      <c r="V154" s="170" cm="1">
        <f t="array" ref="V154">Common_InputFunctions.Utility_DisplayArrayInTable(Fertiliser_SourceData.Fertiliser_Products_Data3(), FertiliserProducts[[#Headers],[Company]],61)</f>
        <v>0.06</v>
      </c>
      <c r="W154" s="170" t="str" cm="1">
        <f t="array" ref="W154">Common_InputFunctions.Utility_DisplayArrayInTable(Fertiliser_SourceData.Fertiliser_Products_Data3(), FertiliserProducts[[#Headers],[Company]],61)</f>
        <v>Phosphorus - Generic</v>
      </c>
      <c r="X154" s="170" cm="1">
        <f t="array" ref="X154">Common_InputFunctions.Utility_DisplayArrayInTable(Fertiliser_SourceData.Fertiliser_Products_Data3(), FertiliserProducts[[#Headers],[Company]],61)</f>
        <v>0.05</v>
      </c>
      <c r="Y154" s="170" t="str" cm="1">
        <f t="array" ref="Y154">Common_InputFunctions.Utility_DisplayArrayInTable(Fertiliser_SourceData.Fertiliser_Products_Data3(), FertiliserProducts[[#Headers],[Company]],61)</f>
        <v>Calcium</v>
      </c>
      <c r="Z154" s="170" cm="1">
        <f t="array" ref="Z154">Common_InputFunctions.Utility_DisplayArrayInTable(Fertiliser_SourceData.Fertiliser_Products_Data3(), FertiliserProducts[[#Headers],[Company]],61)</f>
        <v>3.1E-2</v>
      </c>
      <c r="AA154" s="170" t="str" cm="1">
        <f t="array" ref="AA154">Common_InputFunctions.Utility_DisplayArrayInTable(Fertiliser_SourceData.Fertiliser_Products_Data3(), FertiliserProducts[[#Headers],[Company]],61)</f>
        <v>Magnesium</v>
      </c>
      <c r="AB154" s="170" cm="1">
        <f t="array" ref="AB154">Common_InputFunctions.Utility_DisplayArrayInTable(Fertiliser_SourceData.Fertiliser_Products_Data3(), FertiliserProducts[[#Headers],[Company]],61)</f>
        <v>1.2E-2</v>
      </c>
      <c r="AC154" s="170" t="str" cm="1">
        <f t="array" ref="AC154">Common_InputFunctions.Utility_DisplayArrayInTable(Fertiliser_SourceData.Fertiliser_Products_Data3(), FertiliserProducts[[#Headers],[Company]],61)</f>
        <v>Zinc</v>
      </c>
      <c r="AD154" s="170" cm="1">
        <f t="array" ref="AD154">Common_InputFunctions.Utility_DisplayArrayInTable(Fertiliser_SourceData.Fertiliser_Products_Data3(), FertiliserProducts[[#Headers],[Company]],61)</f>
        <v>1E-3</v>
      </c>
      <c r="AE154" s="170" t="str" cm="1">
        <f t="array" ref="AE154">Common_InputFunctions.Utility_DisplayArrayInTable(Fertiliser_SourceData.Fertiliser_Products_Data3(), FertiliserProducts[[#Headers],[Company]],61)</f>
        <v>Boron</v>
      </c>
      <c r="AF154" s="170" cm="1">
        <f t="array" ref="AF154">Common_InputFunctions.Utility_DisplayArrayInTable(Fertiliser_SourceData.Fertiliser_Products_Data3(), FertiliserProducts[[#Headers],[Company]],61)</f>
        <v>2.0000000000000001E-4</v>
      </c>
      <c r="AG154" s="170" t="str" cm="1">
        <f t="array" ref="AG154">Common_InputFunctions.Utility_DisplayArrayInTable(Fertiliser_SourceData.Fertiliser_Products_Data3(), FertiliserProducts[[#Headers],[Company]],61)</f>
        <v/>
      </c>
      <c r="AH154" s="170" t="str" cm="1">
        <f t="array" ref="AH154">Common_InputFunctions.Utility_DisplayArrayInTable(Fertiliser_SourceData.Fertiliser_Products_Data3(), FertiliserProducts[[#Headers],[Company]],61)</f>
        <v/>
      </c>
      <c r="AK154" s="1"/>
    </row>
    <row r="155" spans="1:39" ht="20.100000000000001" customHeight="1" x14ac:dyDescent="0.2">
      <c r="D155" s="170" t="str" cm="1">
        <f t="array" ref="D155">Common_InputFunctions.Utility_DisplayArrayInTable(Fertiliser_SourceData.Fertiliser_Products_Data3(), FertiliserProducts[[#Headers],[Company]],61)</f>
        <v>Campbells fertilisers Australia</v>
      </c>
      <c r="E155" s="170" t="str" cm="1">
        <f t="array" ref="E155">Common_InputFunctions.Utility_DisplayArrayInTable(Fertiliser_SourceData.Fertiliser_Products_Data3(), FertiliserProducts[[#Headers],[Company]],61)</f>
        <v>Platinum Plus</v>
      </c>
      <c r="F155" s="170" t="str" cm="1">
        <f t="array" ref="F155">Common_InputFunctions.Utility_DisplayArrayInTable(Fertiliser_SourceData.Fertiliser_Products_Data3(), FertiliserProducts[[#Headers],[Company]],61)</f>
        <v>kg</v>
      </c>
      <c r="G155" s="170" cm="1">
        <f t="array" ref="G155">Common_InputFunctions.Utility_DisplayArrayInTable(Fertiliser_SourceData.Fertiliser_Products_Data3(), FertiliserProducts[[#Headers],[Company]],61)</f>
        <v>1</v>
      </c>
      <c r="H155" s="170" t="str" cm="1">
        <f t="array" ref="H155">Common_InputFunctions.Utility_DisplayArrayInTable(Fertiliser_SourceData.Fertiliser_Products_Data3(), FertiliserProducts[[#Headers],[Company]],61)</f>
        <v/>
      </c>
      <c r="I155" s="170" t="str" cm="1">
        <f t="array" ref="I155">Common_InputFunctions.Utility_DisplayArrayInTable(Fertiliser_SourceData.Fertiliser_Products_Data3(), FertiliserProducts[[#Headers],[Company]],61)</f>
        <v/>
      </c>
      <c r="J155" s="170" t="str" cm="1">
        <f t="array" ref="J155">Common_InputFunctions.Utility_DisplayArrayInTable(Fertiliser_SourceData.Fertiliser_Products_Data3(), FertiliserProducts[[#Headers],[Company]],61)</f>
        <v/>
      </c>
      <c r="K155" s="170" cm="1">
        <f t="array" ref="K155">Common_InputFunctions.Utility_DisplayArrayInTable(Fertiliser_SourceData.Fertiliser_Products_Data3(), FertiliserProducts[[#Headers],[Company]],61)</f>
        <v>10</v>
      </c>
      <c r="L155" s="170" cm="1">
        <f t="array" ref="L155">Common_InputFunctions.Utility_DisplayArrayInTable(Fertiliser_SourceData.Fertiliser_Products_Data3(), FertiliserProducts[[#Headers],[Company]],61)</f>
        <v>11</v>
      </c>
      <c r="M155" s="170" cm="1">
        <f t="array" ref="M155">Common_InputFunctions.Utility_DisplayArrayInTable(Fertiliser_SourceData.Fertiliser_Products_Data3(), FertiliserProducts[[#Headers],[Company]],61)</f>
        <v>10</v>
      </c>
      <c r="N155" s="170" cm="1">
        <f t="array" ref="N155">Common_InputFunctions.Utility_DisplayArrayInTable(Fertiliser_SourceData.Fertiliser_Products_Data3(), FertiliserProducts[[#Headers],[Company]],61)</f>
        <v>6</v>
      </c>
      <c r="O155" s="170" t="str" cm="1">
        <f t="array" ref="O155">Common_InputFunctions.Utility_DisplayArrayInTable(Fertiliser_SourceData.Fertiliser_Products_Data3(), FertiliserProducts[[#Headers],[Company]],61)</f>
        <v>Phosphorus - Generic</v>
      </c>
      <c r="P155" s="170" cm="1">
        <f t="array" ref="P155">Common_InputFunctions.Utility_DisplayArrayInTable(Fertiliser_SourceData.Fertiliser_Products_Data3(), FertiliserProducts[[#Headers],[Company]],61)</f>
        <v>0.11</v>
      </c>
      <c r="Q155" s="170" t="str" cm="1">
        <f t="array" ref="Q155">Common_InputFunctions.Utility_DisplayArrayInTable(Fertiliser_SourceData.Fertiliser_Products_Data3(), FertiliserProducts[[#Headers],[Company]],61)</f>
        <v>Potassium - Generic</v>
      </c>
      <c r="R155" s="170" cm="1">
        <f t="array" ref="R155">Common_InputFunctions.Utility_DisplayArrayInTable(Fertiliser_SourceData.Fertiliser_Products_Data3(), FertiliserProducts[[#Headers],[Company]],61)</f>
        <v>0.1</v>
      </c>
      <c r="S155" s="170" t="str" cm="1">
        <f t="array" ref="S155">Common_InputFunctions.Utility_DisplayArrayInTable(Fertiliser_SourceData.Fertiliser_Products_Data3(), FertiliserProducts[[#Headers],[Company]],61)</f>
        <v>Sulfur - Generic</v>
      </c>
      <c r="T155" s="170" cm="1">
        <f t="array" ref="T155">Common_InputFunctions.Utility_DisplayArrayInTable(Fertiliser_SourceData.Fertiliser_Products_Data3(), FertiliserProducts[[#Headers],[Company]],61)</f>
        <v>0.06</v>
      </c>
      <c r="U155" s="170" t="str" cm="1">
        <f t="array" ref="U155">Common_InputFunctions.Utility_DisplayArrayInTable(Fertiliser_SourceData.Fertiliser_Products_Data3(), FertiliserProducts[[#Headers],[Company]],61)</f>
        <v>Nitrogen - Nitrate</v>
      </c>
      <c r="V155" s="170" cm="1">
        <f t="array" ref="V155">Common_InputFunctions.Utility_DisplayArrayInTable(Fertiliser_SourceData.Fertiliser_Products_Data3(), FertiliserProducts[[#Headers],[Company]],61)</f>
        <v>0.05</v>
      </c>
      <c r="W155" s="170" t="str" cm="1">
        <f t="array" ref="W155">Common_InputFunctions.Utility_DisplayArrayInTable(Fertiliser_SourceData.Fertiliser_Products_Data3(), FertiliserProducts[[#Headers],[Company]],61)</f>
        <v>Nitrogen - Ammoniacal</v>
      </c>
      <c r="X155" s="170" cm="1">
        <f t="array" ref="X155">Common_InputFunctions.Utility_DisplayArrayInTable(Fertiliser_SourceData.Fertiliser_Products_Data3(), FertiliserProducts[[#Headers],[Company]],61)</f>
        <v>0.05</v>
      </c>
      <c r="Y155" s="170" t="str" cm="1">
        <f t="array" ref="Y155">Common_InputFunctions.Utility_DisplayArrayInTable(Fertiliser_SourceData.Fertiliser_Products_Data3(), FertiliserProducts[[#Headers],[Company]],61)</f>
        <v>Calcium</v>
      </c>
      <c r="Z155" s="170" cm="1">
        <f t="array" ref="Z155">Common_InputFunctions.Utility_DisplayArrayInTable(Fertiliser_SourceData.Fertiliser_Products_Data3(), FertiliserProducts[[#Headers],[Company]],61)</f>
        <v>4.2999999999999997E-2</v>
      </c>
      <c r="AA155" s="170" t="str" cm="1">
        <f t="array" ref="AA155">Common_InputFunctions.Utility_DisplayArrayInTable(Fertiliser_SourceData.Fertiliser_Products_Data3(), FertiliserProducts[[#Headers],[Company]],61)</f>
        <v>Magnesium</v>
      </c>
      <c r="AB155" s="170" cm="1">
        <f t="array" ref="AB155">Common_InputFunctions.Utility_DisplayArrayInTable(Fertiliser_SourceData.Fertiliser_Products_Data3(), FertiliserProducts[[#Headers],[Company]],61)</f>
        <v>1.2E-2</v>
      </c>
      <c r="AC155" s="170" t="str" cm="1">
        <f t="array" ref="AC155">Common_InputFunctions.Utility_DisplayArrayInTable(Fertiliser_SourceData.Fertiliser_Products_Data3(), FertiliserProducts[[#Headers],[Company]],61)</f>
        <v>Zinc</v>
      </c>
      <c r="AD155" s="170" cm="1">
        <f t="array" ref="AD155">Common_InputFunctions.Utility_DisplayArrayInTable(Fertiliser_SourceData.Fertiliser_Products_Data3(), FertiliserProducts[[#Headers],[Company]],61)</f>
        <v>3.5999999999999999E-3</v>
      </c>
      <c r="AE155" s="170" t="str" cm="1">
        <f t="array" ref="AE155">Common_InputFunctions.Utility_DisplayArrayInTable(Fertiliser_SourceData.Fertiliser_Products_Data3(), FertiliserProducts[[#Headers],[Company]],61)</f>
        <v>Boron</v>
      </c>
      <c r="AF155" s="170" cm="1">
        <f t="array" ref="AF155">Common_InputFunctions.Utility_DisplayArrayInTable(Fertiliser_SourceData.Fertiliser_Products_Data3(), FertiliserProducts[[#Headers],[Company]],61)</f>
        <v>1E-3</v>
      </c>
      <c r="AG155" s="170" t="str" cm="1">
        <f t="array" ref="AG155">Common_InputFunctions.Utility_DisplayArrayInTable(Fertiliser_SourceData.Fertiliser_Products_Data3(), FertiliserProducts[[#Headers],[Company]],61)</f>
        <v/>
      </c>
      <c r="AH155" s="170" t="str" cm="1">
        <f t="array" ref="AH155">Common_InputFunctions.Utility_DisplayArrayInTable(Fertiliser_SourceData.Fertiliser_Products_Data3(), FertiliserProducts[[#Headers],[Company]],61)</f>
        <v/>
      </c>
      <c r="AK155" s="1"/>
    </row>
    <row r="156" spans="1:39" ht="20.100000000000001" customHeight="1" x14ac:dyDescent="0.2">
      <c r="D156" s="170" t="str" cm="1">
        <f t="array" ref="D156">Common_InputFunctions.Utility_DisplayArrayInTable(Fertiliser_SourceData.Fertiliser_Products_Data3(), FertiliserProducts[[#Headers],[Company]],61)</f>
        <v>Campbells fertilisers Australia</v>
      </c>
      <c r="E156" s="170" t="str" cm="1">
        <f t="array" ref="E156">Common_InputFunctions.Utility_DisplayArrayInTable(Fertiliser_SourceData.Fertiliser_Products_Data3(), FertiliserProducts[[#Headers],[Company]],61)</f>
        <v>Tropika</v>
      </c>
      <c r="F156" s="170" t="str" cm="1">
        <f t="array" ref="F156">Common_InputFunctions.Utility_DisplayArrayInTable(Fertiliser_SourceData.Fertiliser_Products_Data3(), FertiliserProducts[[#Headers],[Company]],61)</f>
        <v>kg</v>
      </c>
      <c r="G156" s="170" cm="1">
        <f t="array" ref="G156">Common_InputFunctions.Utility_DisplayArrayInTable(Fertiliser_SourceData.Fertiliser_Products_Data3(), FertiliserProducts[[#Headers],[Company]],61)</f>
        <v>1</v>
      </c>
      <c r="H156" s="170" t="str" cm="1">
        <f t="array" ref="H156">Common_InputFunctions.Utility_DisplayArrayInTable(Fertiliser_SourceData.Fertiliser_Products_Data3(), FertiliserProducts[[#Headers],[Company]],61)</f>
        <v/>
      </c>
      <c r="I156" s="170" t="str" cm="1">
        <f t="array" ref="I156">Common_InputFunctions.Utility_DisplayArrayInTable(Fertiliser_SourceData.Fertiliser_Products_Data3(), FertiliserProducts[[#Headers],[Company]],61)</f>
        <v/>
      </c>
      <c r="J156" s="170" t="str" cm="1">
        <f t="array" ref="J156">Common_InputFunctions.Utility_DisplayArrayInTable(Fertiliser_SourceData.Fertiliser_Products_Data3(), FertiliserProducts[[#Headers],[Company]],61)</f>
        <v/>
      </c>
      <c r="K156" s="170" cm="1">
        <f t="array" ref="K156">Common_InputFunctions.Utility_DisplayArrayInTable(Fertiliser_SourceData.Fertiliser_Products_Data3(), FertiliserProducts[[#Headers],[Company]],61)</f>
        <v>11</v>
      </c>
      <c r="L156" s="170" cm="1">
        <f t="array" ref="L156">Common_InputFunctions.Utility_DisplayArrayInTable(Fertiliser_SourceData.Fertiliser_Products_Data3(), FertiliserProducts[[#Headers],[Company]],61)</f>
        <v>2.6</v>
      </c>
      <c r="M156" s="170" cm="1">
        <f t="array" ref="M156">Common_InputFunctions.Utility_DisplayArrayInTable(Fertiliser_SourceData.Fertiliser_Products_Data3(), FertiliserProducts[[#Headers],[Company]],61)</f>
        <v>20.8</v>
      </c>
      <c r="N156" s="170" cm="1">
        <f t="array" ref="N156">Common_InputFunctions.Utility_DisplayArrayInTable(Fertiliser_SourceData.Fertiliser_Products_Data3(), FertiliserProducts[[#Headers],[Company]],61)</f>
        <v>4</v>
      </c>
      <c r="O156" s="170" t="str" cm="1">
        <f t="array" ref="O156">Common_InputFunctions.Utility_DisplayArrayInTable(Fertiliser_SourceData.Fertiliser_Products_Data3(), FertiliserProducts[[#Headers],[Company]],61)</f>
        <v>Nitrogen - Nitrate</v>
      </c>
      <c r="P156" s="170" cm="1">
        <f t="array" ref="P156">Common_InputFunctions.Utility_DisplayArrayInTable(Fertiliser_SourceData.Fertiliser_Products_Data3(), FertiliserProducts[[#Headers],[Company]],61)</f>
        <v>5.5E-2</v>
      </c>
      <c r="Q156" s="170" t="str" cm="1">
        <f t="array" ref="Q156">Common_InputFunctions.Utility_DisplayArrayInTable(Fertiliser_SourceData.Fertiliser_Products_Data3(), FertiliserProducts[[#Headers],[Company]],61)</f>
        <v>Nitrogen - Ammoniacal</v>
      </c>
      <c r="R156" s="170" cm="1">
        <f t="array" ref="R156">Common_InputFunctions.Utility_DisplayArrayInTable(Fertiliser_SourceData.Fertiliser_Products_Data3(), FertiliserProducts[[#Headers],[Company]],61)</f>
        <v>5.5E-2</v>
      </c>
      <c r="S156" s="170" t="str" cm="1">
        <f t="array" ref="S156">Common_InputFunctions.Utility_DisplayArrayInTable(Fertiliser_SourceData.Fertiliser_Products_Data3(), FertiliserProducts[[#Headers],[Company]],61)</f>
        <v>Phosphorus - Generic</v>
      </c>
      <c r="T156" s="170" cm="1">
        <f t="array" ref="T156">Common_InputFunctions.Utility_DisplayArrayInTable(Fertiliser_SourceData.Fertiliser_Products_Data3(), FertiliserProducts[[#Headers],[Company]],61)</f>
        <v>2.5999999999999999E-2</v>
      </c>
      <c r="U156" s="170" t="str" cm="1">
        <f t="array" ref="U156">Common_InputFunctions.Utility_DisplayArrayInTable(Fertiliser_SourceData.Fertiliser_Products_Data3(), FertiliserProducts[[#Headers],[Company]],61)</f>
        <v>Potassium - Generic</v>
      </c>
      <c r="V156" s="170" cm="1">
        <f t="array" ref="V156">Common_InputFunctions.Utility_DisplayArrayInTable(Fertiliser_SourceData.Fertiliser_Products_Data3(), FertiliserProducts[[#Headers],[Company]],61)</f>
        <v>0.20799999999999999</v>
      </c>
      <c r="W156" s="170" t="str" cm="1">
        <f t="array" ref="W156">Common_InputFunctions.Utility_DisplayArrayInTable(Fertiliser_SourceData.Fertiliser_Products_Data3(), FertiliserProducts[[#Headers],[Company]],61)</f>
        <v>Sulfur - Generic</v>
      </c>
      <c r="X156" s="170" cm="1">
        <f t="array" ref="X156">Common_InputFunctions.Utility_DisplayArrayInTable(Fertiliser_SourceData.Fertiliser_Products_Data3(), FertiliserProducts[[#Headers],[Company]],61)</f>
        <v>0.04</v>
      </c>
      <c r="Y156" s="170" t="str" cm="1">
        <f t="array" ref="Y156">Common_InputFunctions.Utility_DisplayArrayInTable(Fertiliser_SourceData.Fertiliser_Products_Data3(), FertiliserProducts[[#Headers],[Company]],61)</f>
        <v>Magnesium</v>
      </c>
      <c r="Z156" s="170" cm="1">
        <f t="array" ref="Z156">Common_InputFunctions.Utility_DisplayArrayInTable(Fertiliser_SourceData.Fertiliser_Products_Data3(), FertiliserProducts[[#Headers],[Company]],61)</f>
        <v>2.4E-2</v>
      </c>
      <c r="AA156" s="170" t="str" cm="1">
        <f t="array" ref="AA156">Common_InputFunctions.Utility_DisplayArrayInTable(Fertiliser_SourceData.Fertiliser_Products_Data3(), FertiliserProducts[[#Headers],[Company]],61)</f>
        <v/>
      </c>
      <c r="AB156" s="170" t="str" cm="1">
        <f t="array" ref="AB156">Common_InputFunctions.Utility_DisplayArrayInTable(Fertiliser_SourceData.Fertiliser_Products_Data3(), FertiliserProducts[[#Headers],[Company]],61)</f>
        <v/>
      </c>
      <c r="AC156" s="170" t="str" cm="1">
        <f t="array" ref="AC156">Common_InputFunctions.Utility_DisplayArrayInTable(Fertiliser_SourceData.Fertiliser_Products_Data3(), FertiliserProducts[[#Headers],[Company]],61)</f>
        <v/>
      </c>
      <c r="AD156" s="170" t="str" cm="1">
        <f t="array" ref="AD156">Common_InputFunctions.Utility_DisplayArrayInTable(Fertiliser_SourceData.Fertiliser_Products_Data3(), FertiliserProducts[[#Headers],[Company]],61)</f>
        <v/>
      </c>
      <c r="AE156" s="170" t="str" cm="1">
        <f t="array" ref="AE156">Common_InputFunctions.Utility_DisplayArrayInTable(Fertiliser_SourceData.Fertiliser_Products_Data3(), FertiliserProducts[[#Headers],[Company]],61)</f>
        <v/>
      </c>
      <c r="AF156" s="170" t="str" cm="1">
        <f t="array" ref="AF156">Common_InputFunctions.Utility_DisplayArrayInTable(Fertiliser_SourceData.Fertiliser_Products_Data3(), FertiliserProducts[[#Headers],[Company]],61)</f>
        <v/>
      </c>
      <c r="AG156" s="170" t="str" cm="1">
        <f t="array" ref="AG156">Common_InputFunctions.Utility_DisplayArrayInTable(Fertiliser_SourceData.Fertiliser_Products_Data3(), FertiliserProducts[[#Headers],[Company]],61)</f>
        <v/>
      </c>
      <c r="AH156" s="170" t="str" cm="1">
        <f t="array" ref="AH156">Common_InputFunctions.Utility_DisplayArrayInTable(Fertiliser_SourceData.Fertiliser_Products_Data3(), FertiliserProducts[[#Headers],[Company]],61)</f>
        <v/>
      </c>
      <c r="AK156" s="1"/>
    </row>
    <row r="157" spans="1:39" ht="20.100000000000001" customHeight="1" x14ac:dyDescent="0.2">
      <c r="D157" s="170" t="str" cm="1">
        <f t="array" ref="D157">Common_InputFunctions.Utility_DisplayArrayInTable(Fertiliser_SourceData.Fertiliser_Products_Data3(), FertiliserProducts[[#Headers],[Company]],61)</f>
        <v>Campbells fertilisers Australia</v>
      </c>
      <c r="E157" s="170" t="str" cm="1">
        <f t="array" ref="E157">Common_InputFunctions.Utility_DisplayArrayInTable(Fertiliser_SourceData.Fertiliser_Products_Data3(), FertiliserProducts[[#Headers],[Company]],61)</f>
        <v>Rustica Nergetic</v>
      </c>
      <c r="F157" s="170" t="str" cm="1">
        <f t="array" ref="F157">Common_InputFunctions.Utility_DisplayArrayInTable(Fertiliser_SourceData.Fertiliser_Products_Data3(), FertiliserProducts[[#Headers],[Company]],61)</f>
        <v>kg</v>
      </c>
      <c r="G157" s="170" cm="1">
        <f t="array" ref="G157">Common_InputFunctions.Utility_DisplayArrayInTable(Fertiliser_SourceData.Fertiliser_Products_Data3(), FertiliserProducts[[#Headers],[Company]],61)</f>
        <v>1</v>
      </c>
      <c r="H157" s="170" t="str" cm="1">
        <f t="array" ref="H157">Common_InputFunctions.Utility_DisplayArrayInTable(Fertiliser_SourceData.Fertiliser_Products_Data3(), FertiliserProducts[[#Headers],[Company]],61)</f>
        <v/>
      </c>
      <c r="I157" s="170" t="str" cm="1">
        <f t="array" ref="I157">Common_InputFunctions.Utility_DisplayArrayInTable(Fertiliser_SourceData.Fertiliser_Products_Data3(), FertiliserProducts[[#Headers],[Company]],61)</f>
        <v/>
      </c>
      <c r="J157" s="170" t="str" cm="1">
        <f t="array" ref="J157">Common_InputFunctions.Utility_DisplayArrayInTable(Fertiliser_SourceData.Fertiliser_Products_Data3(), FertiliserProducts[[#Headers],[Company]],61)</f>
        <v/>
      </c>
      <c r="K157" s="170" cm="1">
        <f t="array" ref="K157">Common_InputFunctions.Utility_DisplayArrayInTable(Fertiliser_SourceData.Fertiliser_Products_Data3(), FertiliserProducts[[#Headers],[Company]],61)</f>
        <v>12</v>
      </c>
      <c r="L157" s="170" cm="1">
        <f t="array" ref="L157">Common_InputFunctions.Utility_DisplayArrayInTable(Fertiliser_SourceData.Fertiliser_Products_Data3(), FertiliserProducts[[#Headers],[Company]],61)</f>
        <v>5.2</v>
      </c>
      <c r="M157" s="170" cm="1">
        <f t="array" ref="M157">Common_InputFunctions.Utility_DisplayArrayInTable(Fertiliser_SourceData.Fertiliser_Products_Data3(), FertiliserProducts[[#Headers],[Company]],61)</f>
        <v>14.1</v>
      </c>
      <c r="N157" s="170" cm="1">
        <f t="array" ref="N157">Common_InputFunctions.Utility_DisplayArrayInTable(Fertiliser_SourceData.Fertiliser_Products_Data3(), FertiliserProducts[[#Headers],[Company]],61)</f>
        <v>9.6</v>
      </c>
      <c r="O157" s="170" t="str" cm="1">
        <f t="array" ref="O157">Common_InputFunctions.Utility_DisplayArrayInTable(Fertiliser_SourceData.Fertiliser_Products_Data3(), FertiliserProducts[[#Headers],[Company]],61)</f>
        <v>Potassium - Generic</v>
      </c>
      <c r="P157" s="170" cm="1">
        <f t="array" ref="P157">Common_InputFunctions.Utility_DisplayArrayInTable(Fertiliser_SourceData.Fertiliser_Products_Data3(), FertiliserProducts[[#Headers],[Company]],61)</f>
        <v>0.14099999999999999</v>
      </c>
      <c r="Q157" s="170" t="str" cm="1">
        <f t="array" ref="Q157">Common_InputFunctions.Utility_DisplayArrayInTable(Fertiliser_SourceData.Fertiliser_Products_Data3(), FertiliserProducts[[#Headers],[Company]],61)</f>
        <v>Sulfur - Generic</v>
      </c>
      <c r="R157" s="170" cm="1">
        <f t="array" ref="R157">Common_InputFunctions.Utility_DisplayArrayInTable(Fertiliser_SourceData.Fertiliser_Products_Data3(), FertiliserProducts[[#Headers],[Company]],61)</f>
        <v>9.6000000000000002E-2</v>
      </c>
      <c r="S157" s="170" t="str" cm="1">
        <f t="array" ref="S157">Common_InputFunctions.Utility_DisplayArrayInTable(Fertiliser_SourceData.Fertiliser_Products_Data3(), FertiliserProducts[[#Headers],[Company]],61)</f>
        <v>Nitrogen - Nitrate</v>
      </c>
      <c r="T157" s="170" cm="1">
        <f t="array" ref="T157">Common_InputFunctions.Utility_DisplayArrayInTable(Fertiliser_SourceData.Fertiliser_Products_Data3(), FertiliserProducts[[#Headers],[Company]],61)</f>
        <v>0.06</v>
      </c>
      <c r="U157" s="170" t="str" cm="1">
        <f t="array" ref="U157">Common_InputFunctions.Utility_DisplayArrayInTable(Fertiliser_SourceData.Fertiliser_Products_Data3(), FertiliserProducts[[#Headers],[Company]],61)</f>
        <v>Nitrogen - Ammoniacal</v>
      </c>
      <c r="V157" s="170" cm="1">
        <f t="array" ref="V157">Common_InputFunctions.Utility_DisplayArrayInTable(Fertiliser_SourceData.Fertiliser_Products_Data3(), FertiliserProducts[[#Headers],[Company]],61)</f>
        <v>0.06</v>
      </c>
      <c r="W157" s="170" t="str" cm="1">
        <f t="array" ref="W157">Common_InputFunctions.Utility_DisplayArrayInTable(Fertiliser_SourceData.Fertiliser_Products_Data3(), FertiliserProducts[[#Headers],[Company]],61)</f>
        <v>Phosphorus - Generic</v>
      </c>
      <c r="X157" s="170" cm="1">
        <f t="array" ref="X157">Common_InputFunctions.Utility_DisplayArrayInTable(Fertiliser_SourceData.Fertiliser_Products_Data3(), FertiliserProducts[[#Headers],[Company]],61)</f>
        <v>5.1999999999999998E-2</v>
      </c>
      <c r="Y157" s="170" t="str" cm="1">
        <f t="array" ref="Y157">Common_InputFunctions.Utility_DisplayArrayInTable(Fertiliser_SourceData.Fertiliser_Products_Data3(), FertiliserProducts[[#Headers],[Company]],61)</f>
        <v>Magnesium</v>
      </c>
      <c r="Z157" s="170" cm="1">
        <f t="array" ref="Z157">Common_InputFunctions.Utility_DisplayArrayInTable(Fertiliser_SourceData.Fertiliser_Products_Data3(), FertiliserProducts[[#Headers],[Company]],61)</f>
        <v>1.2E-2</v>
      </c>
      <c r="AA157" s="170" t="str" cm="1">
        <f t="array" ref="AA157">Common_InputFunctions.Utility_DisplayArrayInTable(Fertiliser_SourceData.Fertiliser_Products_Data3(), FertiliserProducts[[#Headers],[Company]],61)</f>
        <v>Zinc</v>
      </c>
      <c r="AB157" s="170" cm="1">
        <f t="array" ref="AB157">Common_InputFunctions.Utility_DisplayArrayInTable(Fertiliser_SourceData.Fertiliser_Products_Data3(), FertiliserProducts[[#Headers],[Company]],61)</f>
        <v>8.0000000000000004E-4</v>
      </c>
      <c r="AC157" s="170" t="str" cm="1">
        <f t="array" ref="AC157">Common_InputFunctions.Utility_DisplayArrayInTable(Fertiliser_SourceData.Fertiliser_Products_Data3(), FertiliserProducts[[#Headers],[Company]],61)</f>
        <v>Iron</v>
      </c>
      <c r="AD157" s="170" cm="1">
        <f t="array" ref="AD157">Common_InputFunctions.Utility_DisplayArrayInTable(Fertiliser_SourceData.Fertiliser_Products_Data3(), FertiliserProducts[[#Headers],[Company]],61)</f>
        <v>6.9999999999999999E-4</v>
      </c>
      <c r="AE157" s="170" t="str" cm="1">
        <f t="array" ref="AE157">Common_InputFunctions.Utility_DisplayArrayInTable(Fertiliser_SourceData.Fertiliser_Products_Data3(), FertiliserProducts[[#Headers],[Company]],61)</f>
        <v>Manganese</v>
      </c>
      <c r="AF157" s="170" cm="1">
        <f t="array" ref="AF157">Common_InputFunctions.Utility_DisplayArrayInTable(Fertiliser_SourceData.Fertiliser_Products_Data3(), FertiliserProducts[[#Headers],[Company]],61)</f>
        <v>5.9999999999999995E-4</v>
      </c>
      <c r="AG157" s="170" t="str" cm="1">
        <f t="array" ref="AG157">Common_InputFunctions.Utility_DisplayArrayInTable(Fertiliser_SourceData.Fertiliser_Products_Data3(), FertiliserProducts[[#Headers],[Company]],61)</f>
        <v>Boron</v>
      </c>
      <c r="AH157" s="170" cm="1">
        <f t="array" ref="AH157">Common_InputFunctions.Utility_DisplayArrayInTable(Fertiliser_SourceData.Fertiliser_Products_Data3(), FertiliserProducts[[#Headers],[Company]],61)</f>
        <v>2.0000000000000001E-4</v>
      </c>
      <c r="AK157" s="1"/>
    </row>
    <row r="158" spans="1:39" ht="20.100000000000001" customHeight="1" x14ac:dyDescent="0.2">
      <c r="D158" s="170" t="str" cm="1">
        <f t="array" ref="D158">Common_InputFunctions.Utility_DisplayArrayInTable(Fertiliser_SourceData.Fertiliser_Products_Data3(), FertiliserProducts[[#Headers],[Company]],61)</f>
        <v>Campbells fertilisers Australia</v>
      </c>
      <c r="E158" s="170" t="str" cm="1">
        <f t="array" ref="E158">Common_InputFunctions.Utility_DisplayArrayInTable(Fertiliser_SourceData.Fertiliser_Products_Data3(), FertiliserProducts[[#Headers],[Company]],61)</f>
        <v>Quick-N Nergetic</v>
      </c>
      <c r="F158" s="170" t="str" cm="1">
        <f t="array" ref="F158">Common_InputFunctions.Utility_DisplayArrayInTable(Fertiliser_SourceData.Fertiliser_Products_Data3(), FertiliserProducts[[#Headers],[Company]],61)</f>
        <v>kg</v>
      </c>
      <c r="G158" s="170" cm="1">
        <f t="array" ref="G158">Common_InputFunctions.Utility_DisplayArrayInTable(Fertiliser_SourceData.Fertiliser_Products_Data3(), FertiliserProducts[[#Headers],[Company]],61)</f>
        <v>1</v>
      </c>
      <c r="H158" s="170" t="str" cm="1">
        <f t="array" ref="H158">Common_InputFunctions.Utility_DisplayArrayInTable(Fertiliser_SourceData.Fertiliser_Products_Data3(), FertiliserProducts[[#Headers],[Company]],61)</f>
        <v/>
      </c>
      <c r="I158" s="170" t="str" cm="1">
        <f t="array" ref="I158">Common_InputFunctions.Utility_DisplayArrayInTable(Fertiliser_SourceData.Fertiliser_Products_Data3(), FertiliserProducts[[#Headers],[Company]],61)</f>
        <v/>
      </c>
      <c r="J158" s="170" t="str" cm="1">
        <f t="array" ref="J158">Common_InputFunctions.Utility_DisplayArrayInTable(Fertiliser_SourceData.Fertiliser_Products_Data3(), FertiliserProducts[[#Headers],[Company]],61)</f>
        <v/>
      </c>
      <c r="K158" s="170" cm="1">
        <f t="array" ref="K158">Common_InputFunctions.Utility_DisplayArrayInTable(Fertiliser_SourceData.Fertiliser_Products_Data3(), FertiliserProducts[[#Headers],[Company]],61)</f>
        <v>25</v>
      </c>
      <c r="L158" s="170" t="str" cm="1">
        <f t="array" ref="L158">Common_InputFunctions.Utility_DisplayArrayInTable(Fertiliser_SourceData.Fertiliser_Products_Data3(), FertiliserProducts[[#Headers],[Company]],61)</f>
        <v/>
      </c>
      <c r="M158" s="170" t="str" cm="1">
        <f t="array" ref="M158">Common_InputFunctions.Utility_DisplayArrayInTable(Fertiliser_SourceData.Fertiliser_Products_Data3(), FertiliserProducts[[#Headers],[Company]],61)</f>
        <v/>
      </c>
      <c r="N158" s="170" cm="1">
        <f t="array" ref="N158">Common_InputFunctions.Utility_DisplayArrayInTable(Fertiliser_SourceData.Fertiliser_Products_Data3(), FertiliserProducts[[#Headers],[Company]],61)</f>
        <v>12.8</v>
      </c>
      <c r="O158" s="170" t="str" cm="1">
        <f t="array" ref="O158">Common_InputFunctions.Utility_DisplayArrayInTable(Fertiliser_SourceData.Fertiliser_Products_Data3(), FertiliserProducts[[#Headers],[Company]],61)</f>
        <v>Sulphate of ammonia (SOA)</v>
      </c>
      <c r="P158" s="170" cm="1">
        <f t="array" ref="P158">Common_InputFunctions.Utility_DisplayArrayInTable(Fertiliser_SourceData.Fertiliser_Products_Data3(), FertiliserProducts[[#Headers],[Company]],61)</f>
        <v>0.53333299999999995</v>
      </c>
      <c r="Q158" s="170" t="str" cm="1">
        <f t="array" ref="Q158">Common_InputFunctions.Utility_DisplayArrayInTable(Fertiliser_SourceData.Fertiliser_Products_Data3(), FertiliserProducts[[#Headers],[Company]],61)</f>
        <v>Ammonium nitrate (AN)</v>
      </c>
      <c r="R158" s="170" cm="1">
        <f t="array" ref="R158">Common_InputFunctions.Utility_DisplayArrayInTable(Fertiliser_SourceData.Fertiliser_Products_Data3(), FertiliserProducts[[#Headers],[Company]],61)</f>
        <v>0.40949600000000003</v>
      </c>
      <c r="S158" s="170" t="str" cm="1">
        <f t="array" ref="S158">Common_InputFunctions.Utility_DisplayArrayInTable(Fertiliser_SourceData.Fertiliser_Products_Data3(), FertiliserProducts[[#Headers],[Company]],61)</f>
        <v>Zinc</v>
      </c>
      <c r="T158" s="170" cm="1">
        <f t="array" ref="T158">Common_InputFunctions.Utility_DisplayArrayInTable(Fertiliser_SourceData.Fertiliser_Products_Data3(), FertiliserProducts[[#Headers],[Company]],61)</f>
        <v>1E-3</v>
      </c>
      <c r="U158" s="170" t="str" cm="1">
        <f t="array" ref="U158">Common_InputFunctions.Utility_DisplayArrayInTable(Fertiliser_SourceData.Fertiliser_Products_Data3(), FertiliserProducts[[#Headers],[Company]],61)</f>
        <v>Manganese</v>
      </c>
      <c r="V158" s="170" cm="1">
        <f t="array" ref="V158">Common_InputFunctions.Utility_DisplayArrayInTable(Fertiliser_SourceData.Fertiliser_Products_Data3(), FertiliserProducts[[#Headers],[Company]],61)</f>
        <v>1E-3</v>
      </c>
      <c r="W158" s="170" t="str" cm="1">
        <f t="array" ref="W158">Common_InputFunctions.Utility_DisplayArrayInTable(Fertiliser_SourceData.Fertiliser_Products_Data3(), FertiliserProducts[[#Headers],[Company]],61)</f>
        <v>Boron</v>
      </c>
      <c r="X158" s="170" cm="1">
        <f t="array" ref="X158">Common_InputFunctions.Utility_DisplayArrayInTable(Fertiliser_SourceData.Fertiliser_Products_Data3(), FertiliserProducts[[#Headers],[Company]],61)</f>
        <v>1E-4</v>
      </c>
      <c r="Y158" s="170" t="str" cm="1">
        <f t="array" ref="Y158">Common_InputFunctions.Utility_DisplayArrayInTable(Fertiliser_SourceData.Fertiliser_Products_Data3(), FertiliserProducts[[#Headers],[Company]],61)</f>
        <v>Molybdenum</v>
      </c>
      <c r="Z158" s="170" cm="1">
        <f t="array" ref="Z158">Common_InputFunctions.Utility_DisplayArrayInTable(Fertiliser_SourceData.Fertiliser_Products_Data3(), FertiliserProducts[[#Headers],[Company]],61)</f>
        <v>1.0000000000000001E-5</v>
      </c>
      <c r="AA158" s="170" t="str" cm="1">
        <f t="array" ref="AA158">Common_InputFunctions.Utility_DisplayArrayInTable(Fertiliser_SourceData.Fertiliser_Products_Data3(), FertiliserProducts[[#Headers],[Company]],61)</f>
        <v/>
      </c>
      <c r="AB158" s="170" t="str" cm="1">
        <f t="array" ref="AB158">Common_InputFunctions.Utility_DisplayArrayInTable(Fertiliser_SourceData.Fertiliser_Products_Data3(), FertiliserProducts[[#Headers],[Company]],61)</f>
        <v/>
      </c>
      <c r="AC158" s="170" t="str" cm="1">
        <f t="array" ref="AC158">Common_InputFunctions.Utility_DisplayArrayInTable(Fertiliser_SourceData.Fertiliser_Products_Data3(), FertiliserProducts[[#Headers],[Company]],61)</f>
        <v/>
      </c>
      <c r="AD158" s="170" t="str" cm="1">
        <f t="array" ref="AD158">Common_InputFunctions.Utility_DisplayArrayInTable(Fertiliser_SourceData.Fertiliser_Products_Data3(), FertiliserProducts[[#Headers],[Company]],61)</f>
        <v/>
      </c>
      <c r="AE158" s="170" t="str" cm="1">
        <f t="array" ref="AE158">Common_InputFunctions.Utility_DisplayArrayInTable(Fertiliser_SourceData.Fertiliser_Products_Data3(), FertiliserProducts[[#Headers],[Company]],61)</f>
        <v/>
      </c>
      <c r="AF158" s="170" t="str" cm="1">
        <f t="array" ref="AF158">Common_InputFunctions.Utility_DisplayArrayInTable(Fertiliser_SourceData.Fertiliser_Products_Data3(), FertiliserProducts[[#Headers],[Company]],61)</f>
        <v/>
      </c>
      <c r="AG158" s="170" t="str" cm="1">
        <f t="array" ref="AG158">Common_InputFunctions.Utility_DisplayArrayInTable(Fertiliser_SourceData.Fertiliser_Products_Data3(), FertiliserProducts[[#Headers],[Company]],61)</f>
        <v/>
      </c>
      <c r="AH158" s="170" t="str" cm="1">
        <f t="array" ref="AH158">Common_InputFunctions.Utility_DisplayArrayInTable(Fertiliser_SourceData.Fertiliser_Products_Data3(), FertiliserProducts[[#Headers],[Company]],61)</f>
        <v/>
      </c>
      <c r="AK158" s="1"/>
    </row>
    <row r="159" spans="1:39" ht="20.100000000000001" customHeight="1" x14ac:dyDescent="0.2">
      <c r="D159" s="170" t="str" cm="1">
        <f t="array" ref="D159">Common_InputFunctions.Utility_DisplayArrayInTable(Fertiliser_SourceData.Fertiliser_Products_Data3(), FertiliserProducts[[#Headers],[Company]],61)</f>
        <v>FertPro Manufacturing Pty. Ltd.</v>
      </c>
      <c r="E159" s="170" t="str" cm="1">
        <f t="array" ref="E159">Common_InputFunctions.Utility_DisplayArrayInTable(Fertiliser_SourceData.Fertiliser_Products_Data3(), FertiliserProducts[[#Headers],[Company]],61)</f>
        <v>(SSP) Single Super Fertiliser</v>
      </c>
      <c r="F159" s="170" t="str" cm="1">
        <f t="array" ref="F159">Common_InputFunctions.Utility_DisplayArrayInTable(Fertiliser_SourceData.Fertiliser_Products_Data3(), FertiliserProducts[[#Headers],[Company]],61)</f>
        <v>kg</v>
      </c>
      <c r="G159" s="170" cm="1">
        <f t="array" ref="G159">Common_InputFunctions.Utility_DisplayArrayInTable(Fertiliser_SourceData.Fertiliser_Products_Data3(), FertiliserProducts[[#Headers],[Company]],61)</f>
        <v>1</v>
      </c>
      <c r="H159" s="170" t="str" cm="1">
        <f t="array" ref="H159">Common_InputFunctions.Utility_DisplayArrayInTable(Fertiliser_SourceData.Fertiliser_Products_Data3(), FertiliserProducts[[#Headers],[Company]],61)</f>
        <v/>
      </c>
      <c r="I159" s="170" t="str" cm="1">
        <f t="array" ref="I159">Common_InputFunctions.Utility_DisplayArrayInTable(Fertiliser_SourceData.Fertiliser_Products_Data3(), FertiliserProducts[[#Headers],[Company]],61)</f>
        <v/>
      </c>
      <c r="J159" s="170" t="str" cm="1">
        <f t="array" ref="J159">Common_InputFunctions.Utility_DisplayArrayInTable(Fertiliser_SourceData.Fertiliser_Products_Data3(), FertiliserProducts[[#Headers],[Company]],61)</f>
        <v/>
      </c>
      <c r="K159" s="170" t="str" cm="1">
        <f t="array" ref="K159">Common_InputFunctions.Utility_DisplayArrayInTable(Fertiliser_SourceData.Fertiliser_Products_Data3(), FertiliserProducts[[#Headers],[Company]],61)</f>
        <v/>
      </c>
      <c r="L159" s="170" cm="1">
        <f t="array" ref="L159">Common_InputFunctions.Utility_DisplayArrayInTable(Fertiliser_SourceData.Fertiliser_Products_Data3(), FertiliserProducts[[#Headers],[Company]],61)</f>
        <v>8.8000000000000007</v>
      </c>
      <c r="M159" s="170" t="str" cm="1">
        <f t="array" ref="M159">Common_InputFunctions.Utility_DisplayArrayInTable(Fertiliser_SourceData.Fertiliser_Products_Data3(), FertiliserProducts[[#Headers],[Company]],61)</f>
        <v/>
      </c>
      <c r="N159" s="170" cm="1">
        <f t="array" ref="N159">Common_InputFunctions.Utility_DisplayArrayInTable(Fertiliser_SourceData.Fertiliser_Products_Data3(), FertiliserProducts[[#Headers],[Company]],61)</f>
        <v>11</v>
      </c>
      <c r="O159" s="170" t="str" cm="1">
        <f t="array" ref="O159">Common_InputFunctions.Utility_DisplayArrayInTable(Fertiliser_SourceData.Fertiliser_Products_Data3(), FertiliserProducts[[#Headers],[Company]],61)</f>
        <v>Single superphosphate (SSP)</v>
      </c>
      <c r="P159" s="170" cm="1">
        <f t="array" ref="P159">Common_InputFunctions.Utility_DisplayArrayInTable(Fertiliser_SourceData.Fertiliser_Products_Data3(), FertiliserProducts[[#Headers],[Company]],61)</f>
        <v>1</v>
      </c>
      <c r="Q159" s="170" t="str" cm="1">
        <f t="array" ref="Q159">Common_InputFunctions.Utility_DisplayArrayInTable(Fertiliser_SourceData.Fertiliser_Products_Data3(), FertiliserProducts[[#Headers],[Company]],61)</f>
        <v/>
      </c>
      <c r="R159" s="170" t="str" cm="1">
        <f t="array" ref="R159">Common_InputFunctions.Utility_DisplayArrayInTable(Fertiliser_SourceData.Fertiliser_Products_Data3(), FertiliserProducts[[#Headers],[Company]],61)</f>
        <v/>
      </c>
      <c r="S159" s="170" t="str" cm="1">
        <f t="array" ref="S159">Common_InputFunctions.Utility_DisplayArrayInTable(Fertiliser_SourceData.Fertiliser_Products_Data3(), FertiliserProducts[[#Headers],[Company]],61)</f>
        <v/>
      </c>
      <c r="T159" s="170" t="str" cm="1">
        <f t="array" ref="T159">Common_InputFunctions.Utility_DisplayArrayInTable(Fertiliser_SourceData.Fertiliser_Products_Data3(), FertiliserProducts[[#Headers],[Company]],61)</f>
        <v/>
      </c>
      <c r="U159" s="170" t="str" cm="1">
        <f t="array" ref="U159">Common_InputFunctions.Utility_DisplayArrayInTable(Fertiliser_SourceData.Fertiliser_Products_Data3(), FertiliserProducts[[#Headers],[Company]],61)</f>
        <v/>
      </c>
      <c r="V159" s="170" t="str" cm="1">
        <f t="array" ref="V159">Common_InputFunctions.Utility_DisplayArrayInTable(Fertiliser_SourceData.Fertiliser_Products_Data3(), FertiliserProducts[[#Headers],[Company]],61)</f>
        <v/>
      </c>
      <c r="W159" s="170" t="str" cm="1">
        <f t="array" ref="W159">Common_InputFunctions.Utility_DisplayArrayInTable(Fertiliser_SourceData.Fertiliser_Products_Data3(), FertiliserProducts[[#Headers],[Company]],61)</f>
        <v/>
      </c>
      <c r="X159" s="170" t="str" cm="1">
        <f t="array" ref="X159">Common_InputFunctions.Utility_DisplayArrayInTable(Fertiliser_SourceData.Fertiliser_Products_Data3(), FertiliserProducts[[#Headers],[Company]],61)</f>
        <v/>
      </c>
      <c r="Y159" s="170" t="str" cm="1">
        <f t="array" ref="Y159">Common_InputFunctions.Utility_DisplayArrayInTable(Fertiliser_SourceData.Fertiliser_Products_Data3(), FertiliserProducts[[#Headers],[Company]],61)</f>
        <v/>
      </c>
      <c r="Z159" s="170" t="str" cm="1">
        <f t="array" ref="Z159">Common_InputFunctions.Utility_DisplayArrayInTable(Fertiliser_SourceData.Fertiliser_Products_Data3(), FertiliserProducts[[#Headers],[Company]],61)</f>
        <v/>
      </c>
      <c r="AA159" s="170" t="str" cm="1">
        <f t="array" ref="AA159">Common_InputFunctions.Utility_DisplayArrayInTable(Fertiliser_SourceData.Fertiliser_Products_Data3(), FertiliserProducts[[#Headers],[Company]],61)</f>
        <v/>
      </c>
      <c r="AB159" s="170" t="str" cm="1">
        <f t="array" ref="AB159">Common_InputFunctions.Utility_DisplayArrayInTable(Fertiliser_SourceData.Fertiliser_Products_Data3(), FertiliserProducts[[#Headers],[Company]],61)</f>
        <v/>
      </c>
      <c r="AC159" s="170" t="str" cm="1">
        <f t="array" ref="AC159">Common_InputFunctions.Utility_DisplayArrayInTable(Fertiliser_SourceData.Fertiliser_Products_Data3(), FertiliserProducts[[#Headers],[Company]],61)</f>
        <v/>
      </c>
      <c r="AD159" s="170" t="str" cm="1">
        <f t="array" ref="AD159">Common_InputFunctions.Utility_DisplayArrayInTable(Fertiliser_SourceData.Fertiliser_Products_Data3(), FertiliserProducts[[#Headers],[Company]],61)</f>
        <v/>
      </c>
      <c r="AE159" s="170" t="str" cm="1">
        <f t="array" ref="AE159">Common_InputFunctions.Utility_DisplayArrayInTable(Fertiliser_SourceData.Fertiliser_Products_Data3(), FertiliserProducts[[#Headers],[Company]],61)</f>
        <v/>
      </c>
      <c r="AF159" s="170" t="str" cm="1">
        <f t="array" ref="AF159">Common_InputFunctions.Utility_DisplayArrayInTable(Fertiliser_SourceData.Fertiliser_Products_Data3(), FertiliserProducts[[#Headers],[Company]],61)</f>
        <v/>
      </c>
      <c r="AG159" s="170" t="str" cm="1">
        <f t="array" ref="AG159">Common_InputFunctions.Utility_DisplayArrayInTable(Fertiliser_SourceData.Fertiliser_Products_Data3(), FertiliserProducts[[#Headers],[Company]],61)</f>
        <v/>
      </c>
      <c r="AH159" s="170" t="str" cm="1">
        <f t="array" ref="AH159">Common_InputFunctions.Utility_DisplayArrayInTable(Fertiliser_SourceData.Fertiliser_Products_Data3(), FertiliserProducts[[#Headers],[Company]],61)</f>
        <v/>
      </c>
      <c r="AK159" s="1"/>
    </row>
    <row r="160" spans="1:39" ht="20.100000000000001" customHeight="1" x14ac:dyDescent="0.2">
      <c r="D160" s="170" t="str" cm="1">
        <f t="array" ref="D160">Common_InputFunctions.Utility_DisplayArrayInTable(Fertiliser_SourceData.Fertiliser_Products_Data3(), FertiliserProducts[[#Headers],[Company]],61)</f>
        <v>Impact Fertilisers</v>
      </c>
      <c r="E160" s="170" t="str" cm="1">
        <f t="array" ref="E160">Common_InputFunctions.Utility_DisplayArrayInTable(Fertiliser_SourceData.Fertiliser_Products_Data3(), FertiliserProducts[[#Headers],[Company]],61)</f>
        <v>ZincStar</v>
      </c>
      <c r="F160" s="170" t="str" cm="1">
        <f t="array" ref="F160">Common_InputFunctions.Utility_DisplayArrayInTable(Fertiliser_SourceData.Fertiliser_Products_Data3(), FertiliserProducts[[#Headers],[Company]],61)</f>
        <v>kg</v>
      </c>
      <c r="G160" s="170" cm="1">
        <f t="array" ref="G160">Common_InputFunctions.Utility_DisplayArrayInTable(Fertiliser_SourceData.Fertiliser_Products_Data3(), FertiliserProducts[[#Headers],[Company]],61)</f>
        <v>1</v>
      </c>
      <c r="H160" s="170" t="str" cm="1">
        <f t="array" ref="H160">Common_InputFunctions.Utility_DisplayArrayInTable(Fertiliser_SourceData.Fertiliser_Products_Data3(), FertiliserProducts[[#Headers],[Company]],61)</f>
        <v/>
      </c>
      <c r="I160" s="170" t="str" cm="1">
        <f t="array" ref="I160">Common_InputFunctions.Utility_DisplayArrayInTable(Fertiliser_SourceData.Fertiliser_Products_Data3(), FertiliserProducts[[#Headers],[Company]],61)</f>
        <v/>
      </c>
      <c r="J160" s="170" t="str" cm="1">
        <f t="array" ref="J160">Common_InputFunctions.Utility_DisplayArrayInTable(Fertiliser_SourceData.Fertiliser_Products_Data3(), FertiliserProducts[[#Headers],[Company]],61)</f>
        <v/>
      </c>
      <c r="K160" s="170" cm="1">
        <f t="array" ref="K160">Common_InputFunctions.Utility_DisplayArrayInTable(Fertiliser_SourceData.Fertiliser_Products_Data3(), FertiliserProducts[[#Headers],[Company]],61)</f>
        <v>10</v>
      </c>
      <c r="L160" s="170" cm="1">
        <f t="array" ref="L160">Common_InputFunctions.Utility_DisplayArrayInTable(Fertiliser_SourceData.Fertiliser_Products_Data3(), FertiliserProducts[[#Headers],[Company]],61)</f>
        <v>21.9</v>
      </c>
      <c r="M160" s="170" cm="1">
        <f t="array" ref="M160">Common_InputFunctions.Utility_DisplayArrayInTable(Fertiliser_SourceData.Fertiliser_Products_Data3(), FertiliserProducts[[#Headers],[Company]],61)</f>
        <v>0</v>
      </c>
      <c r="N160" s="170" cm="1">
        <f t="array" ref="N160">Common_InputFunctions.Utility_DisplayArrayInTable(Fertiliser_SourceData.Fertiliser_Products_Data3(), FertiliserProducts[[#Headers],[Company]],61)</f>
        <v>2</v>
      </c>
      <c r="O160" s="170" t="str" cm="1">
        <f t="array" ref="O160">Common_InputFunctions.Utility_DisplayArrayInTable(Fertiliser_SourceData.Fertiliser_Products_Data3(), FertiliserProducts[[#Headers],[Company]],61)</f>
        <v>Monoammonium phosphate (MAP)</v>
      </c>
      <c r="P160" s="170" cm="1">
        <f t="array" ref="P160">Common_InputFunctions.Utility_DisplayArrayInTable(Fertiliser_SourceData.Fertiliser_Products_Data3(), FertiliserProducts[[#Headers],[Company]],61)</f>
        <v>1</v>
      </c>
      <c r="Q160" s="170" t="str" cm="1">
        <f t="array" ref="Q160">Common_InputFunctions.Utility_DisplayArrayInTable(Fertiliser_SourceData.Fertiliser_Products_Data3(), FertiliserProducts[[#Headers],[Company]],61)</f>
        <v>Zinc</v>
      </c>
      <c r="R160" s="170" cm="1">
        <f t="array" ref="R160">Common_InputFunctions.Utility_DisplayArrayInTable(Fertiliser_SourceData.Fertiliser_Products_Data3(), FertiliserProducts[[#Headers],[Company]],61)</f>
        <v>0.01</v>
      </c>
      <c r="S160" s="170" t="str" cm="1">
        <f t="array" ref="S160">Common_InputFunctions.Utility_DisplayArrayInTable(Fertiliser_SourceData.Fertiliser_Products_Data3(), FertiliserProducts[[#Headers],[Company]],61)</f>
        <v/>
      </c>
      <c r="T160" s="170" t="str" cm="1">
        <f t="array" ref="T160">Common_InputFunctions.Utility_DisplayArrayInTable(Fertiliser_SourceData.Fertiliser_Products_Data3(), FertiliserProducts[[#Headers],[Company]],61)</f>
        <v/>
      </c>
      <c r="U160" s="170" t="str" cm="1">
        <f t="array" ref="U160">Common_InputFunctions.Utility_DisplayArrayInTable(Fertiliser_SourceData.Fertiliser_Products_Data3(), FertiliserProducts[[#Headers],[Company]],61)</f>
        <v/>
      </c>
      <c r="V160" s="170" t="str" cm="1">
        <f t="array" ref="V160">Common_InputFunctions.Utility_DisplayArrayInTable(Fertiliser_SourceData.Fertiliser_Products_Data3(), FertiliserProducts[[#Headers],[Company]],61)</f>
        <v/>
      </c>
      <c r="W160" s="170" t="str" cm="1">
        <f t="array" ref="W160">Common_InputFunctions.Utility_DisplayArrayInTable(Fertiliser_SourceData.Fertiliser_Products_Data3(), FertiliserProducts[[#Headers],[Company]],61)</f>
        <v/>
      </c>
      <c r="X160" s="170" t="str" cm="1">
        <f t="array" ref="X160">Common_InputFunctions.Utility_DisplayArrayInTable(Fertiliser_SourceData.Fertiliser_Products_Data3(), FertiliserProducts[[#Headers],[Company]],61)</f>
        <v/>
      </c>
      <c r="Y160" s="170" t="str" cm="1">
        <f t="array" ref="Y160">Common_InputFunctions.Utility_DisplayArrayInTable(Fertiliser_SourceData.Fertiliser_Products_Data3(), FertiliserProducts[[#Headers],[Company]],61)</f>
        <v/>
      </c>
      <c r="Z160" s="170" t="str" cm="1">
        <f t="array" ref="Z160">Common_InputFunctions.Utility_DisplayArrayInTable(Fertiliser_SourceData.Fertiliser_Products_Data3(), FertiliserProducts[[#Headers],[Company]],61)</f>
        <v/>
      </c>
      <c r="AA160" s="170" t="str" cm="1">
        <f t="array" ref="AA160">Common_InputFunctions.Utility_DisplayArrayInTable(Fertiliser_SourceData.Fertiliser_Products_Data3(), FertiliserProducts[[#Headers],[Company]],61)</f>
        <v/>
      </c>
      <c r="AB160" s="170" t="str" cm="1">
        <f t="array" ref="AB160">Common_InputFunctions.Utility_DisplayArrayInTable(Fertiliser_SourceData.Fertiliser_Products_Data3(), FertiliserProducts[[#Headers],[Company]],61)</f>
        <v/>
      </c>
      <c r="AC160" s="170" t="str" cm="1">
        <f t="array" ref="AC160">Common_InputFunctions.Utility_DisplayArrayInTable(Fertiliser_SourceData.Fertiliser_Products_Data3(), FertiliserProducts[[#Headers],[Company]],61)</f>
        <v/>
      </c>
      <c r="AD160" s="170" t="str" cm="1">
        <f t="array" ref="AD160">Common_InputFunctions.Utility_DisplayArrayInTable(Fertiliser_SourceData.Fertiliser_Products_Data3(), FertiliserProducts[[#Headers],[Company]],61)</f>
        <v/>
      </c>
      <c r="AE160" s="170" t="str" cm="1">
        <f t="array" ref="AE160">Common_InputFunctions.Utility_DisplayArrayInTable(Fertiliser_SourceData.Fertiliser_Products_Data3(), FertiliserProducts[[#Headers],[Company]],61)</f>
        <v/>
      </c>
      <c r="AF160" s="170" t="str" cm="1">
        <f t="array" ref="AF160">Common_InputFunctions.Utility_DisplayArrayInTable(Fertiliser_SourceData.Fertiliser_Products_Data3(), FertiliserProducts[[#Headers],[Company]],61)</f>
        <v/>
      </c>
      <c r="AG160" s="170" t="str" cm="1">
        <f t="array" ref="AG160">Common_InputFunctions.Utility_DisplayArrayInTable(Fertiliser_SourceData.Fertiliser_Products_Data3(), FertiliserProducts[[#Headers],[Company]],61)</f>
        <v/>
      </c>
      <c r="AH160" s="170" t="str" cm="1">
        <f t="array" ref="AH160">Common_InputFunctions.Utility_DisplayArrayInTable(Fertiliser_SourceData.Fertiliser_Products_Data3(), FertiliserProducts[[#Headers],[Company]],61)</f>
        <v/>
      </c>
      <c r="AK160" s="1"/>
    </row>
    <row r="161" spans="4:37" ht="20.100000000000001" customHeight="1" x14ac:dyDescent="0.2">
      <c r="D161" s="170" t="str" cm="1">
        <f t="array" ref="D161">Common_InputFunctions.Utility_DisplayArrayInTable(Fertiliser_SourceData.Fertiliser_Products_Data3(), FertiliserProducts[[#Headers],[Company]],61)</f>
        <v>Baileys (Simplot) [listed as Impact]</v>
      </c>
      <c r="E161" s="170" t="str" cm="1">
        <f t="array" ref="E161">Common_InputFunctions.Utility_DisplayArrayInTable(Fertiliser_SourceData.Fertiliser_Products_Data3(), FertiliserProducts[[#Headers],[Company]],61)</f>
        <v>Apex GaIXe Low P 21-1-6</v>
      </c>
      <c r="F161" s="170" t="str" cm="1">
        <f t="array" ref="F161">Common_InputFunctions.Utility_DisplayArrayInTable(Fertiliser_SourceData.Fertiliser_Products_Data3(), FertiliserProducts[[#Headers],[Company]],61)</f>
        <v>kg</v>
      </c>
      <c r="G161" s="170" cm="1">
        <f t="array" ref="G161">Common_InputFunctions.Utility_DisplayArrayInTable(Fertiliser_SourceData.Fertiliser_Products_Data3(), FertiliserProducts[[#Headers],[Company]],61)</f>
        <v>1</v>
      </c>
      <c r="H161" s="170" t="str" cm="1">
        <f t="array" ref="H161">Common_InputFunctions.Utility_DisplayArrayInTable(Fertiliser_SourceData.Fertiliser_Products_Data3(), FertiliserProducts[[#Headers],[Company]],61)</f>
        <v/>
      </c>
      <c r="I161" s="170" t="str" cm="1">
        <f t="array" ref="I161">Common_InputFunctions.Utility_DisplayArrayInTable(Fertiliser_SourceData.Fertiliser_Products_Data3(), FertiliserProducts[[#Headers],[Company]],61)</f>
        <v/>
      </c>
      <c r="J161" s="170" t="str" cm="1">
        <f t="array" ref="J161">Common_InputFunctions.Utility_DisplayArrayInTable(Fertiliser_SourceData.Fertiliser_Products_Data3(), FertiliserProducts[[#Headers],[Company]],61)</f>
        <v/>
      </c>
      <c r="K161" s="170" cm="1">
        <f t="array" ref="K161">Common_InputFunctions.Utility_DisplayArrayInTable(Fertiliser_SourceData.Fertiliser_Products_Data3(), FertiliserProducts[[#Headers],[Company]],61)</f>
        <v>21</v>
      </c>
      <c r="L161" s="170" cm="1">
        <f t="array" ref="L161">Common_InputFunctions.Utility_DisplayArrayInTable(Fertiliser_SourceData.Fertiliser_Products_Data3(), FertiliserProducts[[#Headers],[Company]],61)</f>
        <v>0.86</v>
      </c>
      <c r="M161" s="170" cm="1">
        <f t="array" ref="M161">Common_InputFunctions.Utility_DisplayArrayInTable(Fertiliser_SourceData.Fertiliser_Products_Data3(), FertiliserProducts[[#Headers],[Company]],61)</f>
        <v>5.8</v>
      </c>
      <c r="N161" s="170" cm="1">
        <f t="array" ref="N161">Common_InputFunctions.Utility_DisplayArrayInTable(Fertiliser_SourceData.Fertiliser_Products_Data3(), FertiliserProducts[[#Headers],[Company]],61)</f>
        <v>4.2</v>
      </c>
      <c r="O161" s="170" t="str" cm="1">
        <f t="array" ref="O161">Common_InputFunctions.Utility_DisplayArrayInTable(Fertiliser_SourceData.Fertiliser_Products_Data3(), FertiliserProducts[[#Headers],[Company]],61)</f>
        <v>Nitrogen - Generic</v>
      </c>
      <c r="P161" s="170" cm="1">
        <f t="array" ref="P161">Common_InputFunctions.Utility_DisplayArrayInTable(Fertiliser_SourceData.Fertiliser_Products_Data3(), FertiliserProducts[[#Headers],[Company]],61)</f>
        <v>0.21</v>
      </c>
      <c r="Q161" s="170" t="str" cm="1">
        <f t="array" ref="Q161">Common_InputFunctions.Utility_DisplayArrayInTable(Fertiliser_SourceData.Fertiliser_Products_Data3(), FertiliserProducts[[#Headers],[Company]],61)</f>
        <v>Potassium - Generic</v>
      </c>
      <c r="R161" s="170" cm="1">
        <f t="array" ref="R161">Common_InputFunctions.Utility_DisplayArrayInTable(Fertiliser_SourceData.Fertiliser_Products_Data3(), FertiliserProducts[[#Headers],[Company]],61)</f>
        <v>5.8000000000000003E-2</v>
      </c>
      <c r="S161" s="170" t="str" cm="1">
        <f t="array" ref="S161">Common_InputFunctions.Utility_DisplayArrayInTable(Fertiliser_SourceData.Fertiliser_Products_Data3(), FertiliserProducts[[#Headers],[Company]],61)</f>
        <v>Sulfur - Generic</v>
      </c>
      <c r="T161" s="170" cm="1">
        <f t="array" ref="T161">Common_InputFunctions.Utility_DisplayArrayInTable(Fertiliser_SourceData.Fertiliser_Products_Data3(), FertiliserProducts[[#Headers],[Company]],61)</f>
        <v>4.2000000000000003E-2</v>
      </c>
      <c r="U161" s="170" t="str" cm="1">
        <f t="array" ref="U161">Common_InputFunctions.Utility_DisplayArrayInTable(Fertiliser_SourceData.Fertiliser_Products_Data3(), FertiliserProducts[[#Headers],[Company]],61)</f>
        <v>Phosphorus - Generic</v>
      </c>
      <c r="V161" s="170" cm="1">
        <f t="array" ref="V161">Common_InputFunctions.Utility_DisplayArrayInTable(Fertiliser_SourceData.Fertiliser_Products_Data3(), FertiliserProducts[[#Headers],[Company]],61)</f>
        <v>8.6E-3</v>
      </c>
      <c r="W161" s="170" t="str" cm="1">
        <f t="array" ref="W161">Common_InputFunctions.Utility_DisplayArrayInTable(Fertiliser_SourceData.Fertiliser_Products_Data3(), FertiliserProducts[[#Headers],[Company]],61)</f>
        <v/>
      </c>
      <c r="X161" s="170" t="str" cm="1">
        <f t="array" ref="X161">Common_InputFunctions.Utility_DisplayArrayInTable(Fertiliser_SourceData.Fertiliser_Products_Data3(), FertiliserProducts[[#Headers],[Company]],61)</f>
        <v/>
      </c>
      <c r="Y161" s="170" t="str" cm="1">
        <f t="array" ref="Y161">Common_InputFunctions.Utility_DisplayArrayInTable(Fertiliser_SourceData.Fertiliser_Products_Data3(), FertiliserProducts[[#Headers],[Company]],61)</f>
        <v/>
      </c>
      <c r="Z161" s="170" t="str" cm="1">
        <f t="array" ref="Z161">Common_InputFunctions.Utility_DisplayArrayInTable(Fertiliser_SourceData.Fertiliser_Products_Data3(), FertiliserProducts[[#Headers],[Company]],61)</f>
        <v/>
      </c>
      <c r="AA161" s="170" t="str" cm="1">
        <f t="array" ref="AA161">Common_InputFunctions.Utility_DisplayArrayInTable(Fertiliser_SourceData.Fertiliser_Products_Data3(), FertiliserProducts[[#Headers],[Company]],61)</f>
        <v/>
      </c>
      <c r="AB161" s="170" t="str" cm="1">
        <f t="array" ref="AB161">Common_InputFunctions.Utility_DisplayArrayInTable(Fertiliser_SourceData.Fertiliser_Products_Data3(), FertiliserProducts[[#Headers],[Company]],61)</f>
        <v/>
      </c>
      <c r="AC161" s="170" t="str" cm="1">
        <f t="array" ref="AC161">Common_InputFunctions.Utility_DisplayArrayInTable(Fertiliser_SourceData.Fertiliser_Products_Data3(), FertiliserProducts[[#Headers],[Company]],61)</f>
        <v/>
      </c>
      <c r="AD161" s="170" t="str" cm="1">
        <f t="array" ref="AD161">Common_InputFunctions.Utility_DisplayArrayInTable(Fertiliser_SourceData.Fertiliser_Products_Data3(), FertiliserProducts[[#Headers],[Company]],61)</f>
        <v/>
      </c>
      <c r="AE161" s="170" t="str" cm="1">
        <f t="array" ref="AE161">Common_InputFunctions.Utility_DisplayArrayInTable(Fertiliser_SourceData.Fertiliser_Products_Data3(), FertiliserProducts[[#Headers],[Company]],61)</f>
        <v/>
      </c>
      <c r="AF161" s="170" t="str" cm="1">
        <f t="array" ref="AF161">Common_InputFunctions.Utility_DisplayArrayInTable(Fertiliser_SourceData.Fertiliser_Products_Data3(), FertiliserProducts[[#Headers],[Company]],61)</f>
        <v/>
      </c>
      <c r="AG161" s="170" t="str" cm="1">
        <f t="array" ref="AG161">Common_InputFunctions.Utility_DisplayArrayInTable(Fertiliser_SourceData.Fertiliser_Products_Data3(), FertiliserProducts[[#Headers],[Company]],61)</f>
        <v/>
      </c>
      <c r="AH161" s="170" t="str" cm="1">
        <f t="array" ref="AH161">Common_InputFunctions.Utility_DisplayArrayInTable(Fertiliser_SourceData.Fertiliser_Products_Data3(), FertiliserProducts[[#Headers],[Company]],61)</f>
        <v/>
      </c>
      <c r="AK161" s="1"/>
    </row>
    <row r="162" spans="4:37" ht="20.100000000000001" customHeight="1" x14ac:dyDescent="0.2">
      <c r="D162" s="170" t="str" cm="1">
        <f t="array" ref="D162">Common_InputFunctions.Utility_DisplayArrayInTable(Fertiliser_SourceData.Fertiliser_Products_Data3(), FertiliserProducts[[#Headers],[Company]],61)</f>
        <v>Incitec Pivot Fertilisers</v>
      </c>
      <c r="E162" s="170" t="str" cm="1">
        <f t="array" ref="E162">Common_InputFunctions.Utility_DisplayArrayInTable(Fertiliser_SourceData.Fertiliser_Products_Data3(), FertiliserProducts[[#Headers],[Company]],61)</f>
        <v>SuPerfect</v>
      </c>
      <c r="F162" s="170" t="str" cm="1">
        <f t="array" ref="F162">Common_InputFunctions.Utility_DisplayArrayInTable(Fertiliser_SourceData.Fertiliser_Products_Data3(), FertiliserProducts[[#Headers],[Company]],61)</f>
        <v>kg</v>
      </c>
      <c r="G162" s="170" cm="1">
        <f t="array" ref="G162">Common_InputFunctions.Utility_DisplayArrayInTable(Fertiliser_SourceData.Fertiliser_Products_Data3(), FertiliserProducts[[#Headers],[Company]],61)</f>
        <v>1</v>
      </c>
      <c r="H162" s="170" t="str" cm="1">
        <f t="array" ref="H162">Common_InputFunctions.Utility_DisplayArrayInTable(Fertiliser_SourceData.Fertiliser_Products_Data3(), FertiliserProducts[[#Headers],[Company]],61)</f>
        <v/>
      </c>
      <c r="I162" s="170" t="str" cm="1">
        <f t="array" ref="I162">Common_InputFunctions.Utility_DisplayArrayInTable(Fertiliser_SourceData.Fertiliser_Products_Data3(), FertiliserProducts[[#Headers],[Company]],61)</f>
        <v/>
      </c>
      <c r="J162" s="170" t="str" cm="1">
        <f t="array" ref="J162">Common_InputFunctions.Utility_DisplayArrayInTable(Fertiliser_SourceData.Fertiliser_Products_Data3(), FertiliserProducts[[#Headers],[Company]],61)</f>
        <v/>
      </c>
      <c r="K162" s="170" t="str" cm="1">
        <f t="array" ref="K162">Common_InputFunctions.Utility_DisplayArrayInTable(Fertiliser_SourceData.Fertiliser_Products_Data3(), FertiliserProducts[[#Headers],[Company]],61)</f>
        <v/>
      </c>
      <c r="L162" s="170" cm="1">
        <f t="array" ref="L162">Common_InputFunctions.Utility_DisplayArrayInTable(Fertiliser_SourceData.Fertiliser_Products_Data3(), FertiliserProducts[[#Headers],[Company]],61)</f>
        <v>8.8000000000000007</v>
      </c>
      <c r="M162" s="170" t="str" cm="1">
        <f t="array" ref="M162">Common_InputFunctions.Utility_DisplayArrayInTable(Fertiliser_SourceData.Fertiliser_Products_Data3(), FertiliserProducts[[#Headers],[Company]],61)</f>
        <v/>
      </c>
      <c r="N162" s="170" cm="1">
        <f t="array" ref="N162">Common_InputFunctions.Utility_DisplayArrayInTable(Fertiliser_SourceData.Fertiliser_Products_Data3(), FertiliserProducts[[#Headers],[Company]],61)</f>
        <v>11</v>
      </c>
      <c r="O162" s="170" t="str" cm="1">
        <f t="array" ref="O162">Common_InputFunctions.Utility_DisplayArrayInTable(Fertiliser_SourceData.Fertiliser_Products_Data3(), FertiliserProducts[[#Headers],[Company]],61)</f>
        <v>Single superphosphate (SSP)</v>
      </c>
      <c r="P162" s="170" cm="1">
        <f t="array" ref="P162">Common_InputFunctions.Utility_DisplayArrayInTable(Fertiliser_SourceData.Fertiliser_Products_Data3(), FertiliserProducts[[#Headers],[Company]],61)</f>
        <v>1</v>
      </c>
      <c r="Q162" s="170" t="str" cm="1">
        <f t="array" ref="Q162">Common_InputFunctions.Utility_DisplayArrayInTable(Fertiliser_SourceData.Fertiliser_Products_Data3(), FertiliserProducts[[#Headers],[Company]],61)</f>
        <v/>
      </c>
      <c r="R162" s="170" t="str" cm="1">
        <f t="array" ref="R162">Common_InputFunctions.Utility_DisplayArrayInTable(Fertiliser_SourceData.Fertiliser_Products_Data3(), FertiliserProducts[[#Headers],[Company]],61)</f>
        <v/>
      </c>
      <c r="S162" s="170" t="str" cm="1">
        <f t="array" ref="S162">Common_InputFunctions.Utility_DisplayArrayInTable(Fertiliser_SourceData.Fertiliser_Products_Data3(), FertiliserProducts[[#Headers],[Company]],61)</f>
        <v/>
      </c>
      <c r="T162" s="170" t="str" cm="1">
        <f t="array" ref="T162">Common_InputFunctions.Utility_DisplayArrayInTable(Fertiliser_SourceData.Fertiliser_Products_Data3(), FertiliserProducts[[#Headers],[Company]],61)</f>
        <v/>
      </c>
      <c r="U162" s="170" t="str" cm="1">
        <f t="array" ref="U162">Common_InputFunctions.Utility_DisplayArrayInTable(Fertiliser_SourceData.Fertiliser_Products_Data3(), FertiliserProducts[[#Headers],[Company]],61)</f>
        <v/>
      </c>
      <c r="V162" s="170" t="str" cm="1">
        <f t="array" ref="V162">Common_InputFunctions.Utility_DisplayArrayInTable(Fertiliser_SourceData.Fertiliser_Products_Data3(), FertiliserProducts[[#Headers],[Company]],61)</f>
        <v/>
      </c>
      <c r="W162" s="170" t="str" cm="1">
        <f t="array" ref="W162">Common_InputFunctions.Utility_DisplayArrayInTable(Fertiliser_SourceData.Fertiliser_Products_Data3(), FertiliserProducts[[#Headers],[Company]],61)</f>
        <v/>
      </c>
      <c r="X162" s="170" t="str" cm="1">
        <f t="array" ref="X162">Common_InputFunctions.Utility_DisplayArrayInTable(Fertiliser_SourceData.Fertiliser_Products_Data3(), FertiliserProducts[[#Headers],[Company]],61)</f>
        <v/>
      </c>
      <c r="Y162" s="170" t="str" cm="1">
        <f t="array" ref="Y162">Common_InputFunctions.Utility_DisplayArrayInTable(Fertiliser_SourceData.Fertiliser_Products_Data3(), FertiliserProducts[[#Headers],[Company]],61)</f>
        <v/>
      </c>
      <c r="Z162" s="170" t="str" cm="1">
        <f t="array" ref="Z162">Common_InputFunctions.Utility_DisplayArrayInTable(Fertiliser_SourceData.Fertiliser_Products_Data3(), FertiliserProducts[[#Headers],[Company]],61)</f>
        <v/>
      </c>
      <c r="AA162" s="170" t="str" cm="1">
        <f t="array" ref="AA162">Common_InputFunctions.Utility_DisplayArrayInTable(Fertiliser_SourceData.Fertiliser_Products_Data3(), FertiliserProducts[[#Headers],[Company]],61)</f>
        <v/>
      </c>
      <c r="AB162" s="170" t="str" cm="1">
        <f t="array" ref="AB162">Common_InputFunctions.Utility_DisplayArrayInTable(Fertiliser_SourceData.Fertiliser_Products_Data3(), FertiliserProducts[[#Headers],[Company]],61)</f>
        <v/>
      </c>
      <c r="AC162" s="170" t="str" cm="1">
        <f t="array" ref="AC162">Common_InputFunctions.Utility_DisplayArrayInTable(Fertiliser_SourceData.Fertiliser_Products_Data3(), FertiliserProducts[[#Headers],[Company]],61)</f>
        <v/>
      </c>
      <c r="AD162" s="170" t="str" cm="1">
        <f t="array" ref="AD162">Common_InputFunctions.Utility_DisplayArrayInTable(Fertiliser_SourceData.Fertiliser_Products_Data3(), FertiliserProducts[[#Headers],[Company]],61)</f>
        <v/>
      </c>
      <c r="AE162" s="170" t="str" cm="1">
        <f t="array" ref="AE162">Common_InputFunctions.Utility_DisplayArrayInTable(Fertiliser_SourceData.Fertiliser_Products_Data3(), FertiliserProducts[[#Headers],[Company]],61)</f>
        <v/>
      </c>
      <c r="AF162" s="170" t="str" cm="1">
        <f t="array" ref="AF162">Common_InputFunctions.Utility_DisplayArrayInTable(Fertiliser_SourceData.Fertiliser_Products_Data3(), FertiliserProducts[[#Headers],[Company]],61)</f>
        <v/>
      </c>
      <c r="AG162" s="170" t="str" cm="1">
        <f t="array" ref="AG162">Common_InputFunctions.Utility_DisplayArrayInTable(Fertiliser_SourceData.Fertiliser_Products_Data3(), FertiliserProducts[[#Headers],[Company]],61)</f>
        <v/>
      </c>
      <c r="AH162" s="170" t="str" cm="1">
        <f t="array" ref="AH162">Common_InputFunctions.Utility_DisplayArrayInTable(Fertiliser_SourceData.Fertiliser_Products_Data3(), FertiliserProducts[[#Headers],[Company]],61)</f>
        <v/>
      </c>
      <c r="AK162" s="1"/>
    </row>
    <row r="163" spans="4:37" ht="20.100000000000001" customHeight="1" x14ac:dyDescent="0.2">
      <c r="D163" s="170" t="str" cm="1">
        <f t="array" ref="D163">Common_InputFunctions.Utility_DisplayArrayInTable(Fertiliser_SourceData.Fertiliser_Products_Data3(), FertiliserProducts[[#Headers],[Company]],61)</f>
        <v>Incitec Pivot Fertilisers [listed as Summit]</v>
      </c>
      <c r="E163" s="170" t="str" cm="1">
        <f t="array" ref="E163">Common_InputFunctions.Utility_DisplayArrayInTable(Fertiliser_SourceData.Fertiliser_Products_Data3(), FertiliserProducts[[#Headers],[Company]],61)</f>
        <v>Big N</v>
      </c>
      <c r="F163" s="170" t="str" cm="1">
        <f t="array" ref="F163">Common_InputFunctions.Utility_DisplayArrayInTable(Fertiliser_SourceData.Fertiliser_Products_Data3(), FertiliserProducts[[#Headers],[Company]],61)</f>
        <v>kg</v>
      </c>
      <c r="G163" s="170" cm="1">
        <f t="array" ref="G163">Common_InputFunctions.Utility_DisplayArrayInTable(Fertiliser_SourceData.Fertiliser_Products_Data3(), FertiliserProducts[[#Headers],[Company]],61)</f>
        <v>1</v>
      </c>
      <c r="H163" s="170" t="str" cm="1">
        <f t="array" ref="H163">Common_InputFunctions.Utility_DisplayArrayInTable(Fertiliser_SourceData.Fertiliser_Products_Data3(), FertiliserProducts[[#Headers],[Company]],61)</f>
        <v/>
      </c>
      <c r="I163" s="170" t="str" cm="1">
        <f t="array" ref="I163">Common_InputFunctions.Utility_DisplayArrayInTable(Fertiliser_SourceData.Fertiliser_Products_Data3(), FertiliserProducts[[#Headers],[Company]],61)</f>
        <v/>
      </c>
      <c r="J163" s="170" t="str" cm="1">
        <f t="array" ref="J163">Common_InputFunctions.Utility_DisplayArrayInTable(Fertiliser_SourceData.Fertiliser_Products_Data3(), FertiliserProducts[[#Headers],[Company]],61)</f>
        <v/>
      </c>
      <c r="K163" s="170" cm="1">
        <f t="array" ref="K163">Common_InputFunctions.Utility_DisplayArrayInTable(Fertiliser_SourceData.Fertiliser_Products_Data3(), FertiliserProducts[[#Headers],[Company]],61)</f>
        <v>82.35</v>
      </c>
      <c r="L163" s="170" t="str" cm="1">
        <f t="array" ref="L163">Common_InputFunctions.Utility_DisplayArrayInTable(Fertiliser_SourceData.Fertiliser_Products_Data3(), FertiliserProducts[[#Headers],[Company]],61)</f>
        <v/>
      </c>
      <c r="M163" s="170" t="str" cm="1">
        <f t="array" ref="M163">Common_InputFunctions.Utility_DisplayArrayInTable(Fertiliser_SourceData.Fertiliser_Products_Data3(), FertiliserProducts[[#Headers],[Company]],61)</f>
        <v/>
      </c>
      <c r="N163" s="170" t="str" cm="1">
        <f t="array" ref="N163">Common_InputFunctions.Utility_DisplayArrayInTable(Fertiliser_SourceData.Fertiliser_Products_Data3(), FertiliserProducts[[#Headers],[Company]],61)</f>
        <v/>
      </c>
      <c r="O163" s="170" t="str" cm="1">
        <f t="array" ref="O163">Common_InputFunctions.Utility_DisplayArrayInTable(Fertiliser_SourceData.Fertiliser_Products_Data3(), FertiliserProducts[[#Headers],[Company]],61)</f>
        <v>Ammonia</v>
      </c>
      <c r="P163" s="170" cm="1">
        <f t="array" ref="P163">Common_InputFunctions.Utility_DisplayArrayInTable(Fertiliser_SourceData.Fertiliser_Products_Data3(), FertiliserProducts[[#Headers],[Company]],61)</f>
        <v>1</v>
      </c>
      <c r="Q163" s="170" t="str" cm="1">
        <f t="array" ref="Q163">Common_InputFunctions.Utility_DisplayArrayInTable(Fertiliser_SourceData.Fertiliser_Products_Data3(), FertiliserProducts[[#Headers],[Company]],61)</f>
        <v/>
      </c>
      <c r="R163" s="170" t="str" cm="1">
        <f t="array" ref="R163">Common_InputFunctions.Utility_DisplayArrayInTable(Fertiliser_SourceData.Fertiliser_Products_Data3(), FertiliserProducts[[#Headers],[Company]],61)</f>
        <v/>
      </c>
      <c r="S163" s="170" t="str" cm="1">
        <f t="array" ref="S163">Common_InputFunctions.Utility_DisplayArrayInTable(Fertiliser_SourceData.Fertiliser_Products_Data3(), FertiliserProducts[[#Headers],[Company]],61)</f>
        <v/>
      </c>
      <c r="T163" s="170" t="str" cm="1">
        <f t="array" ref="T163">Common_InputFunctions.Utility_DisplayArrayInTable(Fertiliser_SourceData.Fertiliser_Products_Data3(), FertiliserProducts[[#Headers],[Company]],61)</f>
        <v/>
      </c>
      <c r="U163" s="170" t="str" cm="1">
        <f t="array" ref="U163">Common_InputFunctions.Utility_DisplayArrayInTable(Fertiliser_SourceData.Fertiliser_Products_Data3(), FertiliserProducts[[#Headers],[Company]],61)</f>
        <v/>
      </c>
      <c r="V163" s="170" t="str" cm="1">
        <f t="array" ref="V163">Common_InputFunctions.Utility_DisplayArrayInTable(Fertiliser_SourceData.Fertiliser_Products_Data3(), FertiliserProducts[[#Headers],[Company]],61)</f>
        <v/>
      </c>
      <c r="W163" s="170" t="str" cm="1">
        <f t="array" ref="W163">Common_InputFunctions.Utility_DisplayArrayInTable(Fertiliser_SourceData.Fertiliser_Products_Data3(), FertiliserProducts[[#Headers],[Company]],61)</f>
        <v/>
      </c>
      <c r="X163" s="170" t="str" cm="1">
        <f t="array" ref="X163">Common_InputFunctions.Utility_DisplayArrayInTable(Fertiliser_SourceData.Fertiliser_Products_Data3(), FertiliserProducts[[#Headers],[Company]],61)</f>
        <v/>
      </c>
      <c r="Y163" s="170" t="str" cm="1">
        <f t="array" ref="Y163">Common_InputFunctions.Utility_DisplayArrayInTable(Fertiliser_SourceData.Fertiliser_Products_Data3(), FertiliserProducts[[#Headers],[Company]],61)</f>
        <v/>
      </c>
      <c r="Z163" s="170" t="str" cm="1">
        <f t="array" ref="Z163">Common_InputFunctions.Utility_DisplayArrayInTable(Fertiliser_SourceData.Fertiliser_Products_Data3(), FertiliserProducts[[#Headers],[Company]],61)</f>
        <v/>
      </c>
      <c r="AA163" s="170" t="str" cm="1">
        <f t="array" ref="AA163">Common_InputFunctions.Utility_DisplayArrayInTable(Fertiliser_SourceData.Fertiliser_Products_Data3(), FertiliserProducts[[#Headers],[Company]],61)</f>
        <v/>
      </c>
      <c r="AB163" s="170" t="str" cm="1">
        <f t="array" ref="AB163">Common_InputFunctions.Utility_DisplayArrayInTable(Fertiliser_SourceData.Fertiliser_Products_Data3(), FertiliserProducts[[#Headers],[Company]],61)</f>
        <v/>
      </c>
      <c r="AC163" s="170" t="str" cm="1">
        <f t="array" ref="AC163">Common_InputFunctions.Utility_DisplayArrayInTable(Fertiliser_SourceData.Fertiliser_Products_Data3(), FertiliserProducts[[#Headers],[Company]],61)</f>
        <v/>
      </c>
      <c r="AD163" s="170" t="str" cm="1">
        <f t="array" ref="AD163">Common_InputFunctions.Utility_DisplayArrayInTable(Fertiliser_SourceData.Fertiliser_Products_Data3(), FertiliserProducts[[#Headers],[Company]],61)</f>
        <v/>
      </c>
      <c r="AE163" s="170" t="str" cm="1">
        <f t="array" ref="AE163">Common_InputFunctions.Utility_DisplayArrayInTable(Fertiliser_SourceData.Fertiliser_Products_Data3(), FertiliserProducts[[#Headers],[Company]],61)</f>
        <v/>
      </c>
      <c r="AF163" s="170" t="str" cm="1">
        <f t="array" ref="AF163">Common_InputFunctions.Utility_DisplayArrayInTable(Fertiliser_SourceData.Fertiliser_Products_Data3(), FertiliserProducts[[#Headers],[Company]],61)</f>
        <v/>
      </c>
      <c r="AG163" s="170" t="str" cm="1">
        <f t="array" ref="AG163">Common_InputFunctions.Utility_DisplayArrayInTable(Fertiliser_SourceData.Fertiliser_Products_Data3(), FertiliserProducts[[#Headers],[Company]],61)</f>
        <v/>
      </c>
      <c r="AH163" s="170" t="str" cm="1">
        <f t="array" ref="AH163">Common_InputFunctions.Utility_DisplayArrayInTable(Fertiliser_SourceData.Fertiliser_Products_Data3(), FertiliserProducts[[#Headers],[Company]],61)</f>
        <v/>
      </c>
      <c r="AK163" s="1"/>
    </row>
    <row r="164" spans="4:37" ht="20.100000000000001" customHeight="1" x14ac:dyDescent="0.2">
      <c r="D164" s="170" t="str" cm="1">
        <f t="array" ref="D164">Common_InputFunctions.Utility_DisplayArrayInTable(Fertiliser_SourceData.Fertiliser_Products_Data3(), FertiliserProducts[[#Headers],[Company]],61)</f>
        <v>Incitec Pivot Fertilisers</v>
      </c>
      <c r="E164" s="170" t="str" cm="1">
        <f t="array" ref="E164">Common_InputFunctions.Utility_DisplayArrayInTable(Fertiliser_SourceData.Fertiliser_Products_Data3(), FertiliserProducts[[#Headers],[Company]],61)</f>
        <v>Entec Urea</v>
      </c>
      <c r="F164" s="170" t="str" cm="1">
        <f t="array" ref="F164">Common_InputFunctions.Utility_DisplayArrayInTable(Fertiliser_SourceData.Fertiliser_Products_Data3(), FertiliserProducts[[#Headers],[Company]],61)</f>
        <v>kg</v>
      </c>
      <c r="G164" s="170" cm="1">
        <f t="array" ref="G164">Common_InputFunctions.Utility_DisplayArrayInTable(Fertiliser_SourceData.Fertiliser_Products_Data3(), FertiliserProducts[[#Headers],[Company]],61)</f>
        <v>1</v>
      </c>
      <c r="H164" s="170" t="str" cm="1">
        <f t="array" ref="H164">Common_InputFunctions.Utility_DisplayArrayInTable(Fertiliser_SourceData.Fertiliser_Products_Data3(), FertiliserProducts[[#Headers],[Company]],61)</f>
        <v>Yes</v>
      </c>
      <c r="I164" s="170" t="str" cm="1">
        <f t="array" ref="I164">Common_InputFunctions.Utility_DisplayArrayInTable(Fertiliser_SourceData.Fertiliser_Products_Data3(), FertiliserProducts[[#Headers],[Company]],61)</f>
        <v/>
      </c>
      <c r="J164" s="170" t="str" cm="1">
        <f t="array" ref="J164">Common_InputFunctions.Utility_DisplayArrayInTable(Fertiliser_SourceData.Fertiliser_Products_Data3(), FertiliserProducts[[#Headers],[Company]],61)</f>
        <v/>
      </c>
      <c r="K164" s="170" cm="1">
        <f t="array" ref="K164">Common_InputFunctions.Utility_DisplayArrayInTable(Fertiliser_SourceData.Fertiliser_Products_Data3(), FertiliserProducts[[#Headers],[Company]],61)</f>
        <v>46</v>
      </c>
      <c r="L164" s="170" t="str" cm="1">
        <f t="array" ref="L164">Common_InputFunctions.Utility_DisplayArrayInTable(Fertiliser_SourceData.Fertiliser_Products_Data3(), FertiliserProducts[[#Headers],[Company]],61)</f>
        <v/>
      </c>
      <c r="M164" s="170" t="str" cm="1">
        <f t="array" ref="M164">Common_InputFunctions.Utility_DisplayArrayInTable(Fertiliser_SourceData.Fertiliser_Products_Data3(), FertiliserProducts[[#Headers],[Company]],61)</f>
        <v/>
      </c>
      <c r="N164" s="170" t="str" cm="1">
        <f t="array" ref="N164">Common_InputFunctions.Utility_DisplayArrayInTable(Fertiliser_SourceData.Fertiliser_Products_Data3(), FertiliserProducts[[#Headers],[Company]],61)</f>
        <v/>
      </c>
      <c r="O164" s="170" t="str" cm="1">
        <f t="array" ref="O164">Common_InputFunctions.Utility_DisplayArrayInTable(Fertiliser_SourceData.Fertiliser_Products_Data3(), FertiliserProducts[[#Headers],[Company]],61)</f>
        <v>Urea</v>
      </c>
      <c r="P164" s="170" cm="1">
        <f t="array" ref="P164">Common_InputFunctions.Utility_DisplayArrayInTable(Fertiliser_SourceData.Fertiliser_Products_Data3(), FertiliserProducts[[#Headers],[Company]],61)</f>
        <v>1</v>
      </c>
      <c r="Q164" s="170" t="str" cm="1">
        <f t="array" ref="Q164">Common_InputFunctions.Utility_DisplayArrayInTable(Fertiliser_SourceData.Fertiliser_Products_Data3(), FertiliserProducts[[#Headers],[Company]],61)</f>
        <v/>
      </c>
      <c r="R164" s="170" t="str" cm="1">
        <f t="array" ref="R164">Common_InputFunctions.Utility_DisplayArrayInTable(Fertiliser_SourceData.Fertiliser_Products_Data3(), FertiliserProducts[[#Headers],[Company]],61)</f>
        <v/>
      </c>
      <c r="S164" s="170" t="str" cm="1">
        <f t="array" ref="S164">Common_InputFunctions.Utility_DisplayArrayInTable(Fertiliser_SourceData.Fertiliser_Products_Data3(), FertiliserProducts[[#Headers],[Company]],61)</f>
        <v/>
      </c>
      <c r="T164" s="170" t="str" cm="1">
        <f t="array" ref="T164">Common_InputFunctions.Utility_DisplayArrayInTable(Fertiliser_SourceData.Fertiliser_Products_Data3(), FertiliserProducts[[#Headers],[Company]],61)</f>
        <v/>
      </c>
      <c r="U164" s="170" t="str" cm="1">
        <f t="array" ref="U164">Common_InputFunctions.Utility_DisplayArrayInTable(Fertiliser_SourceData.Fertiliser_Products_Data3(), FertiliserProducts[[#Headers],[Company]],61)</f>
        <v/>
      </c>
      <c r="V164" s="170" t="str" cm="1">
        <f t="array" ref="V164">Common_InputFunctions.Utility_DisplayArrayInTable(Fertiliser_SourceData.Fertiliser_Products_Data3(), FertiliserProducts[[#Headers],[Company]],61)</f>
        <v/>
      </c>
      <c r="W164" s="170" t="str" cm="1">
        <f t="array" ref="W164">Common_InputFunctions.Utility_DisplayArrayInTable(Fertiliser_SourceData.Fertiliser_Products_Data3(), FertiliserProducts[[#Headers],[Company]],61)</f>
        <v/>
      </c>
      <c r="X164" s="170" t="str" cm="1">
        <f t="array" ref="X164">Common_InputFunctions.Utility_DisplayArrayInTable(Fertiliser_SourceData.Fertiliser_Products_Data3(), FertiliserProducts[[#Headers],[Company]],61)</f>
        <v/>
      </c>
      <c r="Y164" s="170" t="str" cm="1">
        <f t="array" ref="Y164">Common_InputFunctions.Utility_DisplayArrayInTable(Fertiliser_SourceData.Fertiliser_Products_Data3(), FertiliserProducts[[#Headers],[Company]],61)</f>
        <v/>
      </c>
      <c r="Z164" s="170" t="str" cm="1">
        <f t="array" ref="Z164">Common_InputFunctions.Utility_DisplayArrayInTable(Fertiliser_SourceData.Fertiliser_Products_Data3(), FertiliserProducts[[#Headers],[Company]],61)</f>
        <v/>
      </c>
      <c r="AA164" s="170" t="str" cm="1">
        <f t="array" ref="AA164">Common_InputFunctions.Utility_DisplayArrayInTable(Fertiliser_SourceData.Fertiliser_Products_Data3(), FertiliserProducts[[#Headers],[Company]],61)</f>
        <v/>
      </c>
      <c r="AB164" s="170" t="str" cm="1">
        <f t="array" ref="AB164">Common_InputFunctions.Utility_DisplayArrayInTable(Fertiliser_SourceData.Fertiliser_Products_Data3(), FertiliserProducts[[#Headers],[Company]],61)</f>
        <v/>
      </c>
      <c r="AC164" s="170" t="str" cm="1">
        <f t="array" ref="AC164">Common_InputFunctions.Utility_DisplayArrayInTable(Fertiliser_SourceData.Fertiliser_Products_Data3(), FertiliserProducts[[#Headers],[Company]],61)</f>
        <v/>
      </c>
      <c r="AD164" s="170" t="str" cm="1">
        <f t="array" ref="AD164">Common_InputFunctions.Utility_DisplayArrayInTable(Fertiliser_SourceData.Fertiliser_Products_Data3(), FertiliserProducts[[#Headers],[Company]],61)</f>
        <v/>
      </c>
      <c r="AE164" s="170" t="str" cm="1">
        <f t="array" ref="AE164">Common_InputFunctions.Utility_DisplayArrayInTable(Fertiliser_SourceData.Fertiliser_Products_Data3(), FertiliserProducts[[#Headers],[Company]],61)</f>
        <v/>
      </c>
      <c r="AF164" s="170" t="str" cm="1">
        <f t="array" ref="AF164">Common_InputFunctions.Utility_DisplayArrayInTable(Fertiliser_SourceData.Fertiliser_Products_Data3(), FertiliserProducts[[#Headers],[Company]],61)</f>
        <v/>
      </c>
      <c r="AG164" s="170" t="str" cm="1">
        <f t="array" ref="AG164">Common_InputFunctions.Utility_DisplayArrayInTable(Fertiliser_SourceData.Fertiliser_Products_Data3(), FertiliserProducts[[#Headers],[Company]],61)</f>
        <v/>
      </c>
      <c r="AH164" s="170" t="str" cm="1">
        <f t="array" ref="AH164">Common_InputFunctions.Utility_DisplayArrayInTable(Fertiliser_SourceData.Fertiliser_Products_Data3(), FertiliserProducts[[#Headers],[Company]],61)</f>
        <v/>
      </c>
      <c r="AK164" s="1"/>
    </row>
    <row r="165" spans="4:37" ht="20.100000000000001" customHeight="1" x14ac:dyDescent="0.2">
      <c r="D165" s="170" t="str" cm="1">
        <f t="array" ref="D165">Common_InputFunctions.Utility_DisplayArrayInTable(Fertiliser_SourceData.Fertiliser_Products_Data3(), FertiliserProducts[[#Headers],[Company]],61)</f>
        <v>Incitec Pivot Fertilisers (or Ravensdown - see note)</v>
      </c>
      <c r="E165" s="170" t="str" cm="1">
        <f t="array" ref="E165">Common_InputFunctions.Utility_DisplayArrayInTable(Fertiliser_SourceData.Fertiliser_Products_Data3(), FertiliserProducts[[#Headers],[Company]],61)</f>
        <v>Flexi-N NI only</v>
      </c>
      <c r="F165" s="170" t="str" cm="1">
        <f t="array" ref="F165">Common_InputFunctions.Utility_DisplayArrayInTable(Fertiliser_SourceData.Fertiliser_Products_Data3(), FertiliserProducts[[#Headers],[Company]],61)</f>
        <v>kg</v>
      </c>
      <c r="G165" s="170" cm="1">
        <f t="array" ref="G165">Common_InputFunctions.Utility_DisplayArrayInTable(Fertiliser_SourceData.Fertiliser_Products_Data3(), FertiliserProducts[[#Headers],[Company]],61)</f>
        <v>1</v>
      </c>
      <c r="H165" s="170" t="str" cm="1">
        <f t="array" ref="H165">Common_InputFunctions.Utility_DisplayArrayInTable(Fertiliser_SourceData.Fertiliser_Products_Data3(), FertiliserProducts[[#Headers],[Company]],61)</f>
        <v>Yes</v>
      </c>
      <c r="I165" s="170" t="str" cm="1">
        <f t="array" ref="I165">Common_InputFunctions.Utility_DisplayArrayInTable(Fertiliser_SourceData.Fertiliser_Products_Data3(), FertiliserProducts[[#Headers],[Company]],61)</f>
        <v/>
      </c>
      <c r="J165" s="170" t="str" cm="1">
        <f t="array" ref="J165">Common_InputFunctions.Utility_DisplayArrayInTable(Fertiliser_SourceData.Fertiliser_Products_Data3(), FertiliserProducts[[#Headers],[Company]],61)</f>
        <v/>
      </c>
      <c r="K165" s="170" cm="1">
        <f t="array" ref="K165">Common_InputFunctions.Utility_DisplayArrayInTable(Fertiliser_SourceData.Fertiliser_Products_Data3(), FertiliserProducts[[#Headers],[Company]],61)</f>
        <v>45.54</v>
      </c>
      <c r="L165" s="170" t="str" cm="1">
        <f t="array" ref="L165">Common_InputFunctions.Utility_DisplayArrayInTable(Fertiliser_SourceData.Fertiliser_Products_Data3(), FertiliserProducts[[#Headers],[Company]],61)</f>
        <v/>
      </c>
      <c r="M165" s="170" t="str" cm="1">
        <f t="array" ref="M165">Common_InputFunctions.Utility_DisplayArrayInTable(Fertiliser_SourceData.Fertiliser_Products_Data3(), FertiliserProducts[[#Headers],[Company]],61)</f>
        <v/>
      </c>
      <c r="N165" s="170" t="str" cm="1">
        <f t="array" ref="N165">Common_InputFunctions.Utility_DisplayArrayInTable(Fertiliser_SourceData.Fertiliser_Products_Data3(), FertiliserProducts[[#Headers],[Company]],61)</f>
        <v/>
      </c>
      <c r="O165" s="170" t="str" cm="1">
        <f t="array" ref="O165">Common_InputFunctions.Utility_DisplayArrayInTable(Fertiliser_SourceData.Fertiliser_Products_Data3(), FertiliserProducts[[#Headers],[Company]],61)</f>
        <v>Urea</v>
      </c>
      <c r="P165" s="170" cm="1">
        <f t="array" ref="P165">Common_InputFunctions.Utility_DisplayArrayInTable(Fertiliser_SourceData.Fertiliser_Products_Data3(), FertiliserProducts[[#Headers],[Company]],61)</f>
        <v>0.99</v>
      </c>
      <c r="Q165" s="170" t="str" cm="1">
        <f t="array" ref="Q165">Common_InputFunctions.Utility_DisplayArrayInTable(Fertiliser_SourceData.Fertiliser_Products_Data3(), FertiliserProducts[[#Headers],[Company]],61)</f>
        <v>Urease/nitrification inhibitor</v>
      </c>
      <c r="R165" s="170" cm="1">
        <f t="array" ref="R165">Common_InputFunctions.Utility_DisplayArrayInTable(Fertiliser_SourceData.Fertiliser_Products_Data3(), FertiliserProducts[[#Headers],[Company]],61)</f>
        <v>0.01</v>
      </c>
      <c r="S165" s="170" t="str" cm="1">
        <f t="array" ref="S165">Common_InputFunctions.Utility_DisplayArrayInTable(Fertiliser_SourceData.Fertiliser_Products_Data3(), FertiliserProducts[[#Headers],[Company]],61)</f>
        <v/>
      </c>
      <c r="T165" s="170" t="str" cm="1">
        <f t="array" ref="T165">Common_InputFunctions.Utility_DisplayArrayInTable(Fertiliser_SourceData.Fertiliser_Products_Data3(), FertiliserProducts[[#Headers],[Company]],61)</f>
        <v/>
      </c>
      <c r="U165" s="170" t="str" cm="1">
        <f t="array" ref="U165">Common_InputFunctions.Utility_DisplayArrayInTable(Fertiliser_SourceData.Fertiliser_Products_Data3(), FertiliserProducts[[#Headers],[Company]],61)</f>
        <v/>
      </c>
      <c r="V165" s="170" t="str" cm="1">
        <f t="array" ref="V165">Common_InputFunctions.Utility_DisplayArrayInTable(Fertiliser_SourceData.Fertiliser_Products_Data3(), FertiliserProducts[[#Headers],[Company]],61)</f>
        <v/>
      </c>
      <c r="W165" s="170" t="str" cm="1">
        <f t="array" ref="W165">Common_InputFunctions.Utility_DisplayArrayInTable(Fertiliser_SourceData.Fertiliser_Products_Data3(), FertiliserProducts[[#Headers],[Company]],61)</f>
        <v/>
      </c>
      <c r="X165" s="170" t="str" cm="1">
        <f t="array" ref="X165">Common_InputFunctions.Utility_DisplayArrayInTable(Fertiliser_SourceData.Fertiliser_Products_Data3(), FertiliserProducts[[#Headers],[Company]],61)</f>
        <v/>
      </c>
      <c r="Y165" s="170" t="str" cm="1">
        <f t="array" ref="Y165">Common_InputFunctions.Utility_DisplayArrayInTable(Fertiliser_SourceData.Fertiliser_Products_Data3(), FertiliserProducts[[#Headers],[Company]],61)</f>
        <v/>
      </c>
      <c r="Z165" s="170" t="str" cm="1">
        <f t="array" ref="Z165">Common_InputFunctions.Utility_DisplayArrayInTable(Fertiliser_SourceData.Fertiliser_Products_Data3(), FertiliserProducts[[#Headers],[Company]],61)</f>
        <v/>
      </c>
      <c r="AA165" s="170" t="str" cm="1">
        <f t="array" ref="AA165">Common_InputFunctions.Utility_DisplayArrayInTable(Fertiliser_SourceData.Fertiliser_Products_Data3(), FertiliserProducts[[#Headers],[Company]],61)</f>
        <v/>
      </c>
      <c r="AB165" s="170" t="str" cm="1">
        <f t="array" ref="AB165">Common_InputFunctions.Utility_DisplayArrayInTable(Fertiliser_SourceData.Fertiliser_Products_Data3(), FertiliserProducts[[#Headers],[Company]],61)</f>
        <v/>
      </c>
      <c r="AC165" s="170" t="str" cm="1">
        <f t="array" ref="AC165">Common_InputFunctions.Utility_DisplayArrayInTable(Fertiliser_SourceData.Fertiliser_Products_Data3(), FertiliserProducts[[#Headers],[Company]],61)</f>
        <v/>
      </c>
      <c r="AD165" s="170" t="str" cm="1">
        <f t="array" ref="AD165">Common_InputFunctions.Utility_DisplayArrayInTable(Fertiliser_SourceData.Fertiliser_Products_Data3(), FertiliserProducts[[#Headers],[Company]],61)</f>
        <v/>
      </c>
      <c r="AE165" s="170" t="str" cm="1">
        <f t="array" ref="AE165">Common_InputFunctions.Utility_DisplayArrayInTable(Fertiliser_SourceData.Fertiliser_Products_Data3(), FertiliserProducts[[#Headers],[Company]],61)</f>
        <v/>
      </c>
      <c r="AF165" s="170" t="str" cm="1">
        <f t="array" ref="AF165">Common_InputFunctions.Utility_DisplayArrayInTable(Fertiliser_SourceData.Fertiliser_Products_Data3(), FertiliserProducts[[#Headers],[Company]],61)</f>
        <v/>
      </c>
      <c r="AG165" s="170" t="str" cm="1">
        <f t="array" ref="AG165">Common_InputFunctions.Utility_DisplayArrayInTable(Fertiliser_SourceData.Fertiliser_Products_Data3(), FertiliserProducts[[#Headers],[Company]],61)</f>
        <v/>
      </c>
      <c r="AH165" s="170" t="str" cm="1">
        <f t="array" ref="AH165">Common_InputFunctions.Utility_DisplayArrayInTable(Fertiliser_SourceData.Fertiliser_Products_Data3(), FertiliserProducts[[#Headers],[Company]],61)</f>
        <v/>
      </c>
      <c r="AK165" s="1"/>
    </row>
    <row r="166" spans="4:37" ht="20.100000000000001" customHeight="1" x14ac:dyDescent="0.2">
      <c r="D166" s="170" t="str" cm="1">
        <f t="array" ref="D166">Common_InputFunctions.Utility_DisplayArrayInTable(Fertiliser_SourceData.Fertiliser_Products_Data3(), FertiliserProducts[[#Headers],[Company]],61)</f>
        <v>Nutri-Tech Solutions (NTS)</v>
      </c>
      <c r="E166" s="170" t="str" cm="1">
        <f t="array" ref="E166">Common_InputFunctions.Utility_DisplayArrayInTable(Fertiliser_SourceData.Fertiliser_Products_Data3(), FertiliserProducts[[#Headers],[Company]],61)</f>
        <v>Muriate Of Potash MOP</v>
      </c>
      <c r="F166" s="170" t="str" cm="1">
        <f t="array" ref="F166">Common_InputFunctions.Utility_DisplayArrayInTable(Fertiliser_SourceData.Fertiliser_Products_Data3(), FertiliserProducts[[#Headers],[Company]],61)</f>
        <v>kg</v>
      </c>
      <c r="G166" s="170" cm="1">
        <f t="array" ref="G166">Common_InputFunctions.Utility_DisplayArrayInTable(Fertiliser_SourceData.Fertiliser_Products_Data3(), FertiliserProducts[[#Headers],[Company]],61)</f>
        <v>1</v>
      </c>
      <c r="H166" s="170" t="str" cm="1">
        <f t="array" ref="H166">Common_InputFunctions.Utility_DisplayArrayInTable(Fertiliser_SourceData.Fertiliser_Products_Data3(), FertiliserProducts[[#Headers],[Company]],61)</f>
        <v/>
      </c>
      <c r="I166" s="170" t="str" cm="1">
        <f t="array" ref="I166">Common_InputFunctions.Utility_DisplayArrayInTable(Fertiliser_SourceData.Fertiliser_Products_Data3(), FertiliserProducts[[#Headers],[Company]],61)</f>
        <v/>
      </c>
      <c r="J166" s="170" t="str" cm="1">
        <f t="array" ref="J166">Common_InputFunctions.Utility_DisplayArrayInTable(Fertiliser_SourceData.Fertiliser_Products_Data3(), FertiliserProducts[[#Headers],[Company]],61)</f>
        <v/>
      </c>
      <c r="K166" s="170" t="str" cm="1">
        <f t="array" ref="K166">Common_InputFunctions.Utility_DisplayArrayInTable(Fertiliser_SourceData.Fertiliser_Products_Data3(), FertiliserProducts[[#Headers],[Company]],61)</f>
        <v/>
      </c>
      <c r="L166" s="170" t="str" cm="1">
        <f t="array" ref="L166">Common_InputFunctions.Utility_DisplayArrayInTable(Fertiliser_SourceData.Fertiliser_Products_Data3(), FertiliserProducts[[#Headers],[Company]],61)</f>
        <v/>
      </c>
      <c r="M166" s="170" cm="1">
        <f t="array" ref="M166">Common_InputFunctions.Utility_DisplayArrayInTable(Fertiliser_SourceData.Fertiliser_Products_Data3(), FertiliserProducts[[#Headers],[Company]],61)</f>
        <v>50</v>
      </c>
      <c r="N166" s="170" t="str" cm="1">
        <f t="array" ref="N166">Common_InputFunctions.Utility_DisplayArrayInTable(Fertiliser_SourceData.Fertiliser_Products_Data3(), FertiliserProducts[[#Headers],[Company]],61)</f>
        <v/>
      </c>
      <c r="O166" s="170" t="str" cm="1">
        <f t="array" ref="O166">Common_InputFunctions.Utility_DisplayArrayInTable(Fertiliser_SourceData.Fertiliser_Products_Data3(), FertiliserProducts[[#Headers],[Company]],61)</f>
        <v>Muriate of potash (MOP)</v>
      </c>
      <c r="P166" s="170" cm="1">
        <f t="array" ref="P166">Common_InputFunctions.Utility_DisplayArrayInTable(Fertiliser_SourceData.Fertiliser_Products_Data3(), FertiliserProducts[[#Headers],[Company]],61)</f>
        <v>1</v>
      </c>
      <c r="Q166" s="170" t="str" cm="1">
        <f t="array" ref="Q166">Common_InputFunctions.Utility_DisplayArrayInTable(Fertiliser_SourceData.Fertiliser_Products_Data3(), FertiliserProducts[[#Headers],[Company]],61)</f>
        <v/>
      </c>
      <c r="R166" s="170" t="str" cm="1">
        <f t="array" ref="R166">Common_InputFunctions.Utility_DisplayArrayInTable(Fertiliser_SourceData.Fertiliser_Products_Data3(), FertiliserProducts[[#Headers],[Company]],61)</f>
        <v/>
      </c>
      <c r="S166" s="170" t="str" cm="1">
        <f t="array" ref="S166">Common_InputFunctions.Utility_DisplayArrayInTable(Fertiliser_SourceData.Fertiliser_Products_Data3(), FertiliserProducts[[#Headers],[Company]],61)</f>
        <v/>
      </c>
      <c r="T166" s="170" t="str" cm="1">
        <f t="array" ref="T166">Common_InputFunctions.Utility_DisplayArrayInTable(Fertiliser_SourceData.Fertiliser_Products_Data3(), FertiliserProducts[[#Headers],[Company]],61)</f>
        <v/>
      </c>
      <c r="U166" s="170" t="str" cm="1">
        <f t="array" ref="U166">Common_InputFunctions.Utility_DisplayArrayInTable(Fertiliser_SourceData.Fertiliser_Products_Data3(), FertiliserProducts[[#Headers],[Company]],61)</f>
        <v/>
      </c>
      <c r="V166" s="170" t="str" cm="1">
        <f t="array" ref="V166">Common_InputFunctions.Utility_DisplayArrayInTable(Fertiliser_SourceData.Fertiliser_Products_Data3(), FertiliserProducts[[#Headers],[Company]],61)</f>
        <v/>
      </c>
      <c r="W166" s="170" t="str" cm="1">
        <f t="array" ref="W166">Common_InputFunctions.Utility_DisplayArrayInTable(Fertiliser_SourceData.Fertiliser_Products_Data3(), FertiliserProducts[[#Headers],[Company]],61)</f>
        <v/>
      </c>
      <c r="X166" s="170" t="str" cm="1">
        <f t="array" ref="X166">Common_InputFunctions.Utility_DisplayArrayInTable(Fertiliser_SourceData.Fertiliser_Products_Data3(), FertiliserProducts[[#Headers],[Company]],61)</f>
        <v/>
      </c>
      <c r="Y166" s="170" t="str" cm="1">
        <f t="array" ref="Y166">Common_InputFunctions.Utility_DisplayArrayInTable(Fertiliser_SourceData.Fertiliser_Products_Data3(), FertiliserProducts[[#Headers],[Company]],61)</f>
        <v/>
      </c>
      <c r="Z166" s="170" t="str" cm="1">
        <f t="array" ref="Z166">Common_InputFunctions.Utility_DisplayArrayInTable(Fertiliser_SourceData.Fertiliser_Products_Data3(), FertiliserProducts[[#Headers],[Company]],61)</f>
        <v/>
      </c>
      <c r="AA166" s="170" t="str" cm="1">
        <f t="array" ref="AA166">Common_InputFunctions.Utility_DisplayArrayInTable(Fertiliser_SourceData.Fertiliser_Products_Data3(), FertiliserProducts[[#Headers],[Company]],61)</f>
        <v/>
      </c>
      <c r="AB166" s="170" t="str" cm="1">
        <f t="array" ref="AB166">Common_InputFunctions.Utility_DisplayArrayInTable(Fertiliser_SourceData.Fertiliser_Products_Data3(), FertiliserProducts[[#Headers],[Company]],61)</f>
        <v/>
      </c>
      <c r="AC166" s="170" t="str" cm="1">
        <f t="array" ref="AC166">Common_InputFunctions.Utility_DisplayArrayInTable(Fertiliser_SourceData.Fertiliser_Products_Data3(), FertiliserProducts[[#Headers],[Company]],61)</f>
        <v/>
      </c>
      <c r="AD166" s="170" t="str" cm="1">
        <f t="array" ref="AD166">Common_InputFunctions.Utility_DisplayArrayInTable(Fertiliser_SourceData.Fertiliser_Products_Data3(), FertiliserProducts[[#Headers],[Company]],61)</f>
        <v/>
      </c>
      <c r="AE166" s="170" t="str" cm="1">
        <f t="array" ref="AE166">Common_InputFunctions.Utility_DisplayArrayInTable(Fertiliser_SourceData.Fertiliser_Products_Data3(), FertiliserProducts[[#Headers],[Company]],61)</f>
        <v/>
      </c>
      <c r="AF166" s="170" t="str" cm="1">
        <f t="array" ref="AF166">Common_InputFunctions.Utility_DisplayArrayInTable(Fertiliser_SourceData.Fertiliser_Products_Data3(), FertiliserProducts[[#Headers],[Company]],61)</f>
        <v/>
      </c>
      <c r="AG166" s="170" t="str" cm="1">
        <f t="array" ref="AG166">Common_InputFunctions.Utility_DisplayArrayInTable(Fertiliser_SourceData.Fertiliser_Products_Data3(), FertiliserProducts[[#Headers],[Company]],61)</f>
        <v/>
      </c>
      <c r="AH166" s="170" t="str" cm="1">
        <f t="array" ref="AH166">Common_InputFunctions.Utility_DisplayArrayInTable(Fertiliser_SourceData.Fertiliser_Products_Data3(), FertiliserProducts[[#Headers],[Company]],61)</f>
        <v/>
      </c>
      <c r="AK166" s="1"/>
    </row>
    <row r="167" spans="4:37" ht="20.100000000000001" customHeight="1" x14ac:dyDescent="0.2">
      <c r="D167" s="170" t="str" cm="1">
        <f t="array" ref="D167">Common_InputFunctions.Utility_DisplayArrayInTable(Fertiliser_SourceData.Fertiliser_Products_Data3(), FertiliserProducts[[#Headers],[Company]],61)</f>
        <v>Nuturf</v>
      </c>
      <c r="E167" s="170" t="str" cm="1">
        <f t="array" ref="E167">Common_InputFunctions.Utility_DisplayArrayInTable(Fertiliser_SourceData.Fertiliser_Products_Data3(), FertiliserProducts[[#Headers],[Company]],61)</f>
        <v>MAP NUTURF</v>
      </c>
      <c r="F167" s="170" t="str" cm="1">
        <f t="array" ref="F167">Common_InputFunctions.Utility_DisplayArrayInTable(Fertiliser_SourceData.Fertiliser_Products_Data3(), FertiliserProducts[[#Headers],[Company]],61)</f>
        <v>kg</v>
      </c>
      <c r="G167" s="170" cm="1">
        <f t="array" ref="G167">Common_InputFunctions.Utility_DisplayArrayInTable(Fertiliser_SourceData.Fertiliser_Products_Data3(), FertiliserProducts[[#Headers],[Company]],61)</f>
        <v>1</v>
      </c>
      <c r="H167" s="170" t="str" cm="1">
        <f t="array" ref="H167">Common_InputFunctions.Utility_DisplayArrayInTable(Fertiliser_SourceData.Fertiliser_Products_Data3(), FertiliserProducts[[#Headers],[Company]],61)</f>
        <v/>
      </c>
      <c r="I167" s="170" t="str" cm="1">
        <f t="array" ref="I167">Common_InputFunctions.Utility_DisplayArrayInTable(Fertiliser_SourceData.Fertiliser_Products_Data3(), FertiliserProducts[[#Headers],[Company]],61)</f>
        <v/>
      </c>
      <c r="J167" s="170" t="str" cm="1">
        <f t="array" ref="J167">Common_InputFunctions.Utility_DisplayArrayInTable(Fertiliser_SourceData.Fertiliser_Products_Data3(), FertiliserProducts[[#Headers],[Company]],61)</f>
        <v/>
      </c>
      <c r="K167" s="170" cm="1">
        <f t="array" ref="K167">Common_InputFunctions.Utility_DisplayArrayInTable(Fertiliser_SourceData.Fertiliser_Products_Data3(), FertiliserProducts[[#Headers],[Company]],61)</f>
        <v>10</v>
      </c>
      <c r="L167" s="170" cm="1">
        <f t="array" ref="L167">Common_InputFunctions.Utility_DisplayArrayInTable(Fertiliser_SourceData.Fertiliser_Products_Data3(), FertiliserProducts[[#Headers],[Company]],61)</f>
        <v>21.9</v>
      </c>
      <c r="M167" s="170" t="str" cm="1">
        <f t="array" ref="M167">Common_InputFunctions.Utility_DisplayArrayInTable(Fertiliser_SourceData.Fertiliser_Products_Data3(), FertiliserProducts[[#Headers],[Company]],61)</f>
        <v/>
      </c>
      <c r="N167" s="170" t="str" cm="1">
        <f t="array" ref="N167">Common_InputFunctions.Utility_DisplayArrayInTable(Fertiliser_SourceData.Fertiliser_Products_Data3(), FertiliserProducts[[#Headers],[Company]],61)</f>
        <v/>
      </c>
      <c r="O167" s="170" t="str" cm="1">
        <f t="array" ref="O167">Common_InputFunctions.Utility_DisplayArrayInTable(Fertiliser_SourceData.Fertiliser_Products_Data3(), FertiliserProducts[[#Headers],[Company]],61)</f>
        <v>Monoammonium phosphate (MAP)</v>
      </c>
      <c r="P167" s="170" cm="1">
        <f t="array" ref="P167">Common_InputFunctions.Utility_DisplayArrayInTable(Fertiliser_SourceData.Fertiliser_Products_Data3(), FertiliserProducts[[#Headers],[Company]],61)</f>
        <v>1</v>
      </c>
      <c r="Q167" s="170" t="str" cm="1">
        <f t="array" ref="Q167">Common_InputFunctions.Utility_DisplayArrayInTable(Fertiliser_SourceData.Fertiliser_Products_Data3(), FertiliserProducts[[#Headers],[Company]],61)</f>
        <v/>
      </c>
      <c r="R167" s="170" t="str" cm="1">
        <f t="array" ref="R167">Common_InputFunctions.Utility_DisplayArrayInTable(Fertiliser_SourceData.Fertiliser_Products_Data3(), FertiliserProducts[[#Headers],[Company]],61)</f>
        <v/>
      </c>
      <c r="S167" s="170" t="str" cm="1">
        <f t="array" ref="S167">Common_InputFunctions.Utility_DisplayArrayInTable(Fertiliser_SourceData.Fertiliser_Products_Data3(), FertiliserProducts[[#Headers],[Company]],61)</f>
        <v/>
      </c>
      <c r="T167" s="170" t="str" cm="1">
        <f t="array" ref="T167">Common_InputFunctions.Utility_DisplayArrayInTable(Fertiliser_SourceData.Fertiliser_Products_Data3(), FertiliserProducts[[#Headers],[Company]],61)</f>
        <v/>
      </c>
      <c r="U167" s="170" t="str" cm="1">
        <f t="array" ref="U167">Common_InputFunctions.Utility_DisplayArrayInTable(Fertiliser_SourceData.Fertiliser_Products_Data3(), FertiliserProducts[[#Headers],[Company]],61)</f>
        <v/>
      </c>
      <c r="V167" s="170" t="str" cm="1">
        <f t="array" ref="V167">Common_InputFunctions.Utility_DisplayArrayInTable(Fertiliser_SourceData.Fertiliser_Products_Data3(), FertiliserProducts[[#Headers],[Company]],61)</f>
        <v/>
      </c>
      <c r="W167" s="170" t="str" cm="1">
        <f t="array" ref="W167">Common_InputFunctions.Utility_DisplayArrayInTable(Fertiliser_SourceData.Fertiliser_Products_Data3(), FertiliserProducts[[#Headers],[Company]],61)</f>
        <v/>
      </c>
      <c r="X167" s="170" t="str" cm="1">
        <f t="array" ref="X167">Common_InputFunctions.Utility_DisplayArrayInTable(Fertiliser_SourceData.Fertiliser_Products_Data3(), FertiliserProducts[[#Headers],[Company]],61)</f>
        <v/>
      </c>
      <c r="Y167" s="170" t="str" cm="1">
        <f t="array" ref="Y167">Common_InputFunctions.Utility_DisplayArrayInTable(Fertiliser_SourceData.Fertiliser_Products_Data3(), FertiliserProducts[[#Headers],[Company]],61)</f>
        <v/>
      </c>
      <c r="Z167" s="170" t="str" cm="1">
        <f t="array" ref="Z167">Common_InputFunctions.Utility_DisplayArrayInTable(Fertiliser_SourceData.Fertiliser_Products_Data3(), FertiliserProducts[[#Headers],[Company]],61)</f>
        <v/>
      </c>
      <c r="AA167" s="170" t="str" cm="1">
        <f t="array" ref="AA167">Common_InputFunctions.Utility_DisplayArrayInTable(Fertiliser_SourceData.Fertiliser_Products_Data3(), FertiliserProducts[[#Headers],[Company]],61)</f>
        <v/>
      </c>
      <c r="AB167" s="170" t="str" cm="1">
        <f t="array" ref="AB167">Common_InputFunctions.Utility_DisplayArrayInTable(Fertiliser_SourceData.Fertiliser_Products_Data3(), FertiliserProducts[[#Headers],[Company]],61)</f>
        <v/>
      </c>
      <c r="AC167" s="170" t="str" cm="1">
        <f t="array" ref="AC167">Common_InputFunctions.Utility_DisplayArrayInTable(Fertiliser_SourceData.Fertiliser_Products_Data3(), FertiliserProducts[[#Headers],[Company]],61)</f>
        <v/>
      </c>
      <c r="AD167" s="170" t="str" cm="1">
        <f t="array" ref="AD167">Common_InputFunctions.Utility_DisplayArrayInTable(Fertiliser_SourceData.Fertiliser_Products_Data3(), FertiliserProducts[[#Headers],[Company]],61)</f>
        <v/>
      </c>
      <c r="AE167" s="170" t="str" cm="1">
        <f t="array" ref="AE167">Common_InputFunctions.Utility_DisplayArrayInTable(Fertiliser_SourceData.Fertiliser_Products_Data3(), FertiliserProducts[[#Headers],[Company]],61)</f>
        <v/>
      </c>
      <c r="AF167" s="170" t="str" cm="1">
        <f t="array" ref="AF167">Common_InputFunctions.Utility_DisplayArrayInTable(Fertiliser_SourceData.Fertiliser_Products_Data3(), FertiliserProducts[[#Headers],[Company]],61)</f>
        <v/>
      </c>
      <c r="AG167" s="170" t="str" cm="1">
        <f t="array" ref="AG167">Common_InputFunctions.Utility_DisplayArrayInTable(Fertiliser_SourceData.Fertiliser_Products_Data3(), FertiliserProducts[[#Headers],[Company]],61)</f>
        <v/>
      </c>
      <c r="AH167" s="170" t="str" cm="1">
        <f t="array" ref="AH167">Common_InputFunctions.Utility_DisplayArrayInTable(Fertiliser_SourceData.Fertiliser_Products_Data3(), FertiliserProducts[[#Headers],[Company]],61)</f>
        <v/>
      </c>
      <c r="AK167" s="1"/>
    </row>
    <row r="168" spans="4:37" ht="20.100000000000001" customHeight="1" x14ac:dyDescent="0.2">
      <c r="D168" s="170" t="str" cm="1">
        <f t="array" ref="D168">Common_InputFunctions.Utility_DisplayArrayInTable(Fertiliser_SourceData.Fertiliser_Products_Data3(), FertiliserProducts[[#Headers],[Company]],61)</f>
        <v>Campbells fertilisers Australia</v>
      </c>
      <c r="E168" s="170" t="str" cm="1">
        <f t="array" ref="E168">Common_InputFunctions.Utility_DisplayArrayInTable(Fertiliser_SourceData.Fertiliser_Products_Data3(), FertiliserProducts[[#Headers],[Company]],61)</f>
        <v>Quick-N</v>
      </c>
      <c r="F168" s="170" t="str" cm="1">
        <f t="array" ref="F168">Common_InputFunctions.Utility_DisplayArrayInTable(Fertiliser_SourceData.Fertiliser_Products_Data3(), FertiliserProducts[[#Headers],[Company]],61)</f>
        <v>kg</v>
      </c>
      <c r="G168" s="170" cm="1">
        <f t="array" ref="G168">Common_InputFunctions.Utility_DisplayArrayInTable(Fertiliser_SourceData.Fertiliser_Products_Data3(), FertiliserProducts[[#Headers],[Company]],61)</f>
        <v>1</v>
      </c>
      <c r="H168" s="170" t="str" cm="1">
        <f t="array" ref="H168">Common_InputFunctions.Utility_DisplayArrayInTable(Fertiliser_SourceData.Fertiliser_Products_Data3(), FertiliserProducts[[#Headers],[Company]],61)</f>
        <v/>
      </c>
      <c r="I168" s="170" t="str" cm="1">
        <f t="array" ref="I168">Common_InputFunctions.Utility_DisplayArrayInTable(Fertiliser_SourceData.Fertiliser_Products_Data3(), FertiliserProducts[[#Headers],[Company]],61)</f>
        <v/>
      </c>
      <c r="J168" s="170" t="str" cm="1">
        <f t="array" ref="J168">Common_InputFunctions.Utility_DisplayArrayInTable(Fertiliser_SourceData.Fertiliser_Products_Data3(), FertiliserProducts[[#Headers],[Company]],61)</f>
        <v/>
      </c>
      <c r="K168" s="170" cm="1">
        <f t="array" ref="K168">Common_InputFunctions.Utility_DisplayArrayInTable(Fertiliser_SourceData.Fertiliser_Products_Data3(), FertiliserProducts[[#Headers],[Company]],61)</f>
        <v>26</v>
      </c>
      <c r="L168" s="170" t="str" cm="1">
        <f t="array" ref="L168">Common_InputFunctions.Utility_DisplayArrayInTable(Fertiliser_SourceData.Fertiliser_Products_Data3(), FertiliserProducts[[#Headers],[Company]],61)</f>
        <v/>
      </c>
      <c r="M168" s="170" t="str" cm="1">
        <f t="array" ref="M168">Common_InputFunctions.Utility_DisplayArrayInTable(Fertiliser_SourceData.Fertiliser_Products_Data3(), FertiliserProducts[[#Headers],[Company]],61)</f>
        <v/>
      </c>
      <c r="N168" s="170" cm="1">
        <f t="array" ref="N168">Common_InputFunctions.Utility_DisplayArrayInTable(Fertiliser_SourceData.Fertiliser_Products_Data3(), FertiliserProducts[[#Headers],[Company]],61)</f>
        <v>13</v>
      </c>
      <c r="O168" s="170" t="str" cm="1">
        <f t="array" ref="O168">Common_InputFunctions.Utility_DisplayArrayInTable(Fertiliser_SourceData.Fertiliser_Products_Data3(), FertiliserProducts[[#Headers],[Company]],61)</f>
        <v>Sulphate of ammonia (SOA)</v>
      </c>
      <c r="P168" s="170" cm="1">
        <f t="array" ref="P168">Common_InputFunctions.Utility_DisplayArrayInTable(Fertiliser_SourceData.Fertiliser_Products_Data3(), FertiliserProducts[[#Headers],[Company]],61)</f>
        <v>0.54166700000000001</v>
      </c>
      <c r="Q168" s="170" t="str" cm="1">
        <f t="array" ref="Q168">Common_InputFunctions.Utility_DisplayArrayInTable(Fertiliser_SourceData.Fertiliser_Products_Data3(), FertiliserProducts[[#Headers],[Company]],61)</f>
        <v>Ammonium nitrate (AN)</v>
      </c>
      <c r="R168" s="170" cm="1">
        <f t="array" ref="R168">Common_InputFunctions.Utility_DisplayArrayInTable(Fertiliser_SourceData.Fertiliser_Products_Data3(), FertiliserProducts[[#Headers],[Company]],61)</f>
        <v>0.43397599999999997</v>
      </c>
      <c r="S168" s="170" t="str" cm="1">
        <f t="array" ref="S168">Common_InputFunctions.Utility_DisplayArrayInTable(Fertiliser_SourceData.Fertiliser_Products_Data3(), FertiliserProducts[[#Headers],[Company]],61)</f>
        <v/>
      </c>
      <c r="T168" s="170" t="str" cm="1">
        <f t="array" ref="T168">Common_InputFunctions.Utility_DisplayArrayInTable(Fertiliser_SourceData.Fertiliser_Products_Data3(), FertiliserProducts[[#Headers],[Company]],61)</f>
        <v/>
      </c>
      <c r="U168" s="170" t="str" cm="1">
        <f t="array" ref="U168">Common_InputFunctions.Utility_DisplayArrayInTable(Fertiliser_SourceData.Fertiliser_Products_Data3(), FertiliserProducts[[#Headers],[Company]],61)</f>
        <v/>
      </c>
      <c r="V168" s="170" t="str" cm="1">
        <f t="array" ref="V168">Common_InputFunctions.Utility_DisplayArrayInTable(Fertiliser_SourceData.Fertiliser_Products_Data3(), FertiliserProducts[[#Headers],[Company]],61)</f>
        <v/>
      </c>
      <c r="W168" s="170" t="str" cm="1">
        <f t="array" ref="W168">Common_InputFunctions.Utility_DisplayArrayInTable(Fertiliser_SourceData.Fertiliser_Products_Data3(), FertiliserProducts[[#Headers],[Company]],61)</f>
        <v/>
      </c>
      <c r="X168" s="170" t="str" cm="1">
        <f t="array" ref="X168">Common_InputFunctions.Utility_DisplayArrayInTable(Fertiliser_SourceData.Fertiliser_Products_Data3(), FertiliserProducts[[#Headers],[Company]],61)</f>
        <v/>
      </c>
      <c r="Y168" s="170" t="str" cm="1">
        <f t="array" ref="Y168">Common_InputFunctions.Utility_DisplayArrayInTable(Fertiliser_SourceData.Fertiliser_Products_Data3(), FertiliserProducts[[#Headers],[Company]],61)</f>
        <v/>
      </c>
      <c r="Z168" s="170" t="str" cm="1">
        <f t="array" ref="Z168">Common_InputFunctions.Utility_DisplayArrayInTable(Fertiliser_SourceData.Fertiliser_Products_Data3(), FertiliserProducts[[#Headers],[Company]],61)</f>
        <v/>
      </c>
      <c r="AA168" s="170" t="str" cm="1">
        <f t="array" ref="AA168">Common_InputFunctions.Utility_DisplayArrayInTable(Fertiliser_SourceData.Fertiliser_Products_Data3(), FertiliserProducts[[#Headers],[Company]],61)</f>
        <v/>
      </c>
      <c r="AB168" s="170" t="str" cm="1">
        <f t="array" ref="AB168">Common_InputFunctions.Utility_DisplayArrayInTable(Fertiliser_SourceData.Fertiliser_Products_Data3(), FertiliserProducts[[#Headers],[Company]],61)</f>
        <v/>
      </c>
      <c r="AC168" s="170" t="str" cm="1">
        <f t="array" ref="AC168">Common_InputFunctions.Utility_DisplayArrayInTable(Fertiliser_SourceData.Fertiliser_Products_Data3(), FertiliserProducts[[#Headers],[Company]],61)</f>
        <v/>
      </c>
      <c r="AD168" s="170" t="str" cm="1">
        <f t="array" ref="AD168">Common_InputFunctions.Utility_DisplayArrayInTable(Fertiliser_SourceData.Fertiliser_Products_Data3(), FertiliserProducts[[#Headers],[Company]],61)</f>
        <v/>
      </c>
      <c r="AE168" s="170" t="str" cm="1">
        <f t="array" ref="AE168">Common_InputFunctions.Utility_DisplayArrayInTable(Fertiliser_SourceData.Fertiliser_Products_Data3(), FertiliserProducts[[#Headers],[Company]],61)</f>
        <v/>
      </c>
      <c r="AF168" s="170" t="str" cm="1">
        <f t="array" ref="AF168">Common_InputFunctions.Utility_DisplayArrayInTable(Fertiliser_SourceData.Fertiliser_Products_Data3(), FertiliserProducts[[#Headers],[Company]],61)</f>
        <v/>
      </c>
      <c r="AG168" s="170" t="str" cm="1">
        <f t="array" ref="AG168">Common_InputFunctions.Utility_DisplayArrayInTable(Fertiliser_SourceData.Fertiliser_Products_Data3(), FertiliserProducts[[#Headers],[Company]],61)</f>
        <v/>
      </c>
      <c r="AH168" s="170" t="str" cm="1">
        <f t="array" ref="AH168">Common_InputFunctions.Utility_DisplayArrayInTable(Fertiliser_SourceData.Fertiliser_Products_Data3(), FertiliserProducts[[#Headers],[Company]],61)</f>
        <v/>
      </c>
      <c r="AK168" s="1"/>
    </row>
    <row r="169" spans="4:37" ht="20.100000000000001" customHeight="1" x14ac:dyDescent="0.2">
      <c r="D169" s="170" t="str" cm="1">
        <f t="array" ref="D169">Common_InputFunctions.Utility_DisplayArrayInTable(Fertiliser_SourceData.Fertiliser_Products_Data3(), FertiliserProducts[[#Headers],[Company]],61)</f>
        <v>SLTEC Fertilizers</v>
      </c>
      <c r="E169" s="170" t="str" cm="1">
        <f t="array" ref="E169">Common_InputFunctions.Utility_DisplayArrayInTable(Fertiliser_SourceData.Fertiliser_Products_Data3(), FertiliserProducts[[#Headers],[Company]],61)</f>
        <v>UAS</v>
      </c>
      <c r="F169" s="170" t="str" cm="1">
        <f t="array" ref="F169">Common_InputFunctions.Utility_DisplayArrayInTable(Fertiliser_SourceData.Fertiliser_Products_Data3(), FertiliserProducts[[#Headers],[Company]],61)</f>
        <v>L</v>
      </c>
      <c r="G169" s="170" cm="1">
        <f t="array" ref="G169">Common_InputFunctions.Utility_DisplayArrayInTable(Fertiliser_SourceData.Fertiliser_Products_Data3(), FertiliserProducts[[#Headers],[Company]],61)</f>
        <v>1.2350000000000001</v>
      </c>
      <c r="H169" s="170" t="str" cm="1">
        <f t="array" ref="H169">Common_InputFunctions.Utility_DisplayArrayInTable(Fertiliser_SourceData.Fertiliser_Products_Data3(), FertiliserProducts[[#Headers],[Company]],61)</f>
        <v/>
      </c>
      <c r="I169" s="170" t="str" cm="1">
        <f t="array" ref="I169">Common_InputFunctions.Utility_DisplayArrayInTable(Fertiliser_SourceData.Fertiliser_Products_Data3(), FertiliserProducts[[#Headers],[Company]],61)</f>
        <v/>
      </c>
      <c r="J169" s="170" t="str" cm="1">
        <f t="array" ref="J169">Common_InputFunctions.Utility_DisplayArrayInTable(Fertiliser_SourceData.Fertiliser_Products_Data3(), FertiliserProducts[[#Headers],[Company]],61)</f>
        <v/>
      </c>
      <c r="K169" s="170" cm="1">
        <f t="array" ref="K169">Common_InputFunctions.Utility_DisplayArrayInTable(Fertiliser_SourceData.Fertiliser_Products_Data3(), FertiliserProducts[[#Headers],[Company]],61)</f>
        <v>26.6</v>
      </c>
      <c r="L169" s="170" t="str" cm="1">
        <f t="array" ref="L169">Common_InputFunctions.Utility_DisplayArrayInTable(Fertiliser_SourceData.Fertiliser_Products_Data3(), FertiliserProducts[[#Headers],[Company]],61)</f>
        <v/>
      </c>
      <c r="M169" s="170" t="str" cm="1">
        <f t="array" ref="M169">Common_InputFunctions.Utility_DisplayArrayInTable(Fertiliser_SourceData.Fertiliser_Products_Data3(), FertiliserProducts[[#Headers],[Company]],61)</f>
        <v/>
      </c>
      <c r="N169" s="170" cm="1">
        <f t="array" ref="N169">Common_InputFunctions.Utility_DisplayArrayInTable(Fertiliser_SourceData.Fertiliser_Products_Data3(), FertiliserProducts[[#Headers],[Company]],61)</f>
        <v>6.7</v>
      </c>
      <c r="O169" s="170" t="str" cm="1">
        <f t="array" ref="O169">Common_InputFunctions.Utility_DisplayArrayInTable(Fertiliser_SourceData.Fertiliser_Products_Data3(), FertiliserProducts[[#Headers],[Company]],61)</f>
        <v>Urea</v>
      </c>
      <c r="P169" s="170" cm="1">
        <f t="array" ref="P169">Common_InputFunctions.Utility_DisplayArrayInTable(Fertiliser_SourceData.Fertiliser_Products_Data3(), FertiliserProducts[[#Headers],[Company]],61)</f>
        <v>0.45081500000000002</v>
      </c>
      <c r="Q169" s="170" t="str" cm="1">
        <f t="array" ref="Q169">Common_InputFunctions.Utility_DisplayArrayInTable(Fertiliser_SourceData.Fertiliser_Products_Data3(), FertiliserProducts[[#Headers],[Company]],61)</f>
        <v>Sulphate of ammonia (SOA)</v>
      </c>
      <c r="R169" s="170" cm="1">
        <f t="array" ref="R169">Common_InputFunctions.Utility_DisplayArrayInTable(Fertiliser_SourceData.Fertiliser_Products_Data3(), FertiliserProducts[[#Headers],[Company]],61)</f>
        <v>0.279167</v>
      </c>
      <c r="S169" s="170" t="str" cm="1">
        <f t="array" ref="S169">Common_InputFunctions.Utility_DisplayArrayInTable(Fertiliser_SourceData.Fertiliser_Products_Data3(), FertiliserProducts[[#Headers],[Company]],61)</f>
        <v/>
      </c>
      <c r="T169" s="170" t="str" cm="1">
        <f t="array" ref="T169">Common_InputFunctions.Utility_DisplayArrayInTable(Fertiliser_SourceData.Fertiliser_Products_Data3(), FertiliserProducts[[#Headers],[Company]],61)</f>
        <v/>
      </c>
      <c r="U169" s="170" t="str" cm="1">
        <f t="array" ref="U169">Common_InputFunctions.Utility_DisplayArrayInTable(Fertiliser_SourceData.Fertiliser_Products_Data3(), FertiliserProducts[[#Headers],[Company]],61)</f>
        <v/>
      </c>
      <c r="V169" s="170" t="str" cm="1">
        <f t="array" ref="V169">Common_InputFunctions.Utility_DisplayArrayInTable(Fertiliser_SourceData.Fertiliser_Products_Data3(), FertiliserProducts[[#Headers],[Company]],61)</f>
        <v/>
      </c>
      <c r="W169" s="170" t="str" cm="1">
        <f t="array" ref="W169">Common_InputFunctions.Utility_DisplayArrayInTable(Fertiliser_SourceData.Fertiliser_Products_Data3(), FertiliserProducts[[#Headers],[Company]],61)</f>
        <v/>
      </c>
      <c r="X169" s="170" t="str" cm="1">
        <f t="array" ref="X169">Common_InputFunctions.Utility_DisplayArrayInTable(Fertiliser_SourceData.Fertiliser_Products_Data3(), FertiliserProducts[[#Headers],[Company]],61)</f>
        <v/>
      </c>
      <c r="Y169" s="170" t="str" cm="1">
        <f t="array" ref="Y169">Common_InputFunctions.Utility_DisplayArrayInTable(Fertiliser_SourceData.Fertiliser_Products_Data3(), FertiliserProducts[[#Headers],[Company]],61)</f>
        <v/>
      </c>
      <c r="Z169" s="170" t="str" cm="1">
        <f t="array" ref="Z169">Common_InputFunctions.Utility_DisplayArrayInTable(Fertiliser_SourceData.Fertiliser_Products_Data3(), FertiliserProducts[[#Headers],[Company]],61)</f>
        <v/>
      </c>
      <c r="AA169" s="170" t="str" cm="1">
        <f t="array" ref="AA169">Common_InputFunctions.Utility_DisplayArrayInTable(Fertiliser_SourceData.Fertiliser_Products_Data3(), FertiliserProducts[[#Headers],[Company]],61)</f>
        <v/>
      </c>
      <c r="AB169" s="170" t="str" cm="1">
        <f t="array" ref="AB169">Common_InputFunctions.Utility_DisplayArrayInTable(Fertiliser_SourceData.Fertiliser_Products_Data3(), FertiliserProducts[[#Headers],[Company]],61)</f>
        <v/>
      </c>
      <c r="AC169" s="170" t="str" cm="1">
        <f t="array" ref="AC169">Common_InputFunctions.Utility_DisplayArrayInTable(Fertiliser_SourceData.Fertiliser_Products_Data3(), FertiliserProducts[[#Headers],[Company]],61)</f>
        <v/>
      </c>
      <c r="AD169" s="170" t="str" cm="1">
        <f t="array" ref="AD169">Common_InputFunctions.Utility_DisplayArrayInTable(Fertiliser_SourceData.Fertiliser_Products_Data3(), FertiliserProducts[[#Headers],[Company]],61)</f>
        <v/>
      </c>
      <c r="AE169" s="170" t="str" cm="1">
        <f t="array" ref="AE169">Common_InputFunctions.Utility_DisplayArrayInTable(Fertiliser_SourceData.Fertiliser_Products_Data3(), FertiliserProducts[[#Headers],[Company]],61)</f>
        <v/>
      </c>
      <c r="AF169" s="170" t="str" cm="1">
        <f t="array" ref="AF169">Common_InputFunctions.Utility_DisplayArrayInTable(Fertiliser_SourceData.Fertiliser_Products_Data3(), FertiliserProducts[[#Headers],[Company]],61)</f>
        <v/>
      </c>
      <c r="AG169" s="170" t="str" cm="1">
        <f t="array" ref="AG169">Common_InputFunctions.Utility_DisplayArrayInTable(Fertiliser_SourceData.Fertiliser_Products_Data3(), FertiliserProducts[[#Headers],[Company]],61)</f>
        <v/>
      </c>
      <c r="AH169" s="170" t="str" cm="1">
        <f t="array" ref="AH169">Common_InputFunctions.Utility_DisplayArrayInTable(Fertiliser_SourceData.Fertiliser_Products_Data3(), FertiliserProducts[[#Headers],[Company]],61)</f>
        <v/>
      </c>
      <c r="AK169" s="1"/>
    </row>
    <row r="170" spans="4:37" ht="20.100000000000001" customHeight="1" x14ac:dyDescent="0.2">
      <c r="D170" s="170" t="str" cm="1">
        <f t="array" ref="D170">Common_InputFunctions.Utility_DisplayArrayInTable(Fertiliser_SourceData.Fertiliser_Products_Data3(), FertiliserProducts[[#Headers],[Company]],61)</f>
        <v>SLTEC Fertilizers</v>
      </c>
      <c r="E170" s="170" t="str" cm="1">
        <f t="array" ref="E170">Common_InputFunctions.Utility_DisplayArrayInTable(Fertiliser_SourceData.Fertiliser_Products_Data3(), FertiliserProducts[[#Headers],[Company]],61)</f>
        <v>Triazone Urea</v>
      </c>
      <c r="F170" s="170" t="str" cm="1">
        <f t="array" ref="F170">Common_InputFunctions.Utility_DisplayArrayInTable(Fertiliser_SourceData.Fertiliser_Products_Data3(), FertiliserProducts[[#Headers],[Company]],61)</f>
        <v>L</v>
      </c>
      <c r="G170" s="170" cm="1">
        <f t="array" ref="G170">Common_InputFunctions.Utility_DisplayArrayInTable(Fertiliser_SourceData.Fertiliser_Products_Data3(), FertiliserProducts[[#Headers],[Company]],61)</f>
        <v>1.28</v>
      </c>
      <c r="H170" s="170" t="str" cm="1">
        <f t="array" ref="H170">Common_InputFunctions.Utility_DisplayArrayInTable(Fertiliser_SourceData.Fertiliser_Products_Data3(), FertiliserProducts[[#Headers],[Company]],61)</f>
        <v/>
      </c>
      <c r="I170" s="170" t="str" cm="1">
        <f t="array" ref="I170">Common_InputFunctions.Utility_DisplayArrayInTable(Fertiliser_SourceData.Fertiliser_Products_Data3(), FertiliserProducts[[#Headers],[Company]],61)</f>
        <v/>
      </c>
      <c r="J170" s="170" t="str" cm="1">
        <f t="array" ref="J170">Common_InputFunctions.Utility_DisplayArrayInTable(Fertiliser_SourceData.Fertiliser_Products_Data3(), FertiliserProducts[[#Headers],[Company]],61)</f>
        <v/>
      </c>
      <c r="K170" s="170" cm="1">
        <f t="array" ref="K170">Common_InputFunctions.Utility_DisplayArrayInTable(Fertiliser_SourceData.Fertiliser_Products_Data3(), FertiliserProducts[[#Headers],[Company]],61)</f>
        <v>0</v>
      </c>
      <c r="L170" s="170" t="str" cm="1">
        <f t="array" ref="L170">Common_InputFunctions.Utility_DisplayArrayInTable(Fertiliser_SourceData.Fertiliser_Products_Data3(), FertiliserProducts[[#Headers],[Company]],61)</f>
        <v/>
      </c>
      <c r="M170" s="170" t="str" cm="1">
        <f t="array" ref="M170">Common_InputFunctions.Utility_DisplayArrayInTable(Fertiliser_SourceData.Fertiliser_Products_Data3(), FertiliserProducts[[#Headers],[Company]],61)</f>
        <v/>
      </c>
      <c r="N170" s="170" t="str" cm="1">
        <f t="array" ref="N170">Common_InputFunctions.Utility_DisplayArrayInTable(Fertiliser_SourceData.Fertiliser_Products_Data3(), FertiliserProducts[[#Headers],[Company]],61)</f>
        <v/>
      </c>
      <c r="O170" s="170" t="str" cm="1">
        <f t="array" ref="O170">Common_InputFunctions.Utility_DisplayArrayInTable(Fertiliser_SourceData.Fertiliser_Products_Data3(), FertiliserProducts[[#Headers],[Company]],61)</f>
        <v>Urea</v>
      </c>
      <c r="P170" s="170" cm="1">
        <f t="array" ref="P170">Common_InputFunctions.Utility_DisplayArrayInTable(Fertiliser_SourceData.Fertiliser_Products_Data3(), FertiliserProducts[[#Headers],[Company]],61)</f>
        <v>0.65217400000000003</v>
      </c>
      <c r="Q170" s="170" t="str" cm="1">
        <f t="array" ref="Q170">Common_InputFunctions.Utility_DisplayArrayInTable(Fertiliser_SourceData.Fertiliser_Products_Data3(), FertiliserProducts[[#Headers],[Company]],61)</f>
        <v/>
      </c>
      <c r="R170" s="170" t="str" cm="1">
        <f t="array" ref="R170">Common_InputFunctions.Utility_DisplayArrayInTable(Fertiliser_SourceData.Fertiliser_Products_Data3(), FertiliserProducts[[#Headers],[Company]],61)</f>
        <v/>
      </c>
      <c r="S170" s="170" t="str" cm="1">
        <f t="array" ref="S170">Common_InputFunctions.Utility_DisplayArrayInTable(Fertiliser_SourceData.Fertiliser_Products_Data3(), FertiliserProducts[[#Headers],[Company]],61)</f>
        <v/>
      </c>
      <c r="T170" s="170" t="str" cm="1">
        <f t="array" ref="T170">Common_InputFunctions.Utility_DisplayArrayInTable(Fertiliser_SourceData.Fertiliser_Products_Data3(), FertiliserProducts[[#Headers],[Company]],61)</f>
        <v/>
      </c>
      <c r="U170" s="170" t="str" cm="1">
        <f t="array" ref="U170">Common_InputFunctions.Utility_DisplayArrayInTable(Fertiliser_SourceData.Fertiliser_Products_Data3(), FertiliserProducts[[#Headers],[Company]],61)</f>
        <v/>
      </c>
      <c r="V170" s="170" t="str" cm="1">
        <f t="array" ref="V170">Common_InputFunctions.Utility_DisplayArrayInTable(Fertiliser_SourceData.Fertiliser_Products_Data3(), FertiliserProducts[[#Headers],[Company]],61)</f>
        <v/>
      </c>
      <c r="W170" s="170" t="str" cm="1">
        <f t="array" ref="W170">Common_InputFunctions.Utility_DisplayArrayInTable(Fertiliser_SourceData.Fertiliser_Products_Data3(), FertiliserProducts[[#Headers],[Company]],61)</f>
        <v/>
      </c>
      <c r="X170" s="170" t="str" cm="1">
        <f t="array" ref="X170">Common_InputFunctions.Utility_DisplayArrayInTable(Fertiliser_SourceData.Fertiliser_Products_Data3(), FertiliserProducts[[#Headers],[Company]],61)</f>
        <v/>
      </c>
      <c r="Y170" s="170" t="str" cm="1">
        <f t="array" ref="Y170">Common_InputFunctions.Utility_DisplayArrayInTable(Fertiliser_SourceData.Fertiliser_Products_Data3(), FertiliserProducts[[#Headers],[Company]],61)</f>
        <v/>
      </c>
      <c r="Z170" s="170" t="str" cm="1">
        <f t="array" ref="Z170">Common_InputFunctions.Utility_DisplayArrayInTable(Fertiliser_SourceData.Fertiliser_Products_Data3(), FertiliserProducts[[#Headers],[Company]],61)</f>
        <v/>
      </c>
      <c r="AA170" s="170" t="str" cm="1">
        <f t="array" ref="AA170">Common_InputFunctions.Utility_DisplayArrayInTable(Fertiliser_SourceData.Fertiliser_Products_Data3(), FertiliserProducts[[#Headers],[Company]],61)</f>
        <v/>
      </c>
      <c r="AB170" s="170" t="str" cm="1">
        <f t="array" ref="AB170">Common_InputFunctions.Utility_DisplayArrayInTable(Fertiliser_SourceData.Fertiliser_Products_Data3(), FertiliserProducts[[#Headers],[Company]],61)</f>
        <v/>
      </c>
      <c r="AC170" s="170" t="str" cm="1">
        <f t="array" ref="AC170">Common_InputFunctions.Utility_DisplayArrayInTable(Fertiliser_SourceData.Fertiliser_Products_Data3(), FertiliserProducts[[#Headers],[Company]],61)</f>
        <v/>
      </c>
      <c r="AD170" s="170" t="str" cm="1">
        <f t="array" ref="AD170">Common_InputFunctions.Utility_DisplayArrayInTable(Fertiliser_SourceData.Fertiliser_Products_Data3(), FertiliserProducts[[#Headers],[Company]],61)</f>
        <v/>
      </c>
      <c r="AE170" s="170" t="str" cm="1">
        <f t="array" ref="AE170">Common_InputFunctions.Utility_DisplayArrayInTable(Fertiliser_SourceData.Fertiliser_Products_Data3(), FertiliserProducts[[#Headers],[Company]],61)</f>
        <v/>
      </c>
      <c r="AF170" s="170" t="str" cm="1">
        <f t="array" ref="AF170">Common_InputFunctions.Utility_DisplayArrayInTable(Fertiliser_SourceData.Fertiliser_Products_Data3(), FertiliserProducts[[#Headers],[Company]],61)</f>
        <v/>
      </c>
      <c r="AG170" s="170" t="str" cm="1">
        <f t="array" ref="AG170">Common_InputFunctions.Utility_DisplayArrayInTable(Fertiliser_SourceData.Fertiliser_Products_Data3(), FertiliserProducts[[#Headers],[Company]],61)</f>
        <v/>
      </c>
      <c r="AH170" s="170" t="str" cm="1">
        <f t="array" ref="AH170">Common_InputFunctions.Utility_DisplayArrayInTable(Fertiliser_SourceData.Fertiliser_Products_Data3(), FertiliserProducts[[#Headers],[Company]],61)</f>
        <v/>
      </c>
      <c r="AK170" s="1"/>
    </row>
    <row r="171" spans="4:37" ht="20.100000000000001" customHeight="1" x14ac:dyDescent="0.2">
      <c r="D171" s="170" t="str" cm="1">
        <f t="array" ref="D171">Common_InputFunctions.Utility_DisplayArrayInTable(Fertiliser_SourceData.Fertiliser_Products_Data3(), FertiliserProducts[[#Headers],[Company]],61)</f>
        <v>Marnco [listed as SLTEC]</v>
      </c>
      <c r="E171" s="170" t="str" cm="1">
        <f t="array" ref="E171">Common_InputFunctions.Utility_DisplayArrayInTable(Fertiliser_SourceData.Fertiliser_Products_Data3(), FertiliserProducts[[#Headers],[Company]],61)</f>
        <v>Ammo 36N</v>
      </c>
      <c r="F171" s="170" t="str" cm="1">
        <f t="array" ref="F171">Common_InputFunctions.Utility_DisplayArrayInTable(Fertiliser_SourceData.Fertiliser_Products_Data3(), FertiliserProducts[[#Headers],[Company]],61)</f>
        <v>kg</v>
      </c>
      <c r="G171" s="170" cm="1">
        <f t="array" ref="G171">Common_InputFunctions.Utility_DisplayArrayInTable(Fertiliser_SourceData.Fertiliser_Products_Data3(), FertiliserProducts[[#Headers],[Company]],61)</f>
        <v>1</v>
      </c>
      <c r="H171" s="170" t="str" cm="1">
        <f t="array" ref="H171">Common_InputFunctions.Utility_DisplayArrayInTable(Fertiliser_SourceData.Fertiliser_Products_Data3(), FertiliserProducts[[#Headers],[Company]],61)</f>
        <v/>
      </c>
      <c r="I171" s="170" t="str" cm="1">
        <f t="array" ref="I171">Common_InputFunctions.Utility_DisplayArrayInTable(Fertiliser_SourceData.Fertiliser_Products_Data3(), FertiliserProducts[[#Headers],[Company]],61)</f>
        <v/>
      </c>
      <c r="J171" s="170" t="str" cm="1">
        <f t="array" ref="J171">Common_InputFunctions.Utility_DisplayArrayInTable(Fertiliser_SourceData.Fertiliser_Products_Data3(), FertiliserProducts[[#Headers],[Company]],61)</f>
        <v/>
      </c>
      <c r="K171" s="170" cm="1">
        <f t="array" ref="K171">Common_InputFunctions.Utility_DisplayArrayInTable(Fertiliser_SourceData.Fertiliser_Products_Data3(), FertiliserProducts[[#Headers],[Company]],61)</f>
        <v>36</v>
      </c>
      <c r="L171" s="170" t="str" cm="1">
        <f t="array" ref="L171">Common_InputFunctions.Utility_DisplayArrayInTable(Fertiliser_SourceData.Fertiliser_Products_Data3(), FertiliserProducts[[#Headers],[Company]],61)</f>
        <v/>
      </c>
      <c r="M171" s="170" t="str" cm="1">
        <f t="array" ref="M171">Common_InputFunctions.Utility_DisplayArrayInTable(Fertiliser_SourceData.Fertiliser_Products_Data3(), FertiliserProducts[[#Headers],[Company]],61)</f>
        <v/>
      </c>
      <c r="N171" s="170" cm="1">
        <f t="array" ref="N171">Common_InputFunctions.Utility_DisplayArrayInTable(Fertiliser_SourceData.Fertiliser_Products_Data3(), FertiliserProducts[[#Headers],[Company]],61)</f>
        <v>9.6</v>
      </c>
      <c r="O171" s="170" t="str" cm="1">
        <f t="array" ref="O171">Common_InputFunctions.Utility_DisplayArrayInTable(Fertiliser_SourceData.Fertiliser_Products_Data3(), FertiliserProducts[[#Headers],[Company]],61)</f>
        <v>Nitrogen - Generic</v>
      </c>
      <c r="P171" s="170" cm="1">
        <f t="array" ref="P171">Common_InputFunctions.Utility_DisplayArrayInTable(Fertiliser_SourceData.Fertiliser_Products_Data3(), FertiliserProducts[[#Headers],[Company]],61)</f>
        <v>0.36</v>
      </c>
      <c r="Q171" s="170" t="str" cm="1">
        <f t="array" ref="Q171">Common_InputFunctions.Utility_DisplayArrayInTable(Fertiliser_SourceData.Fertiliser_Products_Data3(), FertiliserProducts[[#Headers],[Company]],61)</f>
        <v>Sulfur - Generic</v>
      </c>
      <c r="R171" s="170" cm="1">
        <f t="array" ref="R171">Common_InputFunctions.Utility_DisplayArrayInTable(Fertiliser_SourceData.Fertiliser_Products_Data3(), FertiliserProducts[[#Headers],[Company]],61)</f>
        <v>9.6000000000000002E-2</v>
      </c>
      <c r="S171" s="170" t="str" cm="1">
        <f t="array" ref="S171">Common_InputFunctions.Utility_DisplayArrayInTable(Fertiliser_SourceData.Fertiliser_Products_Data3(), FertiliserProducts[[#Headers],[Company]],61)</f>
        <v/>
      </c>
      <c r="T171" s="170" t="str" cm="1">
        <f t="array" ref="T171">Common_InputFunctions.Utility_DisplayArrayInTable(Fertiliser_SourceData.Fertiliser_Products_Data3(), FertiliserProducts[[#Headers],[Company]],61)</f>
        <v/>
      </c>
      <c r="U171" s="170" t="str" cm="1">
        <f t="array" ref="U171">Common_InputFunctions.Utility_DisplayArrayInTable(Fertiliser_SourceData.Fertiliser_Products_Data3(), FertiliserProducts[[#Headers],[Company]],61)</f>
        <v/>
      </c>
      <c r="V171" s="170" t="str" cm="1">
        <f t="array" ref="V171">Common_InputFunctions.Utility_DisplayArrayInTable(Fertiliser_SourceData.Fertiliser_Products_Data3(), FertiliserProducts[[#Headers],[Company]],61)</f>
        <v/>
      </c>
      <c r="W171" s="170" t="str" cm="1">
        <f t="array" ref="W171">Common_InputFunctions.Utility_DisplayArrayInTable(Fertiliser_SourceData.Fertiliser_Products_Data3(), FertiliserProducts[[#Headers],[Company]],61)</f>
        <v/>
      </c>
      <c r="X171" s="170" t="str" cm="1">
        <f t="array" ref="X171">Common_InputFunctions.Utility_DisplayArrayInTable(Fertiliser_SourceData.Fertiliser_Products_Data3(), FertiliserProducts[[#Headers],[Company]],61)</f>
        <v/>
      </c>
      <c r="Y171" s="170" t="str" cm="1">
        <f t="array" ref="Y171">Common_InputFunctions.Utility_DisplayArrayInTable(Fertiliser_SourceData.Fertiliser_Products_Data3(), FertiliserProducts[[#Headers],[Company]],61)</f>
        <v/>
      </c>
      <c r="Z171" s="170" t="str" cm="1">
        <f t="array" ref="Z171">Common_InputFunctions.Utility_DisplayArrayInTable(Fertiliser_SourceData.Fertiliser_Products_Data3(), FertiliserProducts[[#Headers],[Company]],61)</f>
        <v/>
      </c>
      <c r="AA171" s="170" t="str" cm="1">
        <f t="array" ref="AA171">Common_InputFunctions.Utility_DisplayArrayInTable(Fertiliser_SourceData.Fertiliser_Products_Data3(), FertiliserProducts[[#Headers],[Company]],61)</f>
        <v/>
      </c>
      <c r="AB171" s="170" t="str" cm="1">
        <f t="array" ref="AB171">Common_InputFunctions.Utility_DisplayArrayInTable(Fertiliser_SourceData.Fertiliser_Products_Data3(), FertiliserProducts[[#Headers],[Company]],61)</f>
        <v/>
      </c>
      <c r="AC171" s="170" t="str" cm="1">
        <f t="array" ref="AC171">Common_InputFunctions.Utility_DisplayArrayInTable(Fertiliser_SourceData.Fertiliser_Products_Data3(), FertiliserProducts[[#Headers],[Company]],61)</f>
        <v/>
      </c>
      <c r="AD171" s="170" t="str" cm="1">
        <f t="array" ref="AD171">Common_InputFunctions.Utility_DisplayArrayInTable(Fertiliser_SourceData.Fertiliser_Products_Data3(), FertiliserProducts[[#Headers],[Company]],61)</f>
        <v/>
      </c>
      <c r="AE171" s="170" t="str" cm="1">
        <f t="array" ref="AE171">Common_InputFunctions.Utility_DisplayArrayInTable(Fertiliser_SourceData.Fertiliser_Products_Data3(), FertiliserProducts[[#Headers],[Company]],61)</f>
        <v/>
      </c>
      <c r="AF171" s="170" t="str" cm="1">
        <f t="array" ref="AF171">Common_InputFunctions.Utility_DisplayArrayInTable(Fertiliser_SourceData.Fertiliser_Products_Data3(), FertiliserProducts[[#Headers],[Company]],61)</f>
        <v/>
      </c>
      <c r="AG171" s="170" t="str" cm="1">
        <f t="array" ref="AG171">Common_InputFunctions.Utility_DisplayArrayInTable(Fertiliser_SourceData.Fertiliser_Products_Data3(), FertiliserProducts[[#Headers],[Company]],61)</f>
        <v/>
      </c>
      <c r="AH171" s="170" t="str" cm="1">
        <f t="array" ref="AH171">Common_InputFunctions.Utility_DisplayArrayInTable(Fertiliser_SourceData.Fertiliser_Products_Data3(), FertiliserProducts[[#Headers],[Company]],61)</f>
        <v/>
      </c>
      <c r="AK171" s="1"/>
    </row>
    <row r="172" spans="4:37" ht="20.100000000000001" customHeight="1" x14ac:dyDescent="0.2">
      <c r="D172" s="170" t="str" cm="1">
        <f t="array" ref="D172">Common_InputFunctions.Utility_DisplayArrayInTable(Fertiliser_SourceData.Fertiliser_Products_Data3(), FertiliserProducts[[#Headers],[Company]],61)</f>
        <v>Risso-Chemical</v>
      </c>
      <c r="E172" s="170" t="str" cm="1">
        <f t="array" ref="E172">Common_InputFunctions.Utility_DisplayArrayInTable(Fertiliser_SourceData.Fertiliser_Products_Data3(), FertiliserProducts[[#Headers],[Company]],61)</f>
        <v>Risso Liquid NPK (200-200-200)</v>
      </c>
      <c r="F172" s="170" t="str" cm="1">
        <f t="array" ref="F172">Common_InputFunctions.Utility_DisplayArrayInTable(Fertiliser_SourceData.Fertiliser_Products_Data3(), FertiliserProducts[[#Headers],[Company]],61)</f>
        <v>L</v>
      </c>
      <c r="G172" s="170" cm="1">
        <f t="array" ref="G172">Common_InputFunctions.Utility_DisplayArrayInTable(Fertiliser_SourceData.Fertiliser_Products_Data3(), FertiliserProducts[[#Headers],[Company]],61)</f>
        <v>1.3</v>
      </c>
      <c r="H172" s="170" t="str" cm="1">
        <f t="array" ref="H172">Common_InputFunctions.Utility_DisplayArrayInTable(Fertiliser_SourceData.Fertiliser_Products_Data3(), FertiliserProducts[[#Headers],[Company]],61)</f>
        <v/>
      </c>
      <c r="I172" s="170" t="str" cm="1">
        <f t="array" ref="I172">Common_InputFunctions.Utility_DisplayArrayInTable(Fertiliser_SourceData.Fertiliser_Products_Data3(), FertiliserProducts[[#Headers],[Company]],61)</f>
        <v/>
      </c>
      <c r="J172" s="170" t="str" cm="1">
        <f t="array" ref="J172">Common_InputFunctions.Utility_DisplayArrayInTable(Fertiliser_SourceData.Fertiliser_Products_Data3(), FertiliserProducts[[#Headers],[Company]],61)</f>
        <v/>
      </c>
      <c r="K172" s="170" cm="1">
        <f t="array" ref="K172">Common_InputFunctions.Utility_DisplayArrayInTable(Fertiliser_SourceData.Fertiliser_Products_Data3(), FertiliserProducts[[#Headers],[Company]],61)</f>
        <v>20</v>
      </c>
      <c r="L172" s="170" cm="1">
        <f t="array" ref="L172">Common_InputFunctions.Utility_DisplayArrayInTable(Fertiliser_SourceData.Fertiliser_Products_Data3(), FertiliserProducts[[#Headers],[Company]],61)</f>
        <v>8.73</v>
      </c>
      <c r="M172" s="170" cm="1">
        <f t="array" ref="M172">Common_InputFunctions.Utility_DisplayArrayInTable(Fertiliser_SourceData.Fertiliser_Products_Data3(), FertiliserProducts[[#Headers],[Company]],61)</f>
        <v>16.600000000000001</v>
      </c>
      <c r="N172" s="170" t="str" cm="1">
        <f t="array" ref="N172">Common_InputFunctions.Utility_DisplayArrayInTable(Fertiliser_SourceData.Fertiliser_Products_Data3(), FertiliserProducts[[#Headers],[Company]],61)</f>
        <v/>
      </c>
      <c r="O172" s="170" t="str" cm="1">
        <f t="array" ref="O172">Common_InputFunctions.Utility_DisplayArrayInTable(Fertiliser_SourceData.Fertiliser_Products_Data3(), FertiliserProducts[[#Headers],[Company]],61)</f>
        <v>Nitrogen - Generic</v>
      </c>
      <c r="P172" s="170" cm="1">
        <f t="array" ref="P172">Common_InputFunctions.Utility_DisplayArrayInTable(Fertiliser_SourceData.Fertiliser_Products_Data3(), FertiliserProducts[[#Headers],[Company]],61)</f>
        <v>0.2</v>
      </c>
      <c r="Q172" s="170" t="str" cm="1">
        <f t="array" ref="Q172">Common_InputFunctions.Utility_DisplayArrayInTable(Fertiliser_SourceData.Fertiliser_Products_Data3(), FertiliserProducts[[#Headers],[Company]],61)</f>
        <v>Phosphorus - Generic</v>
      </c>
      <c r="R172" s="170" cm="1">
        <f t="array" ref="R172">Common_InputFunctions.Utility_DisplayArrayInTable(Fertiliser_SourceData.Fertiliser_Products_Data3(), FertiliserProducts[[#Headers],[Company]],61)</f>
        <v>8.7279999999999996E-2</v>
      </c>
      <c r="S172" s="170" t="str" cm="1">
        <f t="array" ref="S172">Common_InputFunctions.Utility_DisplayArrayInTable(Fertiliser_SourceData.Fertiliser_Products_Data3(), FertiliserProducts[[#Headers],[Company]],61)</f>
        <v>Potassium - Generic</v>
      </c>
      <c r="T172" s="170" cm="1">
        <f t="array" ref="T172">Common_InputFunctions.Utility_DisplayArrayInTable(Fertiliser_SourceData.Fertiliser_Products_Data3(), FertiliserProducts[[#Headers],[Company]],61)</f>
        <v>0.16602</v>
      </c>
      <c r="U172" s="170" t="str" cm="1">
        <f t="array" ref="U172">Common_InputFunctions.Utility_DisplayArrayInTable(Fertiliser_SourceData.Fertiliser_Products_Data3(), FertiliserProducts[[#Headers],[Company]],61)</f>
        <v/>
      </c>
      <c r="V172" s="170" t="str" cm="1">
        <f t="array" ref="V172">Common_InputFunctions.Utility_DisplayArrayInTable(Fertiliser_SourceData.Fertiliser_Products_Data3(), FertiliserProducts[[#Headers],[Company]],61)</f>
        <v/>
      </c>
      <c r="W172" s="170" t="str" cm="1">
        <f t="array" ref="W172">Common_InputFunctions.Utility_DisplayArrayInTable(Fertiliser_SourceData.Fertiliser_Products_Data3(), FertiliserProducts[[#Headers],[Company]],61)</f>
        <v/>
      </c>
      <c r="X172" s="170" t="str" cm="1">
        <f t="array" ref="X172">Common_InputFunctions.Utility_DisplayArrayInTable(Fertiliser_SourceData.Fertiliser_Products_Data3(), FertiliserProducts[[#Headers],[Company]],61)</f>
        <v/>
      </c>
      <c r="Y172" s="170" t="str" cm="1">
        <f t="array" ref="Y172">Common_InputFunctions.Utility_DisplayArrayInTable(Fertiliser_SourceData.Fertiliser_Products_Data3(), FertiliserProducts[[#Headers],[Company]],61)</f>
        <v/>
      </c>
      <c r="Z172" s="170" t="str" cm="1">
        <f t="array" ref="Z172">Common_InputFunctions.Utility_DisplayArrayInTable(Fertiliser_SourceData.Fertiliser_Products_Data3(), FertiliserProducts[[#Headers],[Company]],61)</f>
        <v/>
      </c>
      <c r="AA172" s="170" t="str" cm="1">
        <f t="array" ref="AA172">Common_InputFunctions.Utility_DisplayArrayInTable(Fertiliser_SourceData.Fertiliser_Products_Data3(), FertiliserProducts[[#Headers],[Company]],61)</f>
        <v/>
      </c>
      <c r="AB172" s="170" t="str" cm="1">
        <f t="array" ref="AB172">Common_InputFunctions.Utility_DisplayArrayInTable(Fertiliser_SourceData.Fertiliser_Products_Data3(), FertiliserProducts[[#Headers],[Company]],61)</f>
        <v/>
      </c>
      <c r="AC172" s="170" t="str" cm="1">
        <f t="array" ref="AC172">Common_InputFunctions.Utility_DisplayArrayInTable(Fertiliser_SourceData.Fertiliser_Products_Data3(), FertiliserProducts[[#Headers],[Company]],61)</f>
        <v/>
      </c>
      <c r="AD172" s="170" t="str" cm="1">
        <f t="array" ref="AD172">Common_InputFunctions.Utility_DisplayArrayInTable(Fertiliser_SourceData.Fertiliser_Products_Data3(), FertiliserProducts[[#Headers],[Company]],61)</f>
        <v/>
      </c>
      <c r="AE172" s="170" t="str" cm="1">
        <f t="array" ref="AE172">Common_InputFunctions.Utility_DisplayArrayInTable(Fertiliser_SourceData.Fertiliser_Products_Data3(), FertiliserProducts[[#Headers],[Company]],61)</f>
        <v/>
      </c>
      <c r="AF172" s="170" t="str" cm="1">
        <f t="array" ref="AF172">Common_InputFunctions.Utility_DisplayArrayInTable(Fertiliser_SourceData.Fertiliser_Products_Data3(), FertiliserProducts[[#Headers],[Company]],61)</f>
        <v/>
      </c>
      <c r="AG172" s="170" t="str" cm="1">
        <f t="array" ref="AG172">Common_InputFunctions.Utility_DisplayArrayInTable(Fertiliser_SourceData.Fertiliser_Products_Data3(), FertiliserProducts[[#Headers],[Company]],61)</f>
        <v/>
      </c>
      <c r="AH172" s="170" t="str" cm="1">
        <f t="array" ref="AH172">Common_InputFunctions.Utility_DisplayArrayInTable(Fertiliser_SourceData.Fertiliser_Products_Data3(), FertiliserProducts[[#Headers],[Company]],61)</f>
        <v/>
      </c>
      <c r="AK172" s="1"/>
    </row>
    <row r="173" spans="4:37" ht="20.100000000000001" customHeight="1" x14ac:dyDescent="0.2">
      <c r="D173" s="170" t="str" cm="1">
        <f t="array" ref="D173">Common_InputFunctions.Utility_DisplayArrayInTable(Fertiliser_SourceData.Fertiliser_Products_Data3(), FertiliserProducts[[#Headers],[Company]],61)</f>
        <v>Turf Group Australia (Simplot)</v>
      </c>
      <c r="E173" s="170" t="str" cm="1">
        <f t="array" ref="E173">Common_InputFunctions.Utility_DisplayArrayInTable(Fertiliser_SourceData.Fertiliser_Products_Data3(), FertiliserProducts[[#Headers],[Company]],61)</f>
        <v>Super Cal 15-0-12</v>
      </c>
      <c r="F173" s="170" t="str" cm="1">
        <f t="array" ref="F173">Common_InputFunctions.Utility_DisplayArrayInTable(Fertiliser_SourceData.Fertiliser_Products_Data3(), FertiliserProducts[[#Headers],[Company]],61)</f>
        <v>kg</v>
      </c>
      <c r="G173" s="170" cm="1">
        <f t="array" ref="G173">Common_InputFunctions.Utility_DisplayArrayInTable(Fertiliser_SourceData.Fertiliser_Products_Data3(), FertiliserProducts[[#Headers],[Company]],61)</f>
        <v>1</v>
      </c>
      <c r="H173" s="170" t="str" cm="1">
        <f t="array" ref="H173">Common_InputFunctions.Utility_DisplayArrayInTable(Fertiliser_SourceData.Fertiliser_Products_Data3(), FertiliserProducts[[#Headers],[Company]],61)</f>
        <v/>
      </c>
      <c r="I173" s="170" t="str" cm="1">
        <f t="array" ref="I173">Common_InputFunctions.Utility_DisplayArrayInTable(Fertiliser_SourceData.Fertiliser_Products_Data3(), FertiliserProducts[[#Headers],[Company]],61)</f>
        <v/>
      </c>
      <c r="J173" s="170" t="str" cm="1">
        <f t="array" ref="J173">Common_InputFunctions.Utility_DisplayArrayInTable(Fertiliser_SourceData.Fertiliser_Products_Data3(), FertiliserProducts[[#Headers],[Company]],61)</f>
        <v/>
      </c>
      <c r="K173" s="170" cm="1">
        <f t="array" ref="K173">Common_InputFunctions.Utility_DisplayArrayInTable(Fertiliser_SourceData.Fertiliser_Products_Data3(), FertiliserProducts[[#Headers],[Company]],61)</f>
        <v>15</v>
      </c>
      <c r="L173" s="170" t="str" cm="1">
        <f t="array" ref="L173">Common_InputFunctions.Utility_DisplayArrayInTable(Fertiliser_SourceData.Fertiliser_Products_Data3(), FertiliserProducts[[#Headers],[Company]],61)</f>
        <v/>
      </c>
      <c r="M173" s="170" cm="1">
        <f t="array" ref="M173">Common_InputFunctions.Utility_DisplayArrayInTable(Fertiliser_SourceData.Fertiliser_Products_Data3(), FertiliserProducts[[#Headers],[Company]],61)</f>
        <v>9.9600000000000009</v>
      </c>
      <c r="N173" s="170" t="str" cm="1">
        <f t="array" ref="N173">Common_InputFunctions.Utility_DisplayArrayInTable(Fertiliser_SourceData.Fertiliser_Products_Data3(), FertiliserProducts[[#Headers],[Company]],61)</f>
        <v/>
      </c>
      <c r="O173" s="170" t="str" cm="1">
        <f t="array" ref="O173">Common_InputFunctions.Utility_DisplayArrayInTable(Fertiliser_SourceData.Fertiliser_Products_Data3(), FertiliserProducts[[#Headers],[Company]],61)</f>
        <v>Nitrogen - Nitrate</v>
      </c>
      <c r="P173" s="170" cm="1">
        <f t="array" ref="P173">Common_InputFunctions.Utility_DisplayArrayInTable(Fertiliser_SourceData.Fertiliser_Products_Data3(), FertiliserProducts[[#Headers],[Company]],61)</f>
        <v>8.4737000000000007E-2</v>
      </c>
      <c r="Q173" s="170" t="str" cm="1">
        <f t="array" ref="Q173">Common_InputFunctions.Utility_DisplayArrayInTable(Fertiliser_SourceData.Fertiliser_Products_Data3(), FertiliserProducts[[#Headers],[Company]],61)</f>
        <v>Potassium - Generic</v>
      </c>
      <c r="R173" s="170" cm="1">
        <f t="array" ref="R173">Common_InputFunctions.Utility_DisplayArrayInTable(Fertiliser_SourceData.Fertiliser_Products_Data3(), FertiliserProducts[[#Headers],[Company]],61)</f>
        <v>9.9612000000000006E-2</v>
      </c>
      <c r="S173" s="170" t="str" cm="1">
        <f t="array" ref="S173">Common_InputFunctions.Utility_DisplayArrayInTable(Fertiliser_SourceData.Fertiliser_Products_Data3(), FertiliserProducts[[#Headers],[Company]],61)</f>
        <v>Calcium nitrate</v>
      </c>
      <c r="T173" s="170" cm="1">
        <f t="array" ref="T173">Common_InputFunctions.Utility_DisplayArrayInTable(Fertiliser_SourceData.Fertiliser_Products_Data3(), FertiliserProducts[[#Headers],[Company]],61)</f>
        <v>0.42105300000000001</v>
      </c>
      <c r="U173" s="170" t="str" cm="1">
        <f t="array" ref="U173">Common_InputFunctions.Utility_DisplayArrayInTable(Fertiliser_SourceData.Fertiliser_Products_Data3(), FertiliserProducts[[#Headers],[Company]],61)</f>
        <v>Magnesium</v>
      </c>
      <c r="V173" s="170" cm="1">
        <f t="array" ref="V173">Common_InputFunctions.Utility_DisplayArrayInTable(Fertiliser_SourceData.Fertiliser_Products_Data3(), FertiliserProducts[[#Headers],[Company]],61)</f>
        <v>5.0000000000000001E-3</v>
      </c>
      <c r="W173" s="170" t="str" cm="1">
        <f t="array" ref="W173">Common_InputFunctions.Utility_DisplayArrayInTable(Fertiliser_SourceData.Fertiliser_Products_Data3(), FertiliserProducts[[#Headers],[Company]],61)</f>
        <v>Boron</v>
      </c>
      <c r="X173" s="170" cm="1">
        <f t="array" ref="X173">Common_InputFunctions.Utility_DisplayArrayInTable(Fertiliser_SourceData.Fertiliser_Products_Data3(), FertiliserProducts[[#Headers],[Company]],61)</f>
        <v>2.0000000000000001E-4</v>
      </c>
      <c r="Y173" s="170" t="str" cm="1">
        <f t="array" ref="Y173">Common_InputFunctions.Utility_DisplayArrayInTable(Fertiliser_SourceData.Fertiliser_Products_Data3(), FertiliserProducts[[#Headers],[Company]],61)</f>
        <v/>
      </c>
      <c r="Z173" s="170" t="str" cm="1">
        <f t="array" ref="Z173">Common_InputFunctions.Utility_DisplayArrayInTable(Fertiliser_SourceData.Fertiliser_Products_Data3(), FertiliserProducts[[#Headers],[Company]],61)</f>
        <v/>
      </c>
      <c r="AA173" s="170" t="str" cm="1">
        <f t="array" ref="AA173">Common_InputFunctions.Utility_DisplayArrayInTable(Fertiliser_SourceData.Fertiliser_Products_Data3(), FertiliserProducts[[#Headers],[Company]],61)</f>
        <v/>
      </c>
      <c r="AB173" s="170" t="str" cm="1">
        <f t="array" ref="AB173">Common_InputFunctions.Utility_DisplayArrayInTable(Fertiliser_SourceData.Fertiliser_Products_Data3(), FertiliserProducts[[#Headers],[Company]],61)</f>
        <v/>
      </c>
      <c r="AC173" s="170" t="str" cm="1">
        <f t="array" ref="AC173">Common_InputFunctions.Utility_DisplayArrayInTable(Fertiliser_SourceData.Fertiliser_Products_Data3(), FertiliserProducts[[#Headers],[Company]],61)</f>
        <v/>
      </c>
      <c r="AD173" s="170" t="str" cm="1">
        <f t="array" ref="AD173">Common_InputFunctions.Utility_DisplayArrayInTable(Fertiliser_SourceData.Fertiliser_Products_Data3(), FertiliserProducts[[#Headers],[Company]],61)</f>
        <v/>
      </c>
      <c r="AE173" s="170" t="str" cm="1">
        <f t="array" ref="AE173">Common_InputFunctions.Utility_DisplayArrayInTable(Fertiliser_SourceData.Fertiliser_Products_Data3(), FertiliserProducts[[#Headers],[Company]],61)</f>
        <v/>
      </c>
      <c r="AF173" s="170" t="str" cm="1">
        <f t="array" ref="AF173">Common_InputFunctions.Utility_DisplayArrayInTable(Fertiliser_SourceData.Fertiliser_Products_Data3(), FertiliserProducts[[#Headers],[Company]],61)</f>
        <v/>
      </c>
      <c r="AG173" s="170" t="str" cm="1">
        <f t="array" ref="AG173">Common_InputFunctions.Utility_DisplayArrayInTable(Fertiliser_SourceData.Fertiliser_Products_Data3(), FertiliserProducts[[#Headers],[Company]],61)</f>
        <v/>
      </c>
      <c r="AH173" s="170" t="str" cm="1">
        <f t="array" ref="AH173">Common_InputFunctions.Utility_DisplayArrayInTable(Fertiliser_SourceData.Fertiliser_Products_Data3(), FertiliserProducts[[#Headers],[Company]],61)</f>
        <v/>
      </c>
      <c r="AK173" s="1"/>
    </row>
    <row r="174" spans="4:37" ht="20.100000000000001" customHeight="1" x14ac:dyDescent="0.2">
      <c r="D174" s="170" t="str" cm="1">
        <f t="array" ref="D174">Common_InputFunctions.Utility_DisplayArrayInTable(Fertiliser_SourceData.Fertiliser_Products_Data3(), FertiliserProducts[[#Headers],[Company]],61)</f>
        <v>Incitec Pivot Fertilisers</v>
      </c>
      <c r="E174" s="170" t="str" cm="1">
        <f t="array" ref="E174">Common_InputFunctions.Utility_DisplayArrayInTable(Fertiliser_SourceData.Fertiliser_Products_Data3(), FertiliserProducts[[#Headers],[Company]],61)</f>
        <v>CK 88</v>
      </c>
      <c r="F174" s="170" t="str" cm="1">
        <f t="array" ref="F174">Common_InputFunctions.Utility_DisplayArrayInTable(Fertiliser_SourceData.Fertiliser_Products_Data3(), FertiliserProducts[[#Headers],[Company]],61)</f>
        <v>kg</v>
      </c>
      <c r="G174" s="170" cm="1">
        <f t="array" ref="G174">Common_InputFunctions.Utility_DisplayArrayInTable(Fertiliser_SourceData.Fertiliser_Products_Data3(), FertiliserProducts[[#Headers],[Company]],61)</f>
        <v>1</v>
      </c>
      <c r="H174" s="170" t="str" cm="1">
        <f t="array" ref="H174">Common_InputFunctions.Utility_DisplayArrayInTable(Fertiliser_SourceData.Fertiliser_Products_Data3(), FertiliserProducts[[#Headers],[Company]],61)</f>
        <v/>
      </c>
      <c r="I174" s="170" t="str" cm="1">
        <f t="array" ref="I174">Common_InputFunctions.Utility_DisplayArrayInTable(Fertiliser_SourceData.Fertiliser_Products_Data3(), FertiliserProducts[[#Headers],[Company]],61)</f>
        <v/>
      </c>
      <c r="J174" s="170" t="str" cm="1">
        <f t="array" ref="J174">Common_InputFunctions.Utility_DisplayArrayInTable(Fertiliser_SourceData.Fertiliser_Products_Data3(), FertiliserProducts[[#Headers],[Company]],61)</f>
        <v/>
      </c>
      <c r="K174" s="170" cm="1">
        <f t="array" ref="K174">Common_InputFunctions.Utility_DisplayArrayInTable(Fertiliser_SourceData.Fertiliser_Products_Data3(), FertiliserProducts[[#Headers],[Company]],61)</f>
        <v>15.1</v>
      </c>
      <c r="L174" s="170" cm="1">
        <f t="array" ref="L174">Common_InputFunctions.Utility_DisplayArrayInTable(Fertiliser_SourceData.Fertiliser_Products_Data3(), FertiliserProducts[[#Headers],[Company]],61)</f>
        <v>4.4000000000000004</v>
      </c>
      <c r="M174" s="170" cm="1">
        <f t="array" ref="M174">Common_InputFunctions.Utility_DisplayArrayInTable(Fertiliser_SourceData.Fertiliser_Products_Data3(), FertiliserProducts[[#Headers],[Company]],61)</f>
        <v>11.5</v>
      </c>
      <c r="N174" s="170" cm="1">
        <f t="array" ref="N174">Common_InputFunctions.Utility_DisplayArrayInTable(Fertiliser_SourceData.Fertiliser_Products_Data3(), FertiliserProducts[[#Headers],[Company]],61)</f>
        <v>13.6</v>
      </c>
      <c r="O174" s="170" t="str" cm="1">
        <f t="array" ref="O174">Common_InputFunctions.Utility_DisplayArrayInTable(Fertiliser_SourceData.Fertiliser_Products_Data3(), FertiliserProducts[[#Headers],[Company]],61)</f>
        <v>Nitrogen - Generic</v>
      </c>
      <c r="P174" s="170" cm="1">
        <f t="array" ref="P174">Common_InputFunctions.Utility_DisplayArrayInTable(Fertiliser_SourceData.Fertiliser_Products_Data3(), FertiliserProducts[[#Headers],[Company]],61)</f>
        <v>0.151</v>
      </c>
      <c r="Q174" s="170" t="str" cm="1">
        <f t="array" ref="Q174">Common_InputFunctions.Utility_DisplayArrayInTable(Fertiliser_SourceData.Fertiliser_Products_Data3(), FertiliserProducts[[#Headers],[Company]],61)</f>
        <v>Phosphorus - Generic</v>
      </c>
      <c r="R174" s="170" cm="1">
        <f t="array" ref="R174">Common_InputFunctions.Utility_DisplayArrayInTable(Fertiliser_SourceData.Fertiliser_Products_Data3(), FertiliserProducts[[#Headers],[Company]],61)</f>
        <v>4.3999999999999997E-2</v>
      </c>
      <c r="S174" s="170" t="str" cm="1">
        <f t="array" ref="S174">Common_InputFunctions.Utility_DisplayArrayInTable(Fertiliser_SourceData.Fertiliser_Products_Data3(), FertiliserProducts[[#Headers],[Company]],61)</f>
        <v>Potassium - Generic</v>
      </c>
      <c r="T174" s="170" cm="1">
        <f t="array" ref="T174">Common_InputFunctions.Utility_DisplayArrayInTable(Fertiliser_SourceData.Fertiliser_Products_Data3(), FertiliserProducts[[#Headers],[Company]],61)</f>
        <v>0.115</v>
      </c>
      <c r="U174" s="170" t="str" cm="1">
        <f t="array" ref="U174">Common_InputFunctions.Utility_DisplayArrayInTable(Fertiliser_SourceData.Fertiliser_Products_Data3(), FertiliserProducts[[#Headers],[Company]],61)</f>
        <v>Sulfur - Generic</v>
      </c>
      <c r="V174" s="170" cm="1">
        <f t="array" ref="V174">Common_InputFunctions.Utility_DisplayArrayInTable(Fertiliser_SourceData.Fertiliser_Products_Data3(), FertiliserProducts[[#Headers],[Company]],61)</f>
        <v>0.13600000000000001</v>
      </c>
      <c r="W174" s="170" t="str" cm="1">
        <f t="array" ref="W174">Common_InputFunctions.Utility_DisplayArrayInTable(Fertiliser_SourceData.Fertiliser_Products_Data3(), FertiliserProducts[[#Headers],[Company]],61)</f>
        <v/>
      </c>
      <c r="X174" s="170" t="str" cm="1">
        <f t="array" ref="X174">Common_InputFunctions.Utility_DisplayArrayInTable(Fertiliser_SourceData.Fertiliser_Products_Data3(), FertiliserProducts[[#Headers],[Company]],61)</f>
        <v/>
      </c>
      <c r="Y174" s="170" t="str" cm="1">
        <f t="array" ref="Y174">Common_InputFunctions.Utility_DisplayArrayInTable(Fertiliser_SourceData.Fertiliser_Products_Data3(), FertiliserProducts[[#Headers],[Company]],61)</f>
        <v/>
      </c>
      <c r="Z174" s="170" t="str" cm="1">
        <f t="array" ref="Z174">Common_InputFunctions.Utility_DisplayArrayInTable(Fertiliser_SourceData.Fertiliser_Products_Data3(), FertiliserProducts[[#Headers],[Company]],61)</f>
        <v/>
      </c>
      <c r="AA174" s="170" t="str" cm="1">
        <f t="array" ref="AA174">Common_InputFunctions.Utility_DisplayArrayInTable(Fertiliser_SourceData.Fertiliser_Products_Data3(), FertiliserProducts[[#Headers],[Company]],61)</f>
        <v/>
      </c>
      <c r="AB174" s="170" t="str" cm="1">
        <f t="array" ref="AB174">Common_InputFunctions.Utility_DisplayArrayInTable(Fertiliser_SourceData.Fertiliser_Products_Data3(), FertiliserProducts[[#Headers],[Company]],61)</f>
        <v/>
      </c>
      <c r="AC174" s="170" t="str" cm="1">
        <f t="array" ref="AC174">Common_InputFunctions.Utility_DisplayArrayInTable(Fertiliser_SourceData.Fertiliser_Products_Data3(), FertiliserProducts[[#Headers],[Company]],61)</f>
        <v/>
      </c>
      <c r="AD174" s="170" t="str" cm="1">
        <f t="array" ref="AD174">Common_InputFunctions.Utility_DisplayArrayInTable(Fertiliser_SourceData.Fertiliser_Products_Data3(), FertiliserProducts[[#Headers],[Company]],61)</f>
        <v/>
      </c>
      <c r="AE174" s="170" t="str" cm="1">
        <f t="array" ref="AE174">Common_InputFunctions.Utility_DisplayArrayInTable(Fertiliser_SourceData.Fertiliser_Products_Data3(), FertiliserProducts[[#Headers],[Company]],61)</f>
        <v/>
      </c>
      <c r="AF174" s="170" t="str" cm="1">
        <f t="array" ref="AF174">Common_InputFunctions.Utility_DisplayArrayInTable(Fertiliser_SourceData.Fertiliser_Products_Data3(), FertiliserProducts[[#Headers],[Company]],61)</f>
        <v/>
      </c>
      <c r="AG174" s="170" t="str" cm="1">
        <f t="array" ref="AG174">Common_InputFunctions.Utility_DisplayArrayInTable(Fertiliser_SourceData.Fertiliser_Products_Data3(), FertiliserProducts[[#Headers],[Company]],61)</f>
        <v/>
      </c>
      <c r="AH174" s="170" t="str" cm="1">
        <f t="array" ref="AH174">Common_InputFunctions.Utility_DisplayArrayInTable(Fertiliser_SourceData.Fertiliser_Products_Data3(), FertiliserProducts[[#Headers],[Company]],61)</f>
        <v/>
      </c>
      <c r="AK174" s="1"/>
    </row>
    <row r="175" spans="4:37" ht="20.100000000000001" customHeight="1" x14ac:dyDescent="0.2">
      <c r="D175" s="170" t="str" cm="1">
        <f t="array" ref="D175">Common_InputFunctions.Utility_DisplayArrayInTable(Fertiliser_SourceData.Fertiliser_Products_Data3(), FertiliserProducts[[#Headers],[Company]],61)</f>
        <v>Incitec Pivot Fertilisers</v>
      </c>
      <c r="E175" s="170" t="str" cm="1">
        <f t="array" ref="E175">Common_InputFunctions.Utility_DisplayArrayInTable(Fertiliser_SourceData.Fertiliser_Products_Data3(), FertiliserProducts[[#Headers],[Company]],61)</f>
        <v>CropLift 15</v>
      </c>
      <c r="F175" s="170" t="str" cm="1">
        <f t="array" ref="F175">Common_InputFunctions.Utility_DisplayArrayInTable(Fertiliser_SourceData.Fertiliser_Products_Data3(), FertiliserProducts[[#Headers],[Company]],61)</f>
        <v>kg</v>
      </c>
      <c r="G175" s="170" cm="1">
        <f t="array" ref="G175">Common_InputFunctions.Utility_DisplayArrayInTable(Fertiliser_SourceData.Fertiliser_Products_Data3(), FertiliserProducts[[#Headers],[Company]],61)</f>
        <v>1</v>
      </c>
      <c r="H175" s="170" t="str" cm="1">
        <f t="array" ref="H175">Common_InputFunctions.Utility_DisplayArrayInTable(Fertiliser_SourceData.Fertiliser_Products_Data3(), FertiliserProducts[[#Headers],[Company]],61)</f>
        <v/>
      </c>
      <c r="I175" s="170" t="str" cm="1">
        <f t="array" ref="I175">Common_InputFunctions.Utility_DisplayArrayInTable(Fertiliser_SourceData.Fertiliser_Products_Data3(), FertiliserProducts[[#Headers],[Company]],61)</f>
        <v/>
      </c>
      <c r="J175" s="170" t="str" cm="1">
        <f t="array" ref="J175">Common_InputFunctions.Utility_DisplayArrayInTable(Fertiliser_SourceData.Fertiliser_Products_Data3(), FertiliserProducts[[#Headers],[Company]],61)</f>
        <v/>
      </c>
      <c r="K175" s="170" cm="1">
        <f t="array" ref="K175">Common_InputFunctions.Utility_DisplayArrayInTable(Fertiliser_SourceData.Fertiliser_Products_Data3(), FertiliserProducts[[#Headers],[Company]],61)</f>
        <v>14.6</v>
      </c>
      <c r="L175" s="170" cm="1">
        <f t="array" ref="L175">Common_InputFunctions.Utility_DisplayArrayInTable(Fertiliser_SourceData.Fertiliser_Products_Data3(), FertiliserProducts[[#Headers],[Company]],61)</f>
        <v>12.1</v>
      </c>
      <c r="M175" s="170" t="str" cm="1">
        <f t="array" ref="M175">Common_InputFunctions.Utility_DisplayArrayInTable(Fertiliser_SourceData.Fertiliser_Products_Data3(), FertiliserProducts[[#Headers],[Company]],61)</f>
        <v/>
      </c>
      <c r="N175" s="170" cm="1">
        <f t="array" ref="N175">Common_InputFunctions.Utility_DisplayArrayInTable(Fertiliser_SourceData.Fertiliser_Products_Data3(), FertiliserProducts[[#Headers],[Company]],61)</f>
        <v>11.6</v>
      </c>
      <c r="O175" s="170" t="str" cm="1">
        <f t="array" ref="O175">Common_InputFunctions.Utility_DisplayArrayInTable(Fertiliser_SourceData.Fertiliser_Products_Data3(), FertiliserProducts[[#Headers],[Company]],61)</f>
        <v>Nitrogen - Generic</v>
      </c>
      <c r="P175" s="170" cm="1">
        <f t="array" ref="P175">Common_InputFunctions.Utility_DisplayArrayInTable(Fertiliser_SourceData.Fertiliser_Products_Data3(), FertiliserProducts[[#Headers],[Company]],61)</f>
        <v>0.14599999999999999</v>
      </c>
      <c r="Q175" s="170" t="str" cm="1">
        <f t="array" ref="Q175">Common_InputFunctions.Utility_DisplayArrayInTable(Fertiliser_SourceData.Fertiliser_Products_Data3(), FertiliserProducts[[#Headers],[Company]],61)</f>
        <v>Phosphorus - Generic</v>
      </c>
      <c r="R175" s="170" cm="1">
        <f t="array" ref="R175">Common_InputFunctions.Utility_DisplayArrayInTable(Fertiliser_SourceData.Fertiliser_Products_Data3(), FertiliserProducts[[#Headers],[Company]],61)</f>
        <v>0.121</v>
      </c>
      <c r="S175" s="170" t="str" cm="1">
        <f t="array" ref="S175">Common_InputFunctions.Utility_DisplayArrayInTable(Fertiliser_SourceData.Fertiliser_Products_Data3(), FertiliserProducts[[#Headers],[Company]],61)</f>
        <v>Sulfur - Generic</v>
      </c>
      <c r="T175" s="170" cm="1">
        <f t="array" ref="T175">Common_InputFunctions.Utility_DisplayArrayInTable(Fertiliser_SourceData.Fertiliser_Products_Data3(), FertiliserProducts[[#Headers],[Company]],61)</f>
        <v>0.11600000000000001</v>
      </c>
      <c r="U175" s="170" t="str" cm="1">
        <f t="array" ref="U175">Common_InputFunctions.Utility_DisplayArrayInTable(Fertiliser_SourceData.Fertiliser_Products_Data3(), FertiliserProducts[[#Headers],[Company]],61)</f>
        <v/>
      </c>
      <c r="V175" s="170" t="str" cm="1">
        <f t="array" ref="V175">Common_InputFunctions.Utility_DisplayArrayInTable(Fertiliser_SourceData.Fertiliser_Products_Data3(), FertiliserProducts[[#Headers],[Company]],61)</f>
        <v/>
      </c>
      <c r="W175" s="170" t="str" cm="1">
        <f t="array" ref="W175">Common_InputFunctions.Utility_DisplayArrayInTable(Fertiliser_SourceData.Fertiliser_Products_Data3(), FertiliserProducts[[#Headers],[Company]],61)</f>
        <v/>
      </c>
      <c r="X175" s="170" t="str" cm="1">
        <f t="array" ref="X175">Common_InputFunctions.Utility_DisplayArrayInTable(Fertiliser_SourceData.Fertiliser_Products_Data3(), FertiliserProducts[[#Headers],[Company]],61)</f>
        <v/>
      </c>
      <c r="Y175" s="170" t="str" cm="1">
        <f t="array" ref="Y175">Common_InputFunctions.Utility_DisplayArrayInTable(Fertiliser_SourceData.Fertiliser_Products_Data3(), FertiliserProducts[[#Headers],[Company]],61)</f>
        <v/>
      </c>
      <c r="Z175" s="170" t="str" cm="1">
        <f t="array" ref="Z175">Common_InputFunctions.Utility_DisplayArrayInTable(Fertiliser_SourceData.Fertiliser_Products_Data3(), FertiliserProducts[[#Headers],[Company]],61)</f>
        <v/>
      </c>
      <c r="AA175" s="170" t="str" cm="1">
        <f t="array" ref="AA175">Common_InputFunctions.Utility_DisplayArrayInTable(Fertiliser_SourceData.Fertiliser_Products_Data3(), FertiliserProducts[[#Headers],[Company]],61)</f>
        <v/>
      </c>
      <c r="AB175" s="170" t="str" cm="1">
        <f t="array" ref="AB175">Common_InputFunctions.Utility_DisplayArrayInTable(Fertiliser_SourceData.Fertiliser_Products_Data3(), FertiliserProducts[[#Headers],[Company]],61)</f>
        <v/>
      </c>
      <c r="AC175" s="170" t="str" cm="1">
        <f t="array" ref="AC175">Common_InputFunctions.Utility_DisplayArrayInTable(Fertiliser_SourceData.Fertiliser_Products_Data3(), FertiliserProducts[[#Headers],[Company]],61)</f>
        <v/>
      </c>
      <c r="AD175" s="170" t="str" cm="1">
        <f t="array" ref="AD175">Common_InputFunctions.Utility_DisplayArrayInTable(Fertiliser_SourceData.Fertiliser_Products_Data3(), FertiliserProducts[[#Headers],[Company]],61)</f>
        <v/>
      </c>
      <c r="AE175" s="170" t="str" cm="1">
        <f t="array" ref="AE175">Common_InputFunctions.Utility_DisplayArrayInTable(Fertiliser_SourceData.Fertiliser_Products_Data3(), FertiliserProducts[[#Headers],[Company]],61)</f>
        <v/>
      </c>
      <c r="AF175" s="170" t="str" cm="1">
        <f t="array" ref="AF175">Common_InputFunctions.Utility_DisplayArrayInTable(Fertiliser_SourceData.Fertiliser_Products_Data3(), FertiliserProducts[[#Headers],[Company]],61)</f>
        <v/>
      </c>
      <c r="AG175" s="170" t="str" cm="1">
        <f t="array" ref="AG175">Common_InputFunctions.Utility_DisplayArrayInTable(Fertiliser_SourceData.Fertiliser_Products_Data3(), FertiliserProducts[[#Headers],[Company]],61)</f>
        <v/>
      </c>
      <c r="AH175" s="170" t="str" cm="1">
        <f t="array" ref="AH175">Common_InputFunctions.Utility_DisplayArrayInTable(Fertiliser_SourceData.Fertiliser_Products_Data3(), FertiliserProducts[[#Headers],[Company]],61)</f>
        <v/>
      </c>
      <c r="AK175" s="1"/>
    </row>
    <row r="176" spans="4:37" ht="20.100000000000001" customHeight="1" x14ac:dyDescent="0.2">
      <c r="D176" s="170" t="str" cm="1">
        <f t="array" ref="D176">Common_InputFunctions.Utility_DisplayArrayInTable(Fertiliser_SourceData.Fertiliser_Products_Data3(), FertiliserProducts[[#Headers],[Company]],61)</f>
        <v>Incitec Pivot Fertilisers</v>
      </c>
      <c r="E176" s="170" t="str" cm="1">
        <f t="array" ref="E176">Common_InputFunctions.Utility_DisplayArrayInTable(Fertiliser_SourceData.Fertiliser_Products_Data3(), FertiliserProducts[[#Headers],[Company]],61)</f>
        <v>NPKS 19-13-0-9</v>
      </c>
      <c r="F176" s="170" t="str" cm="1">
        <f t="array" ref="F176">Common_InputFunctions.Utility_DisplayArrayInTable(Fertiliser_SourceData.Fertiliser_Products_Data3(), FertiliserProducts[[#Headers],[Company]],61)</f>
        <v>kg</v>
      </c>
      <c r="G176" s="170" cm="1">
        <f t="array" ref="G176">Common_InputFunctions.Utility_DisplayArrayInTable(Fertiliser_SourceData.Fertiliser_Products_Data3(), FertiliserProducts[[#Headers],[Company]],61)</f>
        <v>1</v>
      </c>
      <c r="H176" s="170" t="str" cm="1">
        <f t="array" ref="H176">Common_InputFunctions.Utility_DisplayArrayInTable(Fertiliser_SourceData.Fertiliser_Products_Data3(), FertiliserProducts[[#Headers],[Company]],61)</f>
        <v/>
      </c>
      <c r="I176" s="170" t="str" cm="1">
        <f t="array" ref="I176">Common_InputFunctions.Utility_DisplayArrayInTable(Fertiliser_SourceData.Fertiliser_Products_Data3(), FertiliserProducts[[#Headers],[Company]],61)</f>
        <v/>
      </c>
      <c r="J176" s="170" t="str" cm="1">
        <f t="array" ref="J176">Common_InputFunctions.Utility_DisplayArrayInTable(Fertiliser_SourceData.Fertiliser_Products_Data3(), FertiliserProducts[[#Headers],[Company]],61)</f>
        <v/>
      </c>
      <c r="K176" s="170" cm="1">
        <f t="array" ref="K176">Common_InputFunctions.Utility_DisplayArrayInTable(Fertiliser_SourceData.Fertiliser_Products_Data3(), FertiliserProducts[[#Headers],[Company]],61)</f>
        <v>19</v>
      </c>
      <c r="L176" s="170" cm="1">
        <f t="array" ref="L176">Common_InputFunctions.Utility_DisplayArrayInTable(Fertiliser_SourceData.Fertiliser_Products_Data3(), FertiliserProducts[[#Headers],[Company]],61)</f>
        <v>13</v>
      </c>
      <c r="M176" s="170" cm="1">
        <f t="array" ref="M176">Common_InputFunctions.Utility_DisplayArrayInTable(Fertiliser_SourceData.Fertiliser_Products_Data3(), FertiliserProducts[[#Headers],[Company]],61)</f>
        <v>0</v>
      </c>
      <c r="N176" s="170" cm="1">
        <f t="array" ref="N176">Common_InputFunctions.Utility_DisplayArrayInTable(Fertiliser_SourceData.Fertiliser_Products_Data3(), FertiliserProducts[[#Headers],[Company]],61)</f>
        <v>9</v>
      </c>
      <c r="O176" s="170" t="str" cm="1">
        <f t="array" ref="O176">Common_InputFunctions.Utility_DisplayArrayInTable(Fertiliser_SourceData.Fertiliser_Products_Data3(), FertiliserProducts[[#Headers],[Company]],61)</f>
        <v>Nitrogen - Generic</v>
      </c>
      <c r="P176" s="170" cm="1">
        <f t="array" ref="P176">Common_InputFunctions.Utility_DisplayArrayInTable(Fertiliser_SourceData.Fertiliser_Products_Data3(), FertiliserProducts[[#Headers],[Company]],61)</f>
        <v>0.19</v>
      </c>
      <c r="Q176" s="170" t="str" cm="1">
        <f t="array" ref="Q176">Common_InputFunctions.Utility_DisplayArrayInTable(Fertiliser_SourceData.Fertiliser_Products_Data3(), FertiliserProducts[[#Headers],[Company]],61)</f>
        <v>Phosphorus - Generic</v>
      </c>
      <c r="R176" s="170" cm="1">
        <f t="array" ref="R176">Common_InputFunctions.Utility_DisplayArrayInTable(Fertiliser_SourceData.Fertiliser_Products_Data3(), FertiliserProducts[[#Headers],[Company]],61)</f>
        <v>0.13</v>
      </c>
      <c r="S176" s="170" t="str" cm="1">
        <f t="array" ref="S176">Common_InputFunctions.Utility_DisplayArrayInTable(Fertiliser_SourceData.Fertiliser_Products_Data3(), FertiliserProducts[[#Headers],[Company]],61)</f>
        <v>Sulfur - Generic</v>
      </c>
      <c r="T176" s="170" cm="1">
        <f t="array" ref="T176">Common_InputFunctions.Utility_DisplayArrayInTable(Fertiliser_SourceData.Fertiliser_Products_Data3(), FertiliserProducts[[#Headers],[Company]],61)</f>
        <v>0.09</v>
      </c>
      <c r="U176" s="170" t="str" cm="1">
        <f t="array" ref="U176">Common_InputFunctions.Utility_DisplayArrayInTable(Fertiliser_SourceData.Fertiliser_Products_Data3(), FertiliserProducts[[#Headers],[Company]],61)</f>
        <v/>
      </c>
      <c r="V176" s="170" t="str" cm="1">
        <f t="array" ref="V176">Common_InputFunctions.Utility_DisplayArrayInTable(Fertiliser_SourceData.Fertiliser_Products_Data3(), FertiliserProducts[[#Headers],[Company]],61)</f>
        <v/>
      </c>
      <c r="W176" s="170" t="str" cm="1">
        <f t="array" ref="W176">Common_InputFunctions.Utility_DisplayArrayInTable(Fertiliser_SourceData.Fertiliser_Products_Data3(), FertiliserProducts[[#Headers],[Company]],61)</f>
        <v/>
      </c>
      <c r="X176" s="170" t="str" cm="1">
        <f t="array" ref="X176">Common_InputFunctions.Utility_DisplayArrayInTable(Fertiliser_SourceData.Fertiliser_Products_Data3(), FertiliserProducts[[#Headers],[Company]],61)</f>
        <v/>
      </c>
      <c r="Y176" s="170" t="str" cm="1">
        <f t="array" ref="Y176">Common_InputFunctions.Utility_DisplayArrayInTable(Fertiliser_SourceData.Fertiliser_Products_Data3(), FertiliserProducts[[#Headers],[Company]],61)</f>
        <v/>
      </c>
      <c r="Z176" s="170" t="str" cm="1">
        <f t="array" ref="Z176">Common_InputFunctions.Utility_DisplayArrayInTable(Fertiliser_SourceData.Fertiliser_Products_Data3(), FertiliserProducts[[#Headers],[Company]],61)</f>
        <v/>
      </c>
      <c r="AA176" s="170" t="str" cm="1">
        <f t="array" ref="AA176">Common_InputFunctions.Utility_DisplayArrayInTable(Fertiliser_SourceData.Fertiliser_Products_Data3(), FertiliserProducts[[#Headers],[Company]],61)</f>
        <v/>
      </c>
      <c r="AB176" s="170" t="str" cm="1">
        <f t="array" ref="AB176">Common_InputFunctions.Utility_DisplayArrayInTable(Fertiliser_SourceData.Fertiliser_Products_Data3(), FertiliserProducts[[#Headers],[Company]],61)</f>
        <v/>
      </c>
      <c r="AC176" s="170" t="str" cm="1">
        <f t="array" ref="AC176">Common_InputFunctions.Utility_DisplayArrayInTable(Fertiliser_SourceData.Fertiliser_Products_Data3(), FertiliserProducts[[#Headers],[Company]],61)</f>
        <v/>
      </c>
      <c r="AD176" s="170" t="str" cm="1">
        <f t="array" ref="AD176">Common_InputFunctions.Utility_DisplayArrayInTable(Fertiliser_SourceData.Fertiliser_Products_Data3(), FertiliserProducts[[#Headers],[Company]],61)</f>
        <v/>
      </c>
      <c r="AE176" s="170" t="str" cm="1">
        <f t="array" ref="AE176">Common_InputFunctions.Utility_DisplayArrayInTable(Fertiliser_SourceData.Fertiliser_Products_Data3(), FertiliserProducts[[#Headers],[Company]],61)</f>
        <v/>
      </c>
      <c r="AF176" s="170" t="str" cm="1">
        <f t="array" ref="AF176">Common_InputFunctions.Utility_DisplayArrayInTable(Fertiliser_SourceData.Fertiliser_Products_Data3(), FertiliserProducts[[#Headers],[Company]],61)</f>
        <v/>
      </c>
      <c r="AG176" s="170" t="str" cm="1">
        <f t="array" ref="AG176">Common_InputFunctions.Utility_DisplayArrayInTable(Fertiliser_SourceData.Fertiliser_Products_Data3(), FertiliserProducts[[#Headers],[Company]],61)</f>
        <v/>
      </c>
      <c r="AH176" s="170" t="str" cm="1">
        <f t="array" ref="AH176">Common_InputFunctions.Utility_DisplayArrayInTable(Fertiliser_SourceData.Fertiliser_Products_Data3(), FertiliserProducts[[#Headers],[Company]],61)</f>
        <v/>
      </c>
      <c r="AK176" s="1"/>
    </row>
    <row r="177" spans="1:37" ht="20.100000000000001" customHeight="1" x14ac:dyDescent="0.2">
      <c r="D177" s="170" t="str" cm="1">
        <f t="array" ref="D177">Common_InputFunctions.Utility_DisplayArrayInTable(Fertiliser_SourceData.Fertiliser_Products_Data3(), FertiliserProducts[[#Headers],[Company]],61)</f>
        <v>Incitec Pivot Fertilisers</v>
      </c>
      <c r="E177" s="170" t="str" cm="1">
        <f t="array" ref="E177">Common_InputFunctions.Utility_DisplayArrayInTable(Fertiliser_SourceData.Fertiliser_Products_Data3(), FertiliserProducts[[#Headers],[Company]],61)</f>
        <v>PastureBoosta</v>
      </c>
      <c r="F177" s="170" t="str" cm="1">
        <f t="array" ref="F177">Common_InputFunctions.Utility_DisplayArrayInTable(Fertiliser_SourceData.Fertiliser_Products_Data3(), FertiliserProducts[[#Headers],[Company]],61)</f>
        <v>kg</v>
      </c>
      <c r="G177" s="170" cm="1">
        <f t="array" ref="G177">Common_InputFunctions.Utility_DisplayArrayInTable(Fertiliser_SourceData.Fertiliser_Products_Data3(), FertiliserProducts[[#Headers],[Company]],61)</f>
        <v>1</v>
      </c>
      <c r="H177" s="170" t="str" cm="1">
        <f t="array" ref="H177">Common_InputFunctions.Utility_DisplayArrayInTable(Fertiliser_SourceData.Fertiliser_Products_Data3(), FertiliserProducts[[#Headers],[Company]],61)</f>
        <v/>
      </c>
      <c r="I177" s="170" t="str" cm="1">
        <f t="array" ref="I177">Common_InputFunctions.Utility_DisplayArrayInTable(Fertiliser_SourceData.Fertiliser_Products_Data3(), FertiliserProducts[[#Headers],[Company]],61)</f>
        <v/>
      </c>
      <c r="J177" s="170" t="str" cm="1">
        <f t="array" ref="J177">Common_InputFunctions.Utility_DisplayArrayInTable(Fertiliser_SourceData.Fertiliser_Products_Data3(), FertiliserProducts[[#Headers],[Company]],61)</f>
        <v/>
      </c>
      <c r="K177" s="170" cm="1">
        <f t="array" ref="K177">Common_InputFunctions.Utility_DisplayArrayInTable(Fertiliser_SourceData.Fertiliser_Products_Data3(), FertiliserProducts[[#Headers],[Company]],61)</f>
        <v>23.8</v>
      </c>
      <c r="L177" s="170" cm="1">
        <f t="array" ref="L177">Common_InputFunctions.Utility_DisplayArrayInTable(Fertiliser_SourceData.Fertiliser_Products_Data3(), FertiliserProducts[[#Headers],[Company]],61)</f>
        <v>3.7</v>
      </c>
      <c r="M177" s="170" cm="1">
        <f t="array" ref="M177">Common_InputFunctions.Utility_DisplayArrayInTable(Fertiliser_SourceData.Fertiliser_Products_Data3(), FertiliserProducts[[#Headers],[Company]],61)</f>
        <v>13</v>
      </c>
      <c r="N177" s="170" cm="1">
        <f t="array" ref="N177">Common_InputFunctions.Utility_DisplayArrayInTable(Fertiliser_SourceData.Fertiliser_Products_Data3(), FertiliserProducts[[#Headers],[Company]],61)</f>
        <v>4.0999999999999996</v>
      </c>
      <c r="O177" s="170" t="str" cm="1">
        <f t="array" ref="O177">Common_InputFunctions.Utility_DisplayArrayInTable(Fertiliser_SourceData.Fertiliser_Products_Data3(), FertiliserProducts[[#Headers],[Company]],61)</f>
        <v>Nitrogen - Generic</v>
      </c>
      <c r="P177" s="170" cm="1">
        <f t="array" ref="P177">Common_InputFunctions.Utility_DisplayArrayInTable(Fertiliser_SourceData.Fertiliser_Products_Data3(), FertiliserProducts[[#Headers],[Company]],61)</f>
        <v>0.23799999999999999</v>
      </c>
      <c r="Q177" s="170" t="str" cm="1">
        <f t="array" ref="Q177">Common_InputFunctions.Utility_DisplayArrayInTable(Fertiliser_SourceData.Fertiliser_Products_Data3(), FertiliserProducts[[#Headers],[Company]],61)</f>
        <v>Phosphorus - Generic</v>
      </c>
      <c r="R177" s="170" cm="1">
        <f t="array" ref="R177">Common_InputFunctions.Utility_DisplayArrayInTable(Fertiliser_SourceData.Fertiliser_Products_Data3(), FertiliserProducts[[#Headers],[Company]],61)</f>
        <v>3.6999999999999998E-2</v>
      </c>
      <c r="S177" s="170" t="str" cm="1">
        <f t="array" ref="S177">Common_InputFunctions.Utility_DisplayArrayInTable(Fertiliser_SourceData.Fertiliser_Products_Data3(), FertiliserProducts[[#Headers],[Company]],61)</f>
        <v>Potassium - Generic</v>
      </c>
      <c r="T177" s="170" cm="1">
        <f t="array" ref="T177">Common_InputFunctions.Utility_DisplayArrayInTable(Fertiliser_SourceData.Fertiliser_Products_Data3(), FertiliserProducts[[#Headers],[Company]],61)</f>
        <v>0.13</v>
      </c>
      <c r="U177" s="170" t="str" cm="1">
        <f t="array" ref="U177">Common_InputFunctions.Utility_DisplayArrayInTable(Fertiliser_SourceData.Fertiliser_Products_Data3(), FertiliserProducts[[#Headers],[Company]],61)</f>
        <v>Sulfur - Generic</v>
      </c>
      <c r="V177" s="170" cm="1">
        <f t="array" ref="V177">Common_InputFunctions.Utility_DisplayArrayInTable(Fertiliser_SourceData.Fertiliser_Products_Data3(), FertiliserProducts[[#Headers],[Company]],61)</f>
        <v>4.1000000000000002E-2</v>
      </c>
      <c r="W177" s="170" t="str" cm="1">
        <f t="array" ref="W177">Common_InputFunctions.Utility_DisplayArrayInTable(Fertiliser_SourceData.Fertiliser_Products_Data3(), FertiliserProducts[[#Headers],[Company]],61)</f>
        <v/>
      </c>
      <c r="X177" s="170" t="str" cm="1">
        <f t="array" ref="X177">Common_InputFunctions.Utility_DisplayArrayInTable(Fertiliser_SourceData.Fertiliser_Products_Data3(), FertiliserProducts[[#Headers],[Company]],61)</f>
        <v/>
      </c>
      <c r="Y177" s="170" t="str" cm="1">
        <f t="array" ref="Y177">Common_InputFunctions.Utility_DisplayArrayInTable(Fertiliser_SourceData.Fertiliser_Products_Data3(), FertiliserProducts[[#Headers],[Company]],61)</f>
        <v/>
      </c>
      <c r="Z177" s="170" t="str" cm="1">
        <f t="array" ref="Z177">Common_InputFunctions.Utility_DisplayArrayInTable(Fertiliser_SourceData.Fertiliser_Products_Data3(), FertiliserProducts[[#Headers],[Company]],61)</f>
        <v/>
      </c>
      <c r="AA177" s="170" t="str" cm="1">
        <f t="array" ref="AA177">Common_InputFunctions.Utility_DisplayArrayInTable(Fertiliser_SourceData.Fertiliser_Products_Data3(), FertiliserProducts[[#Headers],[Company]],61)</f>
        <v/>
      </c>
      <c r="AB177" s="170" t="str" cm="1">
        <f t="array" ref="AB177">Common_InputFunctions.Utility_DisplayArrayInTable(Fertiliser_SourceData.Fertiliser_Products_Data3(), FertiliserProducts[[#Headers],[Company]],61)</f>
        <v/>
      </c>
      <c r="AC177" s="170" t="str" cm="1">
        <f t="array" ref="AC177">Common_InputFunctions.Utility_DisplayArrayInTable(Fertiliser_SourceData.Fertiliser_Products_Data3(), FertiliserProducts[[#Headers],[Company]],61)</f>
        <v/>
      </c>
      <c r="AD177" s="170" t="str" cm="1">
        <f t="array" ref="AD177">Common_InputFunctions.Utility_DisplayArrayInTable(Fertiliser_SourceData.Fertiliser_Products_Data3(), FertiliserProducts[[#Headers],[Company]],61)</f>
        <v/>
      </c>
      <c r="AE177" s="170" t="str" cm="1">
        <f t="array" ref="AE177">Common_InputFunctions.Utility_DisplayArrayInTable(Fertiliser_SourceData.Fertiliser_Products_Data3(), FertiliserProducts[[#Headers],[Company]],61)</f>
        <v/>
      </c>
      <c r="AF177" s="170" t="str" cm="1">
        <f t="array" ref="AF177">Common_InputFunctions.Utility_DisplayArrayInTable(Fertiliser_SourceData.Fertiliser_Products_Data3(), FertiliserProducts[[#Headers],[Company]],61)</f>
        <v/>
      </c>
      <c r="AG177" s="170" t="str" cm="1">
        <f t="array" ref="AG177">Common_InputFunctions.Utility_DisplayArrayInTable(Fertiliser_SourceData.Fertiliser_Products_Data3(), FertiliserProducts[[#Headers],[Company]],61)</f>
        <v/>
      </c>
      <c r="AH177" s="170" t="str" cm="1">
        <f t="array" ref="AH177">Common_InputFunctions.Utility_DisplayArrayInTable(Fertiliser_SourceData.Fertiliser_Products_Data3(), FertiliserProducts[[#Headers],[Company]],61)</f>
        <v/>
      </c>
      <c r="AK177" s="1"/>
    </row>
    <row r="178" spans="1:37" ht="20.100000000000001" customHeight="1" x14ac:dyDescent="0.2">
      <c r="A178" s="81" t="str">
        <f>HYPERLINK("#A1", "▲ Back to top")</f>
        <v>▲ Back to top</v>
      </c>
      <c r="D178" s="170" t="str" cm="1">
        <f t="array" ref="D178">Common_InputFunctions.Utility_DisplayArrayInTable(Fertiliser_SourceData.Fertiliser_Products_Data3(), FertiliserProducts[[#Headers],[Company]],61)</f>
        <v>Incitec Pivot Fertilisers</v>
      </c>
      <c r="E178" s="170" t="str" cm="1">
        <f t="array" ref="E178">Common_InputFunctions.Utility_DisplayArrayInTable(Fertiliser_SourceData.Fertiliser_Products_Data3(), FertiliserProducts[[#Headers],[Company]],61)</f>
        <v>Greentop K</v>
      </c>
      <c r="F178" s="170" t="str" cm="1">
        <f t="array" ref="F178">Common_InputFunctions.Utility_DisplayArrayInTable(Fertiliser_SourceData.Fertiliser_Products_Data3(), FertiliserProducts[[#Headers],[Company]],61)</f>
        <v>kg</v>
      </c>
      <c r="G178" s="170" cm="1">
        <f t="array" ref="G178">Common_InputFunctions.Utility_DisplayArrayInTable(Fertiliser_SourceData.Fertiliser_Products_Data3(), FertiliserProducts[[#Headers],[Company]],61)</f>
        <v>1</v>
      </c>
      <c r="H178" s="170" t="str" cm="1">
        <f t="array" ref="H178">Common_InputFunctions.Utility_DisplayArrayInTable(Fertiliser_SourceData.Fertiliser_Products_Data3(), FertiliserProducts[[#Headers],[Company]],61)</f>
        <v/>
      </c>
      <c r="I178" s="170" t="str" cm="1">
        <f t="array" ref="I178">Common_InputFunctions.Utility_DisplayArrayInTable(Fertiliser_SourceData.Fertiliser_Products_Data3(), FertiliserProducts[[#Headers],[Company]],61)</f>
        <v/>
      </c>
      <c r="J178" s="170" t="str" cm="1">
        <f t="array" ref="J178">Common_InputFunctions.Utility_DisplayArrayInTable(Fertiliser_SourceData.Fertiliser_Products_Data3(), FertiliserProducts[[#Headers],[Company]],61)</f>
        <v/>
      </c>
      <c r="K178" s="170" cm="1">
        <f t="array" ref="K178">Common_InputFunctions.Utility_DisplayArrayInTable(Fertiliser_SourceData.Fertiliser_Products_Data3(), FertiliserProducts[[#Headers],[Company]],61)</f>
        <v>32.799999999999997</v>
      </c>
      <c r="L178" s="170" t="str" cm="1">
        <f t="array" ref="L178">Common_InputFunctions.Utility_DisplayArrayInTable(Fertiliser_SourceData.Fertiliser_Products_Data3(), FertiliserProducts[[#Headers],[Company]],61)</f>
        <v/>
      </c>
      <c r="M178" s="170" cm="1">
        <f t="array" ref="M178">Common_InputFunctions.Utility_DisplayArrayInTable(Fertiliser_SourceData.Fertiliser_Products_Data3(), FertiliserProducts[[#Headers],[Company]],61)</f>
        <v>11</v>
      </c>
      <c r="N178" s="170" cm="1">
        <f t="array" ref="N178">Common_InputFunctions.Utility_DisplayArrayInTable(Fertiliser_SourceData.Fertiliser_Products_Data3(), FertiliserProducts[[#Headers],[Company]],61)</f>
        <v>2.9</v>
      </c>
      <c r="O178" s="170" t="str" cm="1">
        <f t="array" ref="O178">Common_InputFunctions.Utility_DisplayArrayInTable(Fertiliser_SourceData.Fertiliser_Products_Data3(), FertiliserProducts[[#Headers],[Company]],61)</f>
        <v>Urea</v>
      </c>
      <c r="P178" s="170" cm="1">
        <f t="array" ref="P178">Common_InputFunctions.Utility_DisplayArrayInTable(Fertiliser_SourceData.Fertiliser_Products_Data3(), FertiliserProducts[[#Headers],[Company]],61)</f>
        <v>0.66086999999999996</v>
      </c>
      <c r="Q178" s="170" t="str" cm="1">
        <f t="array" ref="Q178">Common_InputFunctions.Utility_DisplayArrayInTable(Fertiliser_SourceData.Fertiliser_Products_Data3(), FertiliserProducts[[#Headers],[Company]],61)</f>
        <v>Nitrogen - Ammoniacal</v>
      </c>
      <c r="R178" s="170" cm="1">
        <f t="array" ref="R178">Common_InputFunctions.Utility_DisplayArrayInTable(Fertiliser_SourceData.Fertiliser_Products_Data3(), FertiliserProducts[[#Headers],[Company]],61)</f>
        <v>2.4E-2</v>
      </c>
      <c r="S178" s="170" t="str" cm="1">
        <f t="array" ref="S178">Common_InputFunctions.Utility_DisplayArrayInTable(Fertiliser_SourceData.Fertiliser_Products_Data3(), FertiliserProducts[[#Headers],[Company]],61)</f>
        <v>Potassium - Generic</v>
      </c>
      <c r="T178" s="170" cm="1">
        <f t="array" ref="T178">Common_InputFunctions.Utility_DisplayArrayInTable(Fertiliser_SourceData.Fertiliser_Products_Data3(), FertiliserProducts[[#Headers],[Company]],61)</f>
        <v>0.11</v>
      </c>
      <c r="U178" s="170" t="str" cm="1">
        <f t="array" ref="U178">Common_InputFunctions.Utility_DisplayArrayInTable(Fertiliser_SourceData.Fertiliser_Products_Data3(), FertiliserProducts[[#Headers],[Company]],61)</f>
        <v>Sulfur - Generic</v>
      </c>
      <c r="V178" s="170" cm="1">
        <f t="array" ref="V178">Common_InputFunctions.Utility_DisplayArrayInTable(Fertiliser_SourceData.Fertiliser_Products_Data3(), FertiliserProducts[[#Headers],[Company]],61)</f>
        <v>2.9000000000000001E-2</v>
      </c>
      <c r="W178" s="170" t="str" cm="1">
        <f t="array" ref="W178">Common_InputFunctions.Utility_DisplayArrayInTable(Fertiliser_SourceData.Fertiliser_Products_Data3(), FertiliserProducts[[#Headers],[Company]],61)</f>
        <v/>
      </c>
      <c r="X178" s="170" t="str" cm="1">
        <f t="array" ref="X178">Common_InputFunctions.Utility_DisplayArrayInTable(Fertiliser_SourceData.Fertiliser_Products_Data3(), FertiliserProducts[[#Headers],[Company]],61)</f>
        <v/>
      </c>
      <c r="Y178" s="170" t="str" cm="1">
        <f t="array" ref="Y178">Common_InputFunctions.Utility_DisplayArrayInTable(Fertiliser_SourceData.Fertiliser_Products_Data3(), FertiliserProducts[[#Headers],[Company]],61)</f>
        <v/>
      </c>
      <c r="Z178" s="170" t="str" cm="1">
        <f t="array" ref="Z178">Common_InputFunctions.Utility_DisplayArrayInTable(Fertiliser_SourceData.Fertiliser_Products_Data3(), FertiliserProducts[[#Headers],[Company]],61)</f>
        <v/>
      </c>
      <c r="AA178" s="170" t="str" cm="1">
        <f t="array" ref="AA178">Common_InputFunctions.Utility_DisplayArrayInTable(Fertiliser_SourceData.Fertiliser_Products_Data3(), FertiliserProducts[[#Headers],[Company]],61)</f>
        <v/>
      </c>
      <c r="AB178" s="170" t="str" cm="1">
        <f t="array" ref="AB178">Common_InputFunctions.Utility_DisplayArrayInTable(Fertiliser_SourceData.Fertiliser_Products_Data3(), FertiliserProducts[[#Headers],[Company]],61)</f>
        <v/>
      </c>
      <c r="AC178" s="170" t="str" cm="1">
        <f t="array" ref="AC178">Common_InputFunctions.Utility_DisplayArrayInTable(Fertiliser_SourceData.Fertiliser_Products_Data3(), FertiliserProducts[[#Headers],[Company]],61)</f>
        <v/>
      </c>
      <c r="AD178" s="170" t="str" cm="1">
        <f t="array" ref="AD178">Common_InputFunctions.Utility_DisplayArrayInTable(Fertiliser_SourceData.Fertiliser_Products_Data3(), FertiliserProducts[[#Headers],[Company]],61)</f>
        <v/>
      </c>
      <c r="AE178" s="170" t="str" cm="1">
        <f t="array" ref="AE178">Common_InputFunctions.Utility_DisplayArrayInTable(Fertiliser_SourceData.Fertiliser_Products_Data3(), FertiliserProducts[[#Headers],[Company]],61)</f>
        <v/>
      </c>
      <c r="AF178" s="170" t="str" cm="1">
        <f t="array" ref="AF178">Common_InputFunctions.Utility_DisplayArrayInTable(Fertiliser_SourceData.Fertiliser_Products_Data3(), FertiliserProducts[[#Headers],[Company]],61)</f>
        <v/>
      </c>
      <c r="AG178" s="170" t="str" cm="1">
        <f t="array" ref="AG178">Common_InputFunctions.Utility_DisplayArrayInTable(Fertiliser_SourceData.Fertiliser_Products_Data3(), FertiliserProducts[[#Headers],[Company]],61)</f>
        <v/>
      </c>
      <c r="AH178" s="170" t="str" cm="1">
        <f t="array" ref="AH178">Common_InputFunctions.Utility_DisplayArrayInTable(Fertiliser_SourceData.Fertiliser_Products_Data3(), FertiliserProducts[[#Headers],[Company]],61)</f>
        <v/>
      </c>
      <c r="AK178" s="1"/>
    </row>
    <row r="179" spans="1:37" ht="20.100000000000001" customHeight="1" x14ac:dyDescent="0.2">
      <c r="D179" s="170" t="str" cm="1">
        <f t="array" ref="D179">Common_InputFunctions.Utility_DisplayArrayInTable(Fertiliser_SourceData.Fertiliser_Products_Data3(), FertiliserProducts[[#Headers],[Company]],61)</f>
        <v>Incitec Pivot Fertilisers</v>
      </c>
      <c r="E179" s="170" t="str" cm="1">
        <f t="array" ref="E179">Common_InputFunctions.Utility_DisplayArrayInTable(Fertiliser_SourceData.Fertiliser_Products_Data3(), FertiliserProducts[[#Headers],[Company]],61)</f>
        <v>HayBoosta</v>
      </c>
      <c r="F179" s="170" t="str" cm="1">
        <f t="array" ref="F179">Common_InputFunctions.Utility_DisplayArrayInTable(Fertiliser_SourceData.Fertiliser_Products_Data3(), FertiliserProducts[[#Headers],[Company]],61)</f>
        <v>kg</v>
      </c>
      <c r="G179" s="170" cm="1">
        <f t="array" ref="G179">Common_InputFunctions.Utility_DisplayArrayInTable(Fertiliser_SourceData.Fertiliser_Products_Data3(), FertiliserProducts[[#Headers],[Company]],61)</f>
        <v>1</v>
      </c>
      <c r="H179" s="170" t="str" cm="1">
        <f t="array" ref="H179">Common_InputFunctions.Utility_DisplayArrayInTable(Fertiliser_SourceData.Fertiliser_Products_Data3(), FertiliserProducts[[#Headers],[Company]],61)</f>
        <v/>
      </c>
      <c r="I179" s="170" t="str" cm="1">
        <f t="array" ref="I179">Common_InputFunctions.Utility_DisplayArrayInTable(Fertiliser_SourceData.Fertiliser_Products_Data3(), FertiliserProducts[[#Headers],[Company]],61)</f>
        <v/>
      </c>
      <c r="J179" s="170" t="str" cm="1">
        <f t="array" ref="J179">Common_InputFunctions.Utility_DisplayArrayInTable(Fertiliser_SourceData.Fertiliser_Products_Data3(), FertiliserProducts[[#Headers],[Company]],61)</f>
        <v/>
      </c>
      <c r="K179" s="170" cm="1">
        <f t="array" ref="K179">Common_InputFunctions.Utility_DisplayArrayInTable(Fertiliser_SourceData.Fertiliser_Products_Data3(), FertiliserProducts[[#Headers],[Company]],61)</f>
        <v>11.7</v>
      </c>
      <c r="L179" s="170" cm="1">
        <f t="array" ref="L179">Common_InputFunctions.Utility_DisplayArrayInTable(Fertiliser_SourceData.Fertiliser_Products_Data3(), FertiliserProducts[[#Headers],[Company]],61)</f>
        <v>4.7</v>
      </c>
      <c r="M179" s="170" cm="1">
        <f t="array" ref="M179">Common_InputFunctions.Utility_DisplayArrayInTable(Fertiliser_SourceData.Fertiliser_Products_Data3(), FertiliserProducts[[#Headers],[Company]],61)</f>
        <v>23.9</v>
      </c>
      <c r="N179" s="170" cm="1">
        <f t="array" ref="N179">Common_InputFunctions.Utility_DisplayArrayInTable(Fertiliser_SourceData.Fertiliser_Products_Data3(), FertiliserProducts[[#Headers],[Company]],61)</f>
        <v>4.5999999999999996</v>
      </c>
      <c r="O179" s="170" t="str" cm="1">
        <f t="array" ref="O179">Common_InputFunctions.Utility_DisplayArrayInTable(Fertiliser_SourceData.Fertiliser_Products_Data3(), FertiliserProducts[[#Headers],[Company]],61)</f>
        <v>Nitrogen - Generic</v>
      </c>
      <c r="P179" s="170" cm="1">
        <f t="array" ref="P179">Common_InputFunctions.Utility_DisplayArrayInTable(Fertiliser_SourceData.Fertiliser_Products_Data3(), FertiliserProducts[[#Headers],[Company]],61)</f>
        <v>0.11700000000000001</v>
      </c>
      <c r="Q179" s="170" t="str" cm="1">
        <f t="array" ref="Q179">Common_InputFunctions.Utility_DisplayArrayInTable(Fertiliser_SourceData.Fertiliser_Products_Data3(), FertiliserProducts[[#Headers],[Company]],61)</f>
        <v>Phosphorus - Generic</v>
      </c>
      <c r="R179" s="170" cm="1">
        <f t="array" ref="R179">Common_InputFunctions.Utility_DisplayArrayInTable(Fertiliser_SourceData.Fertiliser_Products_Data3(), FertiliserProducts[[#Headers],[Company]],61)</f>
        <v>4.7E-2</v>
      </c>
      <c r="S179" s="170" t="str" cm="1">
        <f t="array" ref="S179">Common_InputFunctions.Utility_DisplayArrayInTable(Fertiliser_SourceData.Fertiliser_Products_Data3(), FertiliserProducts[[#Headers],[Company]],61)</f>
        <v>Potassium - Generic</v>
      </c>
      <c r="T179" s="170" cm="1">
        <f t="array" ref="T179">Common_InputFunctions.Utility_DisplayArrayInTable(Fertiliser_SourceData.Fertiliser_Products_Data3(), FertiliserProducts[[#Headers],[Company]],61)</f>
        <v>0.23899999999999999</v>
      </c>
      <c r="U179" s="170" t="str" cm="1">
        <f t="array" ref="U179">Common_InputFunctions.Utility_DisplayArrayInTable(Fertiliser_SourceData.Fertiliser_Products_Data3(), FertiliserProducts[[#Headers],[Company]],61)</f>
        <v>Sulfur - Generic</v>
      </c>
      <c r="V179" s="170" cm="1">
        <f t="array" ref="V179">Common_InputFunctions.Utility_DisplayArrayInTable(Fertiliser_SourceData.Fertiliser_Products_Data3(), FertiliserProducts[[#Headers],[Company]],61)</f>
        <v>4.5999999999999999E-2</v>
      </c>
      <c r="W179" s="170" t="str" cm="1">
        <f t="array" ref="W179">Common_InputFunctions.Utility_DisplayArrayInTable(Fertiliser_SourceData.Fertiliser_Products_Data3(), FertiliserProducts[[#Headers],[Company]],61)</f>
        <v/>
      </c>
      <c r="X179" s="170" t="str" cm="1">
        <f t="array" ref="X179">Common_InputFunctions.Utility_DisplayArrayInTable(Fertiliser_SourceData.Fertiliser_Products_Data3(), FertiliserProducts[[#Headers],[Company]],61)</f>
        <v/>
      </c>
      <c r="Y179" s="170" t="str" cm="1">
        <f t="array" ref="Y179">Common_InputFunctions.Utility_DisplayArrayInTable(Fertiliser_SourceData.Fertiliser_Products_Data3(), FertiliserProducts[[#Headers],[Company]],61)</f>
        <v/>
      </c>
      <c r="Z179" s="170" t="str" cm="1">
        <f t="array" ref="Z179">Common_InputFunctions.Utility_DisplayArrayInTable(Fertiliser_SourceData.Fertiliser_Products_Data3(), FertiliserProducts[[#Headers],[Company]],61)</f>
        <v/>
      </c>
      <c r="AA179" s="170" t="str" cm="1">
        <f t="array" ref="AA179">Common_InputFunctions.Utility_DisplayArrayInTable(Fertiliser_SourceData.Fertiliser_Products_Data3(), FertiliserProducts[[#Headers],[Company]],61)</f>
        <v/>
      </c>
      <c r="AB179" s="170" t="str" cm="1">
        <f t="array" ref="AB179">Common_InputFunctions.Utility_DisplayArrayInTable(Fertiliser_SourceData.Fertiliser_Products_Data3(), FertiliserProducts[[#Headers],[Company]],61)</f>
        <v/>
      </c>
      <c r="AC179" s="170" t="str" cm="1">
        <f t="array" ref="AC179">Common_InputFunctions.Utility_DisplayArrayInTable(Fertiliser_SourceData.Fertiliser_Products_Data3(), FertiliserProducts[[#Headers],[Company]],61)</f>
        <v/>
      </c>
      <c r="AD179" s="170" t="str" cm="1">
        <f t="array" ref="AD179">Common_InputFunctions.Utility_DisplayArrayInTable(Fertiliser_SourceData.Fertiliser_Products_Data3(), FertiliserProducts[[#Headers],[Company]],61)</f>
        <v/>
      </c>
      <c r="AE179" s="170" t="str" cm="1">
        <f t="array" ref="AE179">Common_InputFunctions.Utility_DisplayArrayInTable(Fertiliser_SourceData.Fertiliser_Products_Data3(), FertiliserProducts[[#Headers],[Company]],61)</f>
        <v/>
      </c>
      <c r="AF179" s="170" t="str" cm="1">
        <f t="array" ref="AF179">Common_InputFunctions.Utility_DisplayArrayInTable(Fertiliser_SourceData.Fertiliser_Products_Data3(), FertiliserProducts[[#Headers],[Company]],61)</f>
        <v/>
      </c>
      <c r="AG179" s="170" t="str" cm="1">
        <f t="array" ref="AG179">Common_InputFunctions.Utility_DisplayArrayInTable(Fertiliser_SourceData.Fertiliser_Products_Data3(), FertiliserProducts[[#Headers],[Company]],61)</f>
        <v/>
      </c>
      <c r="AH179" s="170" t="str" cm="1">
        <f t="array" ref="AH179">Common_InputFunctions.Utility_DisplayArrayInTable(Fertiliser_SourceData.Fertiliser_Products_Data3(), FertiliserProducts[[#Headers],[Company]],61)</f>
        <v/>
      </c>
      <c r="AK179" s="1"/>
    </row>
    <row r="180" spans="1:37" ht="20.100000000000001" customHeight="1" x14ac:dyDescent="0.2">
      <c r="D180" s="170" t="str" cm="1">
        <f t="array" ref="D180">Common_InputFunctions.Utility_DisplayArrayInTable(Fertiliser_SourceData.Fertiliser_Products_Data4(),FertiliserProducts[[#Headers],[Company]], 91)</f>
        <v>Impact Fertilisers</v>
      </c>
      <c r="E180" s="170" t="str" cm="1">
        <f t="array" ref="E180">Common_InputFunctions.Utility_DisplayArrayInTable(Fertiliser_SourceData.Fertiliser_Products_Data4(),FertiliserProducts[[#Headers],[Company]], 91)</f>
        <v>Impact Super Potash 1&amp;1</v>
      </c>
      <c r="F180" s="170" t="str" cm="1">
        <f t="array" ref="F180">Common_InputFunctions.Utility_DisplayArrayInTable(Fertiliser_SourceData.Fertiliser_Products_Data4(),FertiliserProducts[[#Headers],[Company]], 91)</f>
        <v>kg</v>
      </c>
      <c r="G180" s="170" cm="1">
        <f t="array" ref="G180">Common_InputFunctions.Utility_DisplayArrayInTable(Fertiliser_SourceData.Fertiliser_Products_Data4(),FertiliserProducts[[#Headers],[Company]], 91)</f>
        <v>1</v>
      </c>
      <c r="H180" s="170" t="str" cm="1">
        <f t="array" ref="H180">Common_InputFunctions.Utility_DisplayArrayInTable(Fertiliser_SourceData.Fertiliser_Products_Data4(),FertiliserProducts[[#Headers],[Company]], 91)</f>
        <v/>
      </c>
      <c r="I180" s="170" t="str" cm="1">
        <f t="array" ref="I180">Common_InputFunctions.Utility_DisplayArrayInTable(Fertiliser_SourceData.Fertiliser_Products_Data4(),FertiliserProducts[[#Headers],[Company]], 91)</f>
        <v/>
      </c>
      <c r="J180" s="170" t="str" cm="1">
        <f t="array" ref="J180">Common_InputFunctions.Utility_DisplayArrayInTable(Fertiliser_SourceData.Fertiliser_Products_Data4(),FertiliserProducts[[#Headers],[Company]], 91)</f>
        <v/>
      </c>
      <c r="K180" s="170" t="str" cm="1">
        <f t="array" ref="K180">Common_InputFunctions.Utility_DisplayArrayInTable(Fertiliser_SourceData.Fertiliser_Products_Data4(),FertiliserProducts[[#Headers],[Company]], 91)</f>
        <v/>
      </c>
      <c r="L180" s="170" cm="1">
        <f t="array" ref="L180">Common_InputFunctions.Utility_DisplayArrayInTable(Fertiliser_SourceData.Fertiliser_Products_Data4(),FertiliserProducts[[#Headers],[Company]], 91)</f>
        <v>4.4000000000000004</v>
      </c>
      <c r="M180" s="170" cm="1">
        <f t="array" ref="M180">Common_InputFunctions.Utility_DisplayArrayInTable(Fertiliser_SourceData.Fertiliser_Products_Data4(),FertiliserProducts[[#Headers],[Company]], 91)</f>
        <v>25</v>
      </c>
      <c r="N180" s="170" cm="1">
        <f t="array" ref="N180">Common_InputFunctions.Utility_DisplayArrayInTable(Fertiliser_SourceData.Fertiliser_Products_Data4(),FertiliserProducts[[#Headers],[Company]], 91)</f>
        <v>5.5</v>
      </c>
      <c r="O180" s="170" t="str" cm="1">
        <f t="array" ref="O180">Common_InputFunctions.Utility_DisplayArrayInTable(Fertiliser_SourceData.Fertiliser_Products_Data4(),FertiliserProducts[[#Headers],[Company]], 91)</f>
        <v>Single superphosphate (SSP)</v>
      </c>
      <c r="P180" s="170" cm="1">
        <f t="array" ref="P180">Common_InputFunctions.Utility_DisplayArrayInTable(Fertiliser_SourceData.Fertiliser_Products_Data4(),FertiliserProducts[[#Headers],[Company]], 91)</f>
        <v>0.5</v>
      </c>
      <c r="Q180" s="170" t="str" cm="1">
        <f t="array" ref="Q180">Common_InputFunctions.Utility_DisplayArrayInTable(Fertiliser_SourceData.Fertiliser_Products_Data4(),FertiliserProducts[[#Headers],[Company]], 91)</f>
        <v>Muriate of potash (MOP)</v>
      </c>
      <c r="R180" s="170" cm="1">
        <f t="array" ref="R180">Common_InputFunctions.Utility_DisplayArrayInTable(Fertiliser_SourceData.Fertiliser_Products_Data4(),FertiliserProducts[[#Headers],[Company]], 91)</f>
        <v>0.5</v>
      </c>
      <c r="S180" s="170" t="str" cm="1">
        <f t="array" ref="S180">Common_InputFunctions.Utility_DisplayArrayInTable(Fertiliser_SourceData.Fertiliser_Products_Data4(),FertiliserProducts[[#Headers],[Company]], 91)</f>
        <v/>
      </c>
      <c r="T180" s="170" t="str" cm="1">
        <f t="array" ref="T180">Common_InputFunctions.Utility_DisplayArrayInTable(Fertiliser_SourceData.Fertiliser_Products_Data4(),FertiliserProducts[[#Headers],[Company]], 91)</f>
        <v/>
      </c>
      <c r="U180" s="170" t="str" cm="1">
        <f t="array" ref="U180">Common_InputFunctions.Utility_DisplayArrayInTable(Fertiliser_SourceData.Fertiliser_Products_Data4(),FertiliserProducts[[#Headers],[Company]], 91)</f>
        <v/>
      </c>
      <c r="V180" s="170" t="str" cm="1">
        <f t="array" ref="V180">Common_InputFunctions.Utility_DisplayArrayInTable(Fertiliser_SourceData.Fertiliser_Products_Data4(),FertiliserProducts[[#Headers],[Company]], 91)</f>
        <v/>
      </c>
      <c r="W180" s="170" t="str" cm="1">
        <f t="array" ref="W180">Common_InputFunctions.Utility_DisplayArrayInTable(Fertiliser_SourceData.Fertiliser_Products_Data4(),FertiliserProducts[[#Headers],[Company]], 91)</f>
        <v/>
      </c>
      <c r="X180" s="170" t="str" cm="1">
        <f t="array" ref="X180">Common_InputFunctions.Utility_DisplayArrayInTable(Fertiliser_SourceData.Fertiliser_Products_Data4(),FertiliserProducts[[#Headers],[Company]], 91)</f>
        <v/>
      </c>
      <c r="Y180" s="170" t="str" cm="1">
        <f t="array" ref="Y180">Common_InputFunctions.Utility_DisplayArrayInTable(Fertiliser_SourceData.Fertiliser_Products_Data4(),FertiliserProducts[[#Headers],[Company]], 91)</f>
        <v/>
      </c>
      <c r="Z180" s="170" t="str" cm="1">
        <f t="array" ref="Z180">Common_InputFunctions.Utility_DisplayArrayInTable(Fertiliser_SourceData.Fertiliser_Products_Data4(),FertiliserProducts[[#Headers],[Company]], 91)</f>
        <v/>
      </c>
      <c r="AA180" s="170" t="str" cm="1">
        <f t="array" ref="AA180">Common_InputFunctions.Utility_DisplayArrayInTable(Fertiliser_SourceData.Fertiliser_Products_Data4(),FertiliserProducts[[#Headers],[Company]], 91)</f>
        <v/>
      </c>
      <c r="AB180" s="170" t="str" cm="1">
        <f t="array" ref="AB180">Common_InputFunctions.Utility_DisplayArrayInTable(Fertiliser_SourceData.Fertiliser_Products_Data4(),FertiliserProducts[[#Headers],[Company]], 91)</f>
        <v/>
      </c>
      <c r="AC180" s="170" t="str" cm="1">
        <f t="array" ref="AC180">Common_InputFunctions.Utility_DisplayArrayInTable(Fertiliser_SourceData.Fertiliser_Products_Data4(),FertiliserProducts[[#Headers],[Company]], 91)</f>
        <v/>
      </c>
      <c r="AD180" s="170" t="str" cm="1">
        <f t="array" ref="AD180">Common_InputFunctions.Utility_DisplayArrayInTable(Fertiliser_SourceData.Fertiliser_Products_Data4(),FertiliserProducts[[#Headers],[Company]], 91)</f>
        <v/>
      </c>
      <c r="AE180" s="170" t="str" cm="1">
        <f t="array" ref="AE180">Common_InputFunctions.Utility_DisplayArrayInTable(Fertiliser_SourceData.Fertiliser_Products_Data4(),FertiliserProducts[[#Headers],[Company]], 91)</f>
        <v/>
      </c>
      <c r="AF180" s="170" t="str" cm="1">
        <f t="array" ref="AF180">Common_InputFunctions.Utility_DisplayArrayInTable(Fertiliser_SourceData.Fertiliser_Products_Data4(),FertiliserProducts[[#Headers],[Company]], 91)</f>
        <v/>
      </c>
      <c r="AG180" s="170" t="str" cm="1">
        <f t="array" ref="AG180">Common_InputFunctions.Utility_DisplayArrayInTable(Fertiliser_SourceData.Fertiliser_Products_Data4(),FertiliserProducts[[#Headers],[Company]], 91)</f>
        <v/>
      </c>
      <c r="AH180" s="170" t="str" cm="1">
        <f t="array" ref="AH180">Common_InputFunctions.Utility_DisplayArrayInTable(Fertiliser_SourceData.Fertiliser_Products_Data4(),FertiliserProducts[[#Headers],[Company]], 91)</f>
        <v/>
      </c>
    </row>
    <row r="181" spans="1:37" ht="20.100000000000001" customHeight="1" x14ac:dyDescent="0.2">
      <c r="D181" s="170" t="str" cm="1">
        <f t="array" ref="D181">Common_InputFunctions.Utility_DisplayArrayInTable(Fertiliser_SourceData.Fertiliser_Products_Data4(),FertiliserProducts[[#Headers],[Company]], 91)</f>
        <v>Impact Fertilisers</v>
      </c>
      <c r="E181" s="170" t="str" cm="1">
        <f t="array" ref="E181">Common_InputFunctions.Utility_DisplayArrayInTable(Fertiliser_SourceData.Fertiliser_Products_Data4(),FertiliserProducts[[#Headers],[Company]], 91)</f>
        <v>Impact Super Potash 2&amp;1</v>
      </c>
      <c r="F181" s="170" t="str" cm="1">
        <f t="array" ref="F181">Common_InputFunctions.Utility_DisplayArrayInTable(Fertiliser_SourceData.Fertiliser_Products_Data4(),FertiliserProducts[[#Headers],[Company]], 91)</f>
        <v>kg</v>
      </c>
      <c r="G181" s="170" cm="1">
        <f t="array" ref="G181">Common_InputFunctions.Utility_DisplayArrayInTable(Fertiliser_SourceData.Fertiliser_Products_Data4(),FertiliserProducts[[#Headers],[Company]], 91)</f>
        <v>1</v>
      </c>
      <c r="H181" s="170" t="str" cm="1">
        <f t="array" ref="H181">Common_InputFunctions.Utility_DisplayArrayInTable(Fertiliser_SourceData.Fertiliser_Products_Data4(),FertiliserProducts[[#Headers],[Company]], 91)</f>
        <v/>
      </c>
      <c r="I181" s="170" t="str" cm="1">
        <f t="array" ref="I181">Common_InputFunctions.Utility_DisplayArrayInTable(Fertiliser_SourceData.Fertiliser_Products_Data4(),FertiliserProducts[[#Headers],[Company]], 91)</f>
        <v/>
      </c>
      <c r="J181" s="170" t="str" cm="1">
        <f t="array" ref="J181">Common_InputFunctions.Utility_DisplayArrayInTable(Fertiliser_SourceData.Fertiliser_Products_Data4(),FertiliserProducts[[#Headers],[Company]], 91)</f>
        <v/>
      </c>
      <c r="K181" s="170" t="str" cm="1">
        <f t="array" ref="K181">Common_InputFunctions.Utility_DisplayArrayInTable(Fertiliser_SourceData.Fertiliser_Products_Data4(),FertiliserProducts[[#Headers],[Company]], 91)</f>
        <v/>
      </c>
      <c r="L181" s="170" cm="1">
        <f t="array" ref="L181">Common_InputFunctions.Utility_DisplayArrayInTable(Fertiliser_SourceData.Fertiliser_Products_Data4(),FertiliserProducts[[#Headers],[Company]], 91)</f>
        <v>5.84</v>
      </c>
      <c r="M181" s="170" cm="1">
        <f t="array" ref="M181">Common_InputFunctions.Utility_DisplayArrayInTable(Fertiliser_SourceData.Fertiliser_Products_Data4(),FertiliserProducts[[#Headers],[Company]], 91)</f>
        <v>16.8</v>
      </c>
      <c r="N181" s="170" cm="1">
        <f t="array" ref="N181">Common_InputFunctions.Utility_DisplayArrayInTable(Fertiliser_SourceData.Fertiliser_Products_Data4(),FertiliserProducts[[#Headers],[Company]], 91)</f>
        <v>7.29</v>
      </c>
      <c r="O181" s="170" t="str" cm="1">
        <f t="array" ref="O181">Common_InputFunctions.Utility_DisplayArrayInTable(Fertiliser_SourceData.Fertiliser_Products_Data4(),FertiliserProducts[[#Headers],[Company]], 91)</f>
        <v>Single superphosphate (SSP)</v>
      </c>
      <c r="P181" s="170" cm="1">
        <f t="array" ref="P181">Common_InputFunctions.Utility_DisplayArrayInTable(Fertiliser_SourceData.Fertiliser_Products_Data4(),FertiliserProducts[[#Headers],[Company]], 91)</f>
        <v>0.66315800000000003</v>
      </c>
      <c r="Q181" s="170" t="str" cm="1">
        <f t="array" ref="Q181">Common_InputFunctions.Utility_DisplayArrayInTable(Fertiliser_SourceData.Fertiliser_Products_Data4(),FertiliserProducts[[#Headers],[Company]], 91)</f>
        <v>Muriate of potash (MOP)</v>
      </c>
      <c r="R181" s="170" cm="1">
        <f t="array" ref="R181">Common_InputFunctions.Utility_DisplayArrayInTable(Fertiliser_SourceData.Fertiliser_Products_Data4(),FertiliserProducts[[#Headers],[Company]], 91)</f>
        <v>0.33600000000000002</v>
      </c>
      <c r="S181" s="170" t="str" cm="1">
        <f t="array" ref="S181">Common_InputFunctions.Utility_DisplayArrayInTable(Fertiliser_SourceData.Fertiliser_Products_Data4(),FertiliserProducts[[#Headers],[Company]], 91)</f>
        <v/>
      </c>
      <c r="T181" s="170" t="str" cm="1">
        <f t="array" ref="T181">Common_InputFunctions.Utility_DisplayArrayInTable(Fertiliser_SourceData.Fertiliser_Products_Data4(),FertiliserProducts[[#Headers],[Company]], 91)</f>
        <v/>
      </c>
      <c r="U181" s="170" t="str" cm="1">
        <f t="array" ref="U181">Common_InputFunctions.Utility_DisplayArrayInTable(Fertiliser_SourceData.Fertiliser_Products_Data4(),FertiliserProducts[[#Headers],[Company]], 91)</f>
        <v/>
      </c>
      <c r="V181" s="170" t="str" cm="1">
        <f t="array" ref="V181">Common_InputFunctions.Utility_DisplayArrayInTable(Fertiliser_SourceData.Fertiliser_Products_Data4(),FertiliserProducts[[#Headers],[Company]], 91)</f>
        <v/>
      </c>
      <c r="W181" s="170" t="str" cm="1">
        <f t="array" ref="W181">Common_InputFunctions.Utility_DisplayArrayInTable(Fertiliser_SourceData.Fertiliser_Products_Data4(),FertiliserProducts[[#Headers],[Company]], 91)</f>
        <v/>
      </c>
      <c r="X181" s="170" t="str" cm="1">
        <f t="array" ref="X181">Common_InputFunctions.Utility_DisplayArrayInTable(Fertiliser_SourceData.Fertiliser_Products_Data4(),FertiliserProducts[[#Headers],[Company]], 91)</f>
        <v/>
      </c>
      <c r="Y181" s="170" t="str" cm="1">
        <f t="array" ref="Y181">Common_InputFunctions.Utility_DisplayArrayInTable(Fertiliser_SourceData.Fertiliser_Products_Data4(),FertiliserProducts[[#Headers],[Company]], 91)</f>
        <v/>
      </c>
      <c r="Z181" s="170" t="str" cm="1">
        <f t="array" ref="Z181">Common_InputFunctions.Utility_DisplayArrayInTable(Fertiliser_SourceData.Fertiliser_Products_Data4(),FertiliserProducts[[#Headers],[Company]], 91)</f>
        <v/>
      </c>
      <c r="AA181" s="170" t="str" cm="1">
        <f t="array" ref="AA181">Common_InputFunctions.Utility_DisplayArrayInTable(Fertiliser_SourceData.Fertiliser_Products_Data4(),FertiliserProducts[[#Headers],[Company]], 91)</f>
        <v/>
      </c>
      <c r="AB181" s="170" t="str" cm="1">
        <f t="array" ref="AB181">Common_InputFunctions.Utility_DisplayArrayInTable(Fertiliser_SourceData.Fertiliser_Products_Data4(),FertiliserProducts[[#Headers],[Company]], 91)</f>
        <v/>
      </c>
      <c r="AC181" s="170" t="str" cm="1">
        <f t="array" ref="AC181">Common_InputFunctions.Utility_DisplayArrayInTable(Fertiliser_SourceData.Fertiliser_Products_Data4(),FertiliserProducts[[#Headers],[Company]], 91)</f>
        <v/>
      </c>
      <c r="AD181" s="170" t="str" cm="1">
        <f t="array" ref="AD181">Common_InputFunctions.Utility_DisplayArrayInTable(Fertiliser_SourceData.Fertiliser_Products_Data4(),FertiliserProducts[[#Headers],[Company]], 91)</f>
        <v/>
      </c>
      <c r="AE181" s="170" t="str" cm="1">
        <f t="array" ref="AE181">Common_InputFunctions.Utility_DisplayArrayInTable(Fertiliser_SourceData.Fertiliser_Products_Data4(),FertiliserProducts[[#Headers],[Company]], 91)</f>
        <v/>
      </c>
      <c r="AF181" s="170" t="str" cm="1">
        <f t="array" ref="AF181">Common_InputFunctions.Utility_DisplayArrayInTable(Fertiliser_SourceData.Fertiliser_Products_Data4(),FertiliserProducts[[#Headers],[Company]], 91)</f>
        <v/>
      </c>
      <c r="AG181" s="170" t="str" cm="1">
        <f t="array" ref="AG181">Common_InputFunctions.Utility_DisplayArrayInTable(Fertiliser_SourceData.Fertiliser_Products_Data4(),FertiliserProducts[[#Headers],[Company]], 91)</f>
        <v/>
      </c>
      <c r="AH181" s="170" t="str" cm="1">
        <f t="array" ref="AH181">Common_InputFunctions.Utility_DisplayArrayInTable(Fertiliser_SourceData.Fertiliser_Products_Data4(),FertiliserProducts[[#Headers],[Company]], 91)</f>
        <v/>
      </c>
    </row>
    <row r="182" spans="1:37" ht="20.100000000000001" customHeight="1" x14ac:dyDescent="0.2">
      <c r="D182" s="170" t="str" cm="1">
        <f t="array" ref="D182">Common_InputFunctions.Utility_DisplayArrayInTable(Fertiliser_SourceData.Fertiliser_Products_Data4(),FertiliserProducts[[#Headers],[Company]], 91)</f>
        <v>Impact Fertilisers</v>
      </c>
      <c r="E182" s="170" t="str" cm="1">
        <f t="array" ref="E182">Common_InputFunctions.Utility_DisplayArrayInTable(Fertiliser_SourceData.Fertiliser_Products_Data4(),FertiliserProducts[[#Headers],[Company]], 91)</f>
        <v>Impact Super Potash 3&amp;1</v>
      </c>
      <c r="F182" s="170" t="str" cm="1">
        <f t="array" ref="F182">Common_InputFunctions.Utility_DisplayArrayInTable(Fertiliser_SourceData.Fertiliser_Products_Data4(),FertiliserProducts[[#Headers],[Company]], 91)</f>
        <v>kg</v>
      </c>
      <c r="G182" s="170" cm="1">
        <f t="array" ref="G182">Common_InputFunctions.Utility_DisplayArrayInTable(Fertiliser_SourceData.Fertiliser_Products_Data4(),FertiliserProducts[[#Headers],[Company]], 91)</f>
        <v>1</v>
      </c>
      <c r="H182" s="170" t="str" cm="1">
        <f t="array" ref="H182">Common_InputFunctions.Utility_DisplayArrayInTable(Fertiliser_SourceData.Fertiliser_Products_Data4(),FertiliserProducts[[#Headers],[Company]], 91)</f>
        <v/>
      </c>
      <c r="I182" s="170" t="str" cm="1">
        <f t="array" ref="I182">Common_InputFunctions.Utility_DisplayArrayInTable(Fertiliser_SourceData.Fertiliser_Products_Data4(),FertiliserProducts[[#Headers],[Company]], 91)</f>
        <v/>
      </c>
      <c r="J182" s="170" t="str" cm="1">
        <f t="array" ref="J182">Common_InputFunctions.Utility_DisplayArrayInTable(Fertiliser_SourceData.Fertiliser_Products_Data4(),FertiliserProducts[[#Headers],[Company]], 91)</f>
        <v/>
      </c>
      <c r="K182" s="170" t="str" cm="1">
        <f t="array" ref="K182">Common_InputFunctions.Utility_DisplayArrayInTable(Fertiliser_SourceData.Fertiliser_Products_Data4(),FertiliserProducts[[#Headers],[Company]], 91)</f>
        <v/>
      </c>
      <c r="L182" s="170" cm="1">
        <f t="array" ref="L182">Common_InputFunctions.Utility_DisplayArrayInTable(Fertiliser_SourceData.Fertiliser_Products_Data4(),FertiliserProducts[[#Headers],[Company]], 91)</f>
        <v>6.58</v>
      </c>
      <c r="M182" s="170" cm="1">
        <f t="array" ref="M182">Common_InputFunctions.Utility_DisplayArrayInTable(Fertiliser_SourceData.Fertiliser_Products_Data4(),FertiliserProducts[[#Headers],[Company]], 91)</f>
        <v>12.5</v>
      </c>
      <c r="N182" s="170" cm="1">
        <f t="array" ref="N182">Common_InputFunctions.Utility_DisplayArrayInTable(Fertiliser_SourceData.Fertiliser_Products_Data4(),FertiliserProducts[[#Headers],[Company]], 91)</f>
        <v>8.2200000000000006</v>
      </c>
      <c r="O182" s="170" t="str" cm="1">
        <f t="array" ref="O182">Common_InputFunctions.Utility_DisplayArrayInTable(Fertiliser_SourceData.Fertiliser_Products_Data4(),FertiliserProducts[[#Headers],[Company]], 91)</f>
        <v>Single superphosphate (SSP)</v>
      </c>
      <c r="P182" s="170" cm="1">
        <f t="array" ref="P182">Common_InputFunctions.Utility_DisplayArrayInTable(Fertiliser_SourceData.Fertiliser_Products_Data4(),FertiliserProducts[[#Headers],[Company]], 91)</f>
        <v>0.74736800000000003</v>
      </c>
      <c r="Q182" s="170" t="str" cm="1">
        <f t="array" ref="Q182">Common_InputFunctions.Utility_DisplayArrayInTable(Fertiliser_SourceData.Fertiliser_Products_Data4(),FertiliserProducts[[#Headers],[Company]], 91)</f>
        <v>Muriate of potash (MOP)</v>
      </c>
      <c r="R182" s="170" cm="1">
        <f t="array" ref="R182">Common_InputFunctions.Utility_DisplayArrayInTable(Fertiliser_SourceData.Fertiliser_Products_Data4(),FertiliserProducts[[#Headers],[Company]], 91)</f>
        <v>0.25</v>
      </c>
      <c r="S182" s="170" t="str" cm="1">
        <f t="array" ref="S182">Common_InputFunctions.Utility_DisplayArrayInTable(Fertiliser_SourceData.Fertiliser_Products_Data4(),FertiliserProducts[[#Headers],[Company]], 91)</f>
        <v/>
      </c>
      <c r="T182" s="170" t="str" cm="1">
        <f t="array" ref="T182">Common_InputFunctions.Utility_DisplayArrayInTable(Fertiliser_SourceData.Fertiliser_Products_Data4(),FertiliserProducts[[#Headers],[Company]], 91)</f>
        <v/>
      </c>
      <c r="U182" s="170" t="str" cm="1">
        <f t="array" ref="U182">Common_InputFunctions.Utility_DisplayArrayInTable(Fertiliser_SourceData.Fertiliser_Products_Data4(),FertiliserProducts[[#Headers],[Company]], 91)</f>
        <v/>
      </c>
      <c r="V182" s="170" t="str" cm="1">
        <f t="array" ref="V182">Common_InputFunctions.Utility_DisplayArrayInTable(Fertiliser_SourceData.Fertiliser_Products_Data4(),FertiliserProducts[[#Headers],[Company]], 91)</f>
        <v/>
      </c>
      <c r="W182" s="170" t="str" cm="1">
        <f t="array" ref="W182">Common_InputFunctions.Utility_DisplayArrayInTable(Fertiliser_SourceData.Fertiliser_Products_Data4(),FertiliserProducts[[#Headers],[Company]], 91)</f>
        <v/>
      </c>
      <c r="X182" s="170" t="str" cm="1">
        <f t="array" ref="X182">Common_InputFunctions.Utility_DisplayArrayInTable(Fertiliser_SourceData.Fertiliser_Products_Data4(),FertiliserProducts[[#Headers],[Company]], 91)</f>
        <v/>
      </c>
      <c r="Y182" s="170" t="str" cm="1">
        <f t="array" ref="Y182">Common_InputFunctions.Utility_DisplayArrayInTable(Fertiliser_SourceData.Fertiliser_Products_Data4(),FertiliserProducts[[#Headers],[Company]], 91)</f>
        <v/>
      </c>
      <c r="Z182" s="170" t="str" cm="1">
        <f t="array" ref="Z182">Common_InputFunctions.Utility_DisplayArrayInTable(Fertiliser_SourceData.Fertiliser_Products_Data4(),FertiliserProducts[[#Headers],[Company]], 91)</f>
        <v/>
      </c>
      <c r="AA182" s="170" t="str" cm="1">
        <f t="array" ref="AA182">Common_InputFunctions.Utility_DisplayArrayInTable(Fertiliser_SourceData.Fertiliser_Products_Data4(),FertiliserProducts[[#Headers],[Company]], 91)</f>
        <v/>
      </c>
      <c r="AB182" s="170" t="str" cm="1">
        <f t="array" ref="AB182">Common_InputFunctions.Utility_DisplayArrayInTable(Fertiliser_SourceData.Fertiliser_Products_Data4(),FertiliserProducts[[#Headers],[Company]], 91)</f>
        <v/>
      </c>
      <c r="AC182" s="170" t="str" cm="1">
        <f t="array" ref="AC182">Common_InputFunctions.Utility_DisplayArrayInTable(Fertiliser_SourceData.Fertiliser_Products_Data4(),FertiliserProducts[[#Headers],[Company]], 91)</f>
        <v/>
      </c>
      <c r="AD182" s="170" t="str" cm="1">
        <f t="array" ref="AD182">Common_InputFunctions.Utility_DisplayArrayInTable(Fertiliser_SourceData.Fertiliser_Products_Data4(),FertiliserProducts[[#Headers],[Company]], 91)</f>
        <v/>
      </c>
      <c r="AE182" s="170" t="str" cm="1">
        <f t="array" ref="AE182">Common_InputFunctions.Utility_DisplayArrayInTable(Fertiliser_SourceData.Fertiliser_Products_Data4(),FertiliserProducts[[#Headers],[Company]], 91)</f>
        <v/>
      </c>
      <c r="AF182" s="170" t="str" cm="1">
        <f t="array" ref="AF182">Common_InputFunctions.Utility_DisplayArrayInTable(Fertiliser_SourceData.Fertiliser_Products_Data4(),FertiliserProducts[[#Headers],[Company]], 91)</f>
        <v/>
      </c>
      <c r="AG182" s="170" t="str" cm="1">
        <f t="array" ref="AG182">Common_InputFunctions.Utility_DisplayArrayInTable(Fertiliser_SourceData.Fertiliser_Products_Data4(),FertiliserProducts[[#Headers],[Company]], 91)</f>
        <v/>
      </c>
      <c r="AH182" s="170" t="str" cm="1">
        <f t="array" ref="AH182">Common_InputFunctions.Utility_DisplayArrayInTable(Fertiliser_SourceData.Fertiliser_Products_Data4(),FertiliserProducts[[#Headers],[Company]], 91)</f>
        <v/>
      </c>
    </row>
    <row r="183" spans="1:37" ht="20.100000000000001" customHeight="1" x14ac:dyDescent="0.2">
      <c r="D183" s="170" t="str" cm="1">
        <f t="array" ref="D183">Common_InputFunctions.Utility_DisplayArrayInTable(Fertiliser_SourceData.Fertiliser_Products_Data4(),FertiliserProducts[[#Headers],[Company]], 91)</f>
        <v>Impact Fertilisers</v>
      </c>
      <c r="E183" s="170" t="str" cm="1">
        <f t="array" ref="E183">Common_InputFunctions.Utility_DisplayArrayInTable(Fertiliser_SourceData.Fertiliser_Products_Data4(),FertiliserProducts[[#Headers],[Company]], 91)</f>
        <v>Impact Super Potash 4&amp;1</v>
      </c>
      <c r="F183" s="170" t="str" cm="1">
        <f t="array" ref="F183">Common_InputFunctions.Utility_DisplayArrayInTable(Fertiliser_SourceData.Fertiliser_Products_Data4(),FertiliserProducts[[#Headers],[Company]], 91)</f>
        <v>kg</v>
      </c>
      <c r="G183" s="170" cm="1">
        <f t="array" ref="G183">Common_InputFunctions.Utility_DisplayArrayInTable(Fertiliser_SourceData.Fertiliser_Products_Data4(),FertiliserProducts[[#Headers],[Company]], 91)</f>
        <v>1</v>
      </c>
      <c r="H183" s="170" t="str" cm="1">
        <f t="array" ref="H183">Common_InputFunctions.Utility_DisplayArrayInTable(Fertiliser_SourceData.Fertiliser_Products_Data4(),FertiliserProducts[[#Headers],[Company]], 91)</f>
        <v/>
      </c>
      <c r="I183" s="170" t="str" cm="1">
        <f t="array" ref="I183">Common_InputFunctions.Utility_DisplayArrayInTable(Fertiliser_SourceData.Fertiliser_Products_Data4(),FertiliserProducts[[#Headers],[Company]], 91)</f>
        <v/>
      </c>
      <c r="J183" s="170" t="str" cm="1">
        <f t="array" ref="J183">Common_InputFunctions.Utility_DisplayArrayInTable(Fertiliser_SourceData.Fertiliser_Products_Data4(),FertiliserProducts[[#Headers],[Company]], 91)</f>
        <v/>
      </c>
      <c r="K183" s="170" t="str" cm="1">
        <f t="array" ref="K183">Common_InputFunctions.Utility_DisplayArrayInTable(Fertiliser_SourceData.Fertiliser_Products_Data4(),FertiliserProducts[[#Headers],[Company]], 91)</f>
        <v/>
      </c>
      <c r="L183" s="170" cm="1">
        <f t="array" ref="L183">Common_InputFunctions.Utility_DisplayArrayInTable(Fertiliser_SourceData.Fertiliser_Products_Data4(),FertiliserProducts[[#Headers],[Company]], 91)</f>
        <v>7.04</v>
      </c>
      <c r="M183" s="170" cm="1">
        <f t="array" ref="M183">Common_InputFunctions.Utility_DisplayArrayInTable(Fertiliser_SourceData.Fertiliser_Products_Data4(),FertiliserProducts[[#Headers],[Company]], 91)</f>
        <v>10</v>
      </c>
      <c r="N183" s="170" cm="1">
        <f t="array" ref="N183">Common_InputFunctions.Utility_DisplayArrayInTable(Fertiliser_SourceData.Fertiliser_Products_Data4(),FertiliserProducts[[#Headers],[Company]], 91)</f>
        <v>8.8000000000000007</v>
      </c>
      <c r="O183" s="170" t="str" cm="1">
        <f t="array" ref="O183">Common_InputFunctions.Utility_DisplayArrayInTable(Fertiliser_SourceData.Fertiliser_Products_Data4(),FertiliserProducts[[#Headers],[Company]], 91)</f>
        <v>Single superphosphate (SSP)</v>
      </c>
      <c r="P183" s="170" cm="1">
        <f t="array" ref="P183">Common_InputFunctions.Utility_DisplayArrayInTable(Fertiliser_SourceData.Fertiliser_Products_Data4(),FertiliserProducts[[#Headers],[Company]], 91)</f>
        <v>0.8</v>
      </c>
      <c r="Q183" s="170" t="str" cm="1">
        <f t="array" ref="Q183">Common_InputFunctions.Utility_DisplayArrayInTable(Fertiliser_SourceData.Fertiliser_Products_Data4(),FertiliserProducts[[#Headers],[Company]], 91)</f>
        <v>Muriate of potash (MOP)</v>
      </c>
      <c r="R183" s="170" cm="1">
        <f t="array" ref="R183">Common_InputFunctions.Utility_DisplayArrayInTable(Fertiliser_SourceData.Fertiliser_Products_Data4(),FertiliserProducts[[#Headers],[Company]], 91)</f>
        <v>0.2</v>
      </c>
      <c r="S183" s="170" t="str" cm="1">
        <f t="array" ref="S183">Common_InputFunctions.Utility_DisplayArrayInTable(Fertiliser_SourceData.Fertiliser_Products_Data4(),FertiliserProducts[[#Headers],[Company]], 91)</f>
        <v/>
      </c>
      <c r="T183" s="170" t="str" cm="1">
        <f t="array" ref="T183">Common_InputFunctions.Utility_DisplayArrayInTable(Fertiliser_SourceData.Fertiliser_Products_Data4(),FertiliserProducts[[#Headers],[Company]], 91)</f>
        <v/>
      </c>
      <c r="U183" s="170" t="str" cm="1">
        <f t="array" ref="U183">Common_InputFunctions.Utility_DisplayArrayInTable(Fertiliser_SourceData.Fertiliser_Products_Data4(),FertiliserProducts[[#Headers],[Company]], 91)</f>
        <v/>
      </c>
      <c r="V183" s="170" t="str" cm="1">
        <f t="array" ref="V183">Common_InputFunctions.Utility_DisplayArrayInTable(Fertiliser_SourceData.Fertiliser_Products_Data4(),FertiliserProducts[[#Headers],[Company]], 91)</f>
        <v/>
      </c>
      <c r="W183" s="170" t="str" cm="1">
        <f t="array" ref="W183">Common_InputFunctions.Utility_DisplayArrayInTable(Fertiliser_SourceData.Fertiliser_Products_Data4(),FertiliserProducts[[#Headers],[Company]], 91)</f>
        <v/>
      </c>
      <c r="X183" s="170" t="str" cm="1">
        <f t="array" ref="X183">Common_InputFunctions.Utility_DisplayArrayInTable(Fertiliser_SourceData.Fertiliser_Products_Data4(),FertiliserProducts[[#Headers],[Company]], 91)</f>
        <v/>
      </c>
      <c r="Y183" s="170" t="str" cm="1">
        <f t="array" ref="Y183">Common_InputFunctions.Utility_DisplayArrayInTable(Fertiliser_SourceData.Fertiliser_Products_Data4(),FertiliserProducts[[#Headers],[Company]], 91)</f>
        <v/>
      </c>
      <c r="Z183" s="170" t="str" cm="1">
        <f t="array" ref="Z183">Common_InputFunctions.Utility_DisplayArrayInTable(Fertiliser_SourceData.Fertiliser_Products_Data4(),FertiliserProducts[[#Headers],[Company]], 91)</f>
        <v/>
      </c>
      <c r="AA183" s="170" t="str" cm="1">
        <f t="array" ref="AA183">Common_InputFunctions.Utility_DisplayArrayInTable(Fertiliser_SourceData.Fertiliser_Products_Data4(),FertiliserProducts[[#Headers],[Company]], 91)</f>
        <v/>
      </c>
      <c r="AB183" s="170" t="str" cm="1">
        <f t="array" ref="AB183">Common_InputFunctions.Utility_DisplayArrayInTable(Fertiliser_SourceData.Fertiliser_Products_Data4(),FertiliserProducts[[#Headers],[Company]], 91)</f>
        <v/>
      </c>
      <c r="AC183" s="170" t="str" cm="1">
        <f t="array" ref="AC183">Common_InputFunctions.Utility_DisplayArrayInTable(Fertiliser_SourceData.Fertiliser_Products_Data4(),FertiliserProducts[[#Headers],[Company]], 91)</f>
        <v/>
      </c>
      <c r="AD183" s="170" t="str" cm="1">
        <f t="array" ref="AD183">Common_InputFunctions.Utility_DisplayArrayInTable(Fertiliser_SourceData.Fertiliser_Products_Data4(),FertiliserProducts[[#Headers],[Company]], 91)</f>
        <v/>
      </c>
      <c r="AE183" s="170" t="str" cm="1">
        <f t="array" ref="AE183">Common_InputFunctions.Utility_DisplayArrayInTable(Fertiliser_SourceData.Fertiliser_Products_Data4(),FertiliserProducts[[#Headers],[Company]], 91)</f>
        <v/>
      </c>
      <c r="AF183" s="170" t="str" cm="1">
        <f t="array" ref="AF183">Common_InputFunctions.Utility_DisplayArrayInTable(Fertiliser_SourceData.Fertiliser_Products_Data4(),FertiliserProducts[[#Headers],[Company]], 91)</f>
        <v/>
      </c>
      <c r="AG183" s="170" t="str" cm="1">
        <f t="array" ref="AG183">Common_InputFunctions.Utility_DisplayArrayInTable(Fertiliser_SourceData.Fertiliser_Products_Data4(),FertiliserProducts[[#Headers],[Company]], 91)</f>
        <v/>
      </c>
      <c r="AH183" s="170" t="str" cm="1">
        <f t="array" ref="AH183">Common_InputFunctions.Utility_DisplayArrayInTable(Fertiliser_SourceData.Fertiliser_Products_Data4(),FertiliserProducts[[#Headers],[Company]], 91)</f>
        <v/>
      </c>
    </row>
    <row r="184" spans="1:37" ht="20.100000000000001" customHeight="1" x14ac:dyDescent="0.2">
      <c r="D184" s="170" t="str" cm="1">
        <f t="array" ref="D184">Common_InputFunctions.Utility_DisplayArrayInTable(Fertiliser_SourceData.Fertiliser_Products_Data4(),FertiliserProducts[[#Headers],[Company]], 91)</f>
        <v>Impact Fertilisers</v>
      </c>
      <c r="E184" s="170" t="str" cm="1">
        <f t="array" ref="E184">Common_InputFunctions.Utility_DisplayArrayInTable(Fertiliser_SourceData.Fertiliser_Products_Data4(),FertiliserProducts[[#Headers],[Company]], 91)</f>
        <v>Impact Super Potash 5&amp;1</v>
      </c>
      <c r="F184" s="170" t="str" cm="1">
        <f t="array" ref="F184">Common_InputFunctions.Utility_DisplayArrayInTable(Fertiliser_SourceData.Fertiliser_Products_Data4(),FertiliserProducts[[#Headers],[Company]], 91)</f>
        <v>kg</v>
      </c>
      <c r="G184" s="170" cm="1">
        <f t="array" ref="G184">Common_InputFunctions.Utility_DisplayArrayInTable(Fertiliser_SourceData.Fertiliser_Products_Data4(),FertiliserProducts[[#Headers],[Company]], 91)</f>
        <v>1</v>
      </c>
      <c r="H184" s="170" t="str" cm="1">
        <f t="array" ref="H184">Common_InputFunctions.Utility_DisplayArrayInTable(Fertiliser_SourceData.Fertiliser_Products_Data4(),FertiliserProducts[[#Headers],[Company]], 91)</f>
        <v/>
      </c>
      <c r="I184" s="170" t="str" cm="1">
        <f t="array" ref="I184">Common_InputFunctions.Utility_DisplayArrayInTable(Fertiliser_SourceData.Fertiliser_Products_Data4(),FertiliserProducts[[#Headers],[Company]], 91)</f>
        <v/>
      </c>
      <c r="J184" s="170" t="str" cm="1">
        <f t="array" ref="J184">Common_InputFunctions.Utility_DisplayArrayInTable(Fertiliser_SourceData.Fertiliser_Products_Data4(),FertiliserProducts[[#Headers],[Company]], 91)</f>
        <v/>
      </c>
      <c r="K184" s="170" t="str" cm="1">
        <f t="array" ref="K184">Common_InputFunctions.Utility_DisplayArrayInTable(Fertiliser_SourceData.Fertiliser_Products_Data4(),FertiliserProducts[[#Headers],[Company]], 91)</f>
        <v/>
      </c>
      <c r="L184" s="170" cm="1">
        <f t="array" ref="L184">Common_InputFunctions.Utility_DisplayArrayInTable(Fertiliser_SourceData.Fertiliser_Products_Data4(),FertiliserProducts[[#Headers],[Company]], 91)</f>
        <v>7.32</v>
      </c>
      <c r="M184" s="170" cm="1">
        <f t="array" ref="M184">Common_InputFunctions.Utility_DisplayArrayInTable(Fertiliser_SourceData.Fertiliser_Products_Data4(),FertiliserProducts[[#Headers],[Company]], 91)</f>
        <v>8.4</v>
      </c>
      <c r="N184" s="170" cm="1">
        <f t="array" ref="N184">Common_InputFunctions.Utility_DisplayArrayInTable(Fertiliser_SourceData.Fertiliser_Products_Data4(),FertiliserProducts[[#Headers],[Company]], 91)</f>
        <v>9.15</v>
      </c>
      <c r="O184" s="170" t="str" cm="1">
        <f t="array" ref="O184">Common_InputFunctions.Utility_DisplayArrayInTable(Fertiliser_SourceData.Fertiliser_Products_Data4(),FertiliserProducts[[#Headers],[Company]], 91)</f>
        <v>Single superphosphate (SSP)</v>
      </c>
      <c r="P184" s="170" cm="1">
        <f t="array" ref="P184">Common_InputFunctions.Utility_DisplayArrayInTable(Fertiliser_SourceData.Fertiliser_Products_Data4(),FertiliserProducts[[#Headers],[Company]], 91)</f>
        <v>0.83157899999999996</v>
      </c>
      <c r="Q184" s="170" t="str" cm="1">
        <f t="array" ref="Q184">Common_InputFunctions.Utility_DisplayArrayInTable(Fertiliser_SourceData.Fertiliser_Products_Data4(),FertiliserProducts[[#Headers],[Company]], 91)</f>
        <v>Muriate of potash (MOP)</v>
      </c>
      <c r="R184" s="170" cm="1">
        <f t="array" ref="R184">Common_InputFunctions.Utility_DisplayArrayInTable(Fertiliser_SourceData.Fertiliser_Products_Data4(),FertiliserProducts[[#Headers],[Company]], 91)</f>
        <v>0.16800000000000001</v>
      </c>
      <c r="S184" s="170" t="str" cm="1">
        <f t="array" ref="S184">Common_InputFunctions.Utility_DisplayArrayInTable(Fertiliser_SourceData.Fertiliser_Products_Data4(),FertiliserProducts[[#Headers],[Company]], 91)</f>
        <v/>
      </c>
      <c r="T184" s="170" t="str" cm="1">
        <f t="array" ref="T184">Common_InputFunctions.Utility_DisplayArrayInTable(Fertiliser_SourceData.Fertiliser_Products_Data4(),FertiliserProducts[[#Headers],[Company]], 91)</f>
        <v/>
      </c>
      <c r="U184" s="170" t="str" cm="1">
        <f t="array" ref="U184">Common_InputFunctions.Utility_DisplayArrayInTable(Fertiliser_SourceData.Fertiliser_Products_Data4(),FertiliserProducts[[#Headers],[Company]], 91)</f>
        <v/>
      </c>
      <c r="V184" s="170" t="str" cm="1">
        <f t="array" ref="V184">Common_InputFunctions.Utility_DisplayArrayInTable(Fertiliser_SourceData.Fertiliser_Products_Data4(),FertiliserProducts[[#Headers],[Company]], 91)</f>
        <v/>
      </c>
      <c r="W184" s="170" t="str" cm="1">
        <f t="array" ref="W184">Common_InputFunctions.Utility_DisplayArrayInTable(Fertiliser_SourceData.Fertiliser_Products_Data4(),FertiliserProducts[[#Headers],[Company]], 91)</f>
        <v/>
      </c>
      <c r="X184" s="170" t="str" cm="1">
        <f t="array" ref="X184">Common_InputFunctions.Utility_DisplayArrayInTable(Fertiliser_SourceData.Fertiliser_Products_Data4(),FertiliserProducts[[#Headers],[Company]], 91)</f>
        <v/>
      </c>
      <c r="Y184" s="170" t="str" cm="1">
        <f t="array" ref="Y184">Common_InputFunctions.Utility_DisplayArrayInTable(Fertiliser_SourceData.Fertiliser_Products_Data4(),FertiliserProducts[[#Headers],[Company]], 91)</f>
        <v/>
      </c>
      <c r="Z184" s="170" t="str" cm="1">
        <f t="array" ref="Z184">Common_InputFunctions.Utility_DisplayArrayInTable(Fertiliser_SourceData.Fertiliser_Products_Data4(),FertiliserProducts[[#Headers],[Company]], 91)</f>
        <v/>
      </c>
      <c r="AA184" s="170" t="str" cm="1">
        <f t="array" ref="AA184">Common_InputFunctions.Utility_DisplayArrayInTable(Fertiliser_SourceData.Fertiliser_Products_Data4(),FertiliserProducts[[#Headers],[Company]], 91)</f>
        <v/>
      </c>
      <c r="AB184" s="170" t="str" cm="1">
        <f t="array" ref="AB184">Common_InputFunctions.Utility_DisplayArrayInTable(Fertiliser_SourceData.Fertiliser_Products_Data4(),FertiliserProducts[[#Headers],[Company]], 91)</f>
        <v/>
      </c>
      <c r="AC184" s="170" t="str" cm="1">
        <f t="array" ref="AC184">Common_InputFunctions.Utility_DisplayArrayInTable(Fertiliser_SourceData.Fertiliser_Products_Data4(),FertiliserProducts[[#Headers],[Company]], 91)</f>
        <v/>
      </c>
      <c r="AD184" s="170" t="str" cm="1">
        <f t="array" ref="AD184">Common_InputFunctions.Utility_DisplayArrayInTable(Fertiliser_SourceData.Fertiliser_Products_Data4(),FertiliserProducts[[#Headers],[Company]], 91)</f>
        <v/>
      </c>
      <c r="AE184" s="170" t="str" cm="1">
        <f t="array" ref="AE184">Common_InputFunctions.Utility_DisplayArrayInTable(Fertiliser_SourceData.Fertiliser_Products_Data4(),FertiliserProducts[[#Headers],[Company]], 91)</f>
        <v/>
      </c>
      <c r="AF184" s="170" t="str" cm="1">
        <f t="array" ref="AF184">Common_InputFunctions.Utility_DisplayArrayInTable(Fertiliser_SourceData.Fertiliser_Products_Data4(),FertiliserProducts[[#Headers],[Company]], 91)</f>
        <v/>
      </c>
      <c r="AG184" s="170" t="str" cm="1">
        <f t="array" ref="AG184">Common_InputFunctions.Utility_DisplayArrayInTable(Fertiliser_SourceData.Fertiliser_Products_Data4(),FertiliserProducts[[#Headers],[Company]], 91)</f>
        <v/>
      </c>
      <c r="AH184" s="170" t="str" cm="1">
        <f t="array" ref="AH184">Common_InputFunctions.Utility_DisplayArrayInTable(Fertiliser_SourceData.Fertiliser_Products_Data4(),FertiliserProducts[[#Headers],[Company]], 91)</f>
        <v/>
      </c>
    </row>
    <row r="185" spans="1:37" ht="20.100000000000001" customHeight="1" x14ac:dyDescent="0.2">
      <c r="D185" s="170" t="str" cm="1">
        <f t="array" ref="D185">Common_InputFunctions.Utility_DisplayArrayInTable(Fertiliser_SourceData.Fertiliser_Products_Data4(),FertiliserProducts[[#Headers],[Company]], 91)</f>
        <v>Pacific Fertiliser / Incitec Pivot Fertilisers</v>
      </c>
      <c r="E185" s="170" t="str" cm="1">
        <f t="array" ref="E185">Common_InputFunctions.Utility_DisplayArrayInTable(Fertiliser_SourceData.Fertiliser_Products_Data4(),FertiliserProducts[[#Headers],[Company]], 91)</f>
        <v>Cal-Gran</v>
      </c>
      <c r="F185" s="170" t="str" cm="1">
        <f t="array" ref="F185">Common_InputFunctions.Utility_DisplayArrayInTable(Fertiliser_SourceData.Fertiliser_Products_Data4(),FertiliserProducts[[#Headers],[Company]], 91)</f>
        <v>kg</v>
      </c>
      <c r="G185" s="170" cm="1">
        <f t="array" ref="G185">Common_InputFunctions.Utility_DisplayArrayInTable(Fertiliser_SourceData.Fertiliser_Products_Data4(),FertiliserProducts[[#Headers],[Company]], 91)</f>
        <v>1</v>
      </c>
      <c r="H185" s="170" t="str" cm="1">
        <f t="array" ref="H185">Common_InputFunctions.Utility_DisplayArrayInTable(Fertiliser_SourceData.Fertiliser_Products_Data4(),FertiliserProducts[[#Headers],[Company]], 91)</f>
        <v/>
      </c>
      <c r="I185" s="170" t="str" cm="1">
        <f t="array" ref="I185">Common_InputFunctions.Utility_DisplayArrayInTable(Fertiliser_SourceData.Fertiliser_Products_Data4(),FertiliserProducts[[#Headers],[Company]], 91)</f>
        <v/>
      </c>
      <c r="J185" s="170" t="str" cm="1">
        <f t="array" ref="J185">Common_InputFunctions.Utility_DisplayArrayInTable(Fertiliser_SourceData.Fertiliser_Products_Data4(),FertiliserProducts[[#Headers],[Company]], 91)</f>
        <v/>
      </c>
      <c r="K185" s="170" cm="1">
        <f t="array" ref="K185">Common_InputFunctions.Utility_DisplayArrayInTable(Fertiliser_SourceData.Fertiliser_Products_Data4(),FertiliserProducts[[#Headers],[Company]], 91)</f>
        <v>23.9</v>
      </c>
      <c r="L185" s="170" t="str" cm="1">
        <f t="array" ref="L185">Common_InputFunctions.Utility_DisplayArrayInTable(Fertiliser_SourceData.Fertiliser_Products_Data4(),FertiliserProducts[[#Headers],[Company]], 91)</f>
        <v/>
      </c>
      <c r="M185" s="170" t="str" cm="1">
        <f t="array" ref="M185">Common_InputFunctions.Utility_DisplayArrayInTable(Fertiliser_SourceData.Fertiliser_Products_Data4(),FertiliserProducts[[#Headers],[Company]], 91)</f>
        <v/>
      </c>
      <c r="N185" s="170" cm="1">
        <f t="array" ref="N185">Common_InputFunctions.Utility_DisplayArrayInTable(Fertiliser_SourceData.Fertiliser_Products_Data4(),FertiliserProducts[[#Headers],[Company]], 91)</f>
        <v>10.8</v>
      </c>
      <c r="O185" s="170" t="str" cm="1">
        <f t="array" ref="O185">Common_InputFunctions.Utility_DisplayArrayInTable(Fertiliser_SourceData.Fertiliser_Products_Data4(),FertiliserProducts[[#Headers],[Company]], 91)</f>
        <v>Nitrogen - Nitrate</v>
      </c>
      <c r="P185" s="170" cm="1">
        <f t="array" ref="P185">Common_InputFunctions.Utility_DisplayArrayInTable(Fertiliser_SourceData.Fertiliser_Products_Data4(),FertiliserProducts[[#Headers],[Company]], 91)</f>
        <v>7.3999999999999996E-2</v>
      </c>
      <c r="Q185" s="170" t="str" cm="1">
        <f t="array" ref="Q185">Common_InputFunctions.Utility_DisplayArrayInTable(Fertiliser_SourceData.Fertiliser_Products_Data4(),FertiliserProducts[[#Headers],[Company]], 91)</f>
        <v>Nitrogen - Ammoniacal</v>
      </c>
      <c r="R185" s="170" cm="1">
        <f t="array" ref="R185">Common_InputFunctions.Utility_DisplayArrayInTable(Fertiliser_SourceData.Fertiliser_Products_Data4(),FertiliserProducts[[#Headers],[Company]], 91)</f>
        <v>0.16500000000000001</v>
      </c>
      <c r="S185" s="170" t="str" cm="1">
        <f t="array" ref="S185">Common_InputFunctions.Utility_DisplayArrayInTable(Fertiliser_SourceData.Fertiliser_Products_Data4(),FertiliserProducts[[#Headers],[Company]], 91)</f>
        <v>Sulfur - Generic</v>
      </c>
      <c r="T185" s="170" cm="1">
        <f t="array" ref="T185">Common_InputFunctions.Utility_DisplayArrayInTable(Fertiliser_SourceData.Fertiliser_Products_Data4(),FertiliserProducts[[#Headers],[Company]], 91)</f>
        <v>0.108</v>
      </c>
      <c r="U185" s="170" t="str" cm="1">
        <f t="array" ref="U185">Common_InputFunctions.Utility_DisplayArrayInTable(Fertiliser_SourceData.Fertiliser_Products_Data4(),FertiliserProducts[[#Headers],[Company]], 91)</f>
        <v>Calcium</v>
      </c>
      <c r="V185" s="170" cm="1">
        <f t="array" ref="V185">Common_InputFunctions.Utility_DisplayArrayInTable(Fertiliser_SourceData.Fertiliser_Products_Data4(),FertiliserProducts[[#Headers],[Company]], 91)</f>
        <v>4.3999999999999997E-2</v>
      </c>
      <c r="W185" s="170" t="str" cm="1">
        <f t="array" ref="W185">Common_InputFunctions.Utility_DisplayArrayInTable(Fertiliser_SourceData.Fertiliser_Products_Data4(),FertiliserProducts[[#Headers],[Company]], 91)</f>
        <v/>
      </c>
      <c r="X185" s="170" t="str" cm="1">
        <f t="array" ref="X185">Common_InputFunctions.Utility_DisplayArrayInTable(Fertiliser_SourceData.Fertiliser_Products_Data4(),FertiliserProducts[[#Headers],[Company]], 91)</f>
        <v/>
      </c>
      <c r="Y185" s="170" t="str" cm="1">
        <f t="array" ref="Y185">Common_InputFunctions.Utility_DisplayArrayInTable(Fertiliser_SourceData.Fertiliser_Products_Data4(),FertiliserProducts[[#Headers],[Company]], 91)</f>
        <v/>
      </c>
      <c r="Z185" s="170" t="str" cm="1">
        <f t="array" ref="Z185">Common_InputFunctions.Utility_DisplayArrayInTable(Fertiliser_SourceData.Fertiliser_Products_Data4(),FertiliserProducts[[#Headers],[Company]], 91)</f>
        <v/>
      </c>
      <c r="AA185" s="170" t="str" cm="1">
        <f t="array" ref="AA185">Common_InputFunctions.Utility_DisplayArrayInTable(Fertiliser_SourceData.Fertiliser_Products_Data4(),FertiliserProducts[[#Headers],[Company]], 91)</f>
        <v/>
      </c>
      <c r="AB185" s="170" t="str" cm="1">
        <f t="array" ref="AB185">Common_InputFunctions.Utility_DisplayArrayInTable(Fertiliser_SourceData.Fertiliser_Products_Data4(),FertiliserProducts[[#Headers],[Company]], 91)</f>
        <v/>
      </c>
      <c r="AC185" s="170" t="str" cm="1">
        <f t="array" ref="AC185">Common_InputFunctions.Utility_DisplayArrayInTable(Fertiliser_SourceData.Fertiliser_Products_Data4(),FertiliserProducts[[#Headers],[Company]], 91)</f>
        <v/>
      </c>
      <c r="AD185" s="170" t="str" cm="1">
        <f t="array" ref="AD185">Common_InputFunctions.Utility_DisplayArrayInTable(Fertiliser_SourceData.Fertiliser_Products_Data4(),FertiliserProducts[[#Headers],[Company]], 91)</f>
        <v/>
      </c>
      <c r="AE185" s="170" t="str" cm="1">
        <f t="array" ref="AE185">Common_InputFunctions.Utility_DisplayArrayInTable(Fertiliser_SourceData.Fertiliser_Products_Data4(),FertiliserProducts[[#Headers],[Company]], 91)</f>
        <v/>
      </c>
      <c r="AF185" s="170" t="str" cm="1">
        <f t="array" ref="AF185">Common_InputFunctions.Utility_DisplayArrayInTable(Fertiliser_SourceData.Fertiliser_Products_Data4(),FertiliserProducts[[#Headers],[Company]], 91)</f>
        <v/>
      </c>
      <c r="AG185" s="170" t="str" cm="1">
        <f t="array" ref="AG185">Common_InputFunctions.Utility_DisplayArrayInTable(Fertiliser_SourceData.Fertiliser_Products_Data4(),FertiliserProducts[[#Headers],[Company]], 91)</f>
        <v/>
      </c>
      <c r="AH185" s="170" t="str" cm="1">
        <f t="array" ref="AH185">Common_InputFunctions.Utility_DisplayArrayInTable(Fertiliser_SourceData.Fertiliser_Products_Data4(),FertiliserProducts[[#Headers],[Company]], 91)</f>
        <v/>
      </c>
    </row>
    <row r="186" spans="1:37" ht="20.100000000000001" customHeight="1" x14ac:dyDescent="0.2">
      <c r="D186" s="170" t="str" cm="1">
        <f t="array" ref="D186">Common_InputFunctions.Utility_DisplayArrayInTable(Fertiliser_SourceData.Fertiliser_Products_Data4(),FertiliserProducts[[#Headers],[Company]], 91)</f>
        <v>Pacific Fertiliser / Incitec Pivot Fertilisers</v>
      </c>
      <c r="E186" s="170" t="str" cm="1">
        <f t="array" ref="E186">Common_InputFunctions.Utility_DisplayArrayInTable(Fertiliser_SourceData.Fertiliser_Products_Data4(),FertiliserProducts[[#Headers],[Company]], 91)</f>
        <v>Cal-Gran 50/50</v>
      </c>
      <c r="F186" s="170" t="str" cm="1">
        <f t="array" ref="F186">Common_InputFunctions.Utility_DisplayArrayInTable(Fertiliser_SourceData.Fertiliser_Products_Data4(),FertiliserProducts[[#Headers],[Company]], 91)</f>
        <v>kg</v>
      </c>
      <c r="G186" s="170" cm="1">
        <f t="array" ref="G186">Common_InputFunctions.Utility_DisplayArrayInTable(Fertiliser_SourceData.Fertiliser_Products_Data4(),FertiliserProducts[[#Headers],[Company]], 91)</f>
        <v>1</v>
      </c>
      <c r="H186" s="170" t="str" cm="1">
        <f t="array" ref="H186">Common_InputFunctions.Utility_DisplayArrayInTable(Fertiliser_SourceData.Fertiliser_Products_Data4(),FertiliserProducts[[#Headers],[Company]], 91)</f>
        <v/>
      </c>
      <c r="I186" s="170" t="str" cm="1">
        <f t="array" ref="I186">Common_InputFunctions.Utility_DisplayArrayInTable(Fertiliser_SourceData.Fertiliser_Products_Data4(),FertiliserProducts[[#Headers],[Company]], 91)</f>
        <v/>
      </c>
      <c r="J186" s="170" t="str" cm="1">
        <f t="array" ref="J186">Common_InputFunctions.Utility_DisplayArrayInTable(Fertiliser_SourceData.Fertiliser_Products_Data4(),FertiliserProducts[[#Headers],[Company]], 91)</f>
        <v/>
      </c>
      <c r="K186" s="170" cm="1">
        <f t="array" ref="K186">Common_InputFunctions.Utility_DisplayArrayInTable(Fertiliser_SourceData.Fertiliser_Products_Data4(),FertiliserProducts[[#Headers],[Company]], 91)</f>
        <v>17.899999999999999</v>
      </c>
      <c r="L186" s="170" t="str" cm="1">
        <f t="array" ref="L186">Common_InputFunctions.Utility_DisplayArrayInTable(Fertiliser_SourceData.Fertiliser_Products_Data4(),FertiliserProducts[[#Headers],[Company]], 91)</f>
        <v/>
      </c>
      <c r="M186" s="170" cm="1">
        <f t="array" ref="M186">Common_InputFunctions.Utility_DisplayArrayInTable(Fertiliser_SourceData.Fertiliser_Products_Data4(),FertiliserProducts[[#Headers],[Company]], 91)</f>
        <v>15</v>
      </c>
      <c r="N186" s="170" cm="1">
        <f t="array" ref="N186">Common_InputFunctions.Utility_DisplayArrayInTable(Fertiliser_SourceData.Fertiliser_Products_Data4(),FertiliserProducts[[#Headers],[Company]], 91)</f>
        <v>3.6</v>
      </c>
      <c r="O186" s="170" t="str" cm="1">
        <f t="array" ref="O186">Common_InputFunctions.Utility_DisplayArrayInTable(Fertiliser_SourceData.Fertiliser_Products_Data4(),FertiliserProducts[[#Headers],[Company]], 91)</f>
        <v>Nitrogen - Nitrate</v>
      </c>
      <c r="P186" s="170" cm="1">
        <f t="array" ref="P186">Common_InputFunctions.Utility_DisplayArrayInTable(Fertiliser_SourceData.Fertiliser_Products_Data4(),FertiliserProducts[[#Headers],[Company]], 91)</f>
        <v>5.5E-2</v>
      </c>
      <c r="Q186" s="170" t="str" cm="1">
        <f t="array" ref="Q186">Common_InputFunctions.Utility_DisplayArrayInTable(Fertiliser_SourceData.Fertiliser_Products_Data4(),FertiliserProducts[[#Headers],[Company]], 91)</f>
        <v>Nitrogen - Ammoniacal</v>
      </c>
      <c r="R186" s="170" cm="1">
        <f t="array" ref="R186">Common_InputFunctions.Utility_DisplayArrayInTable(Fertiliser_SourceData.Fertiliser_Products_Data4(),FertiliserProducts[[#Headers],[Company]], 91)</f>
        <v>0.124</v>
      </c>
      <c r="S186" s="170" t="str" cm="1">
        <f t="array" ref="S186">Common_InputFunctions.Utility_DisplayArrayInTable(Fertiliser_SourceData.Fertiliser_Products_Data4(),FertiliserProducts[[#Headers],[Company]], 91)</f>
        <v>Potassium - Generic</v>
      </c>
      <c r="T186" s="170" cm="1">
        <f t="array" ref="T186">Common_InputFunctions.Utility_DisplayArrayInTable(Fertiliser_SourceData.Fertiliser_Products_Data4(),FertiliserProducts[[#Headers],[Company]], 91)</f>
        <v>0.15</v>
      </c>
      <c r="U186" s="170" t="str" cm="1">
        <f t="array" ref="U186">Common_InputFunctions.Utility_DisplayArrayInTable(Fertiliser_SourceData.Fertiliser_Products_Data4(),FertiliserProducts[[#Headers],[Company]], 91)</f>
        <v>Sulfur - Generic</v>
      </c>
      <c r="V186" s="170" cm="1">
        <f t="array" ref="V186">Common_InputFunctions.Utility_DisplayArrayInTable(Fertiliser_SourceData.Fertiliser_Products_Data4(),FertiliserProducts[[#Headers],[Company]], 91)</f>
        <v>3.5999999999999997E-2</v>
      </c>
      <c r="W186" s="170" t="str" cm="1">
        <f t="array" ref="W186">Common_InputFunctions.Utility_DisplayArrayInTable(Fertiliser_SourceData.Fertiliser_Products_Data4(),FertiliserProducts[[#Headers],[Company]], 91)</f>
        <v>Calcium</v>
      </c>
      <c r="X186" s="170" cm="1">
        <f t="array" ref="X186">Common_InputFunctions.Utility_DisplayArrayInTable(Fertiliser_SourceData.Fertiliser_Products_Data4(),FertiliserProducts[[#Headers],[Company]], 91)</f>
        <v>4.3999999999999997E-2</v>
      </c>
      <c r="Y186" s="170" t="str" cm="1">
        <f t="array" ref="Y186">Common_InputFunctions.Utility_DisplayArrayInTable(Fertiliser_SourceData.Fertiliser_Products_Data4(),FertiliserProducts[[#Headers],[Company]], 91)</f>
        <v/>
      </c>
      <c r="Z186" s="170" t="str" cm="1">
        <f t="array" ref="Z186">Common_InputFunctions.Utility_DisplayArrayInTable(Fertiliser_SourceData.Fertiliser_Products_Data4(),FertiliserProducts[[#Headers],[Company]], 91)</f>
        <v/>
      </c>
      <c r="AA186" s="170" t="str" cm="1">
        <f t="array" ref="AA186">Common_InputFunctions.Utility_DisplayArrayInTable(Fertiliser_SourceData.Fertiliser_Products_Data4(),FertiliserProducts[[#Headers],[Company]], 91)</f>
        <v/>
      </c>
      <c r="AB186" s="170" t="str" cm="1">
        <f t="array" ref="AB186">Common_InputFunctions.Utility_DisplayArrayInTable(Fertiliser_SourceData.Fertiliser_Products_Data4(),FertiliserProducts[[#Headers],[Company]], 91)</f>
        <v/>
      </c>
      <c r="AC186" s="170" t="str" cm="1">
        <f t="array" ref="AC186">Common_InputFunctions.Utility_DisplayArrayInTable(Fertiliser_SourceData.Fertiliser_Products_Data4(),FertiliserProducts[[#Headers],[Company]], 91)</f>
        <v/>
      </c>
      <c r="AD186" s="170" t="str" cm="1">
        <f t="array" ref="AD186">Common_InputFunctions.Utility_DisplayArrayInTable(Fertiliser_SourceData.Fertiliser_Products_Data4(),FertiliserProducts[[#Headers],[Company]], 91)</f>
        <v/>
      </c>
      <c r="AE186" s="170" t="str" cm="1">
        <f t="array" ref="AE186">Common_InputFunctions.Utility_DisplayArrayInTable(Fertiliser_SourceData.Fertiliser_Products_Data4(),FertiliserProducts[[#Headers],[Company]], 91)</f>
        <v/>
      </c>
      <c r="AF186" s="170" t="str" cm="1">
        <f t="array" ref="AF186">Common_InputFunctions.Utility_DisplayArrayInTable(Fertiliser_SourceData.Fertiliser_Products_Data4(),FertiliserProducts[[#Headers],[Company]], 91)</f>
        <v/>
      </c>
      <c r="AG186" s="170" t="str" cm="1">
        <f t="array" ref="AG186">Common_InputFunctions.Utility_DisplayArrayInTable(Fertiliser_SourceData.Fertiliser_Products_Data4(),FertiliserProducts[[#Headers],[Company]], 91)</f>
        <v/>
      </c>
      <c r="AH186" s="170" t="str" cm="1">
        <f t="array" ref="AH186">Common_InputFunctions.Utility_DisplayArrayInTable(Fertiliser_SourceData.Fertiliser_Products_Data4(),FertiliserProducts[[#Headers],[Company]], 91)</f>
        <v/>
      </c>
    </row>
    <row r="187" spans="1:37" ht="20.100000000000001" customHeight="1" x14ac:dyDescent="0.2">
      <c r="D187" s="170" t="str" cm="1">
        <f t="array" ref="D187">Common_InputFunctions.Utility_DisplayArrayInTable(Fertiliser_SourceData.Fertiliser_Products_Data4(),FertiliserProducts[[#Headers],[Company]], 91)</f>
        <v>Pacific Fertiliser / Incitec Pivot Fertilisers</v>
      </c>
      <c r="E187" s="170" t="str" cm="1">
        <f t="array" ref="E187">Common_InputFunctions.Utility_DisplayArrayInTable(Fertiliser_SourceData.Fertiliser_Products_Data4(),FertiliserProducts[[#Headers],[Company]], 91)</f>
        <v>Cal-Gran 50/50 (S)</v>
      </c>
      <c r="F187" s="170" t="str" cm="1">
        <f t="array" ref="F187">Common_InputFunctions.Utility_DisplayArrayInTable(Fertiliser_SourceData.Fertiliser_Products_Data4(),FertiliserProducts[[#Headers],[Company]], 91)</f>
        <v>kg</v>
      </c>
      <c r="G187" s="170" cm="1">
        <f t="array" ref="G187">Common_InputFunctions.Utility_DisplayArrayInTable(Fertiliser_SourceData.Fertiliser_Products_Data4(),FertiliserProducts[[#Headers],[Company]], 91)</f>
        <v>1</v>
      </c>
      <c r="H187" s="170" t="str" cm="1">
        <f t="array" ref="H187">Common_InputFunctions.Utility_DisplayArrayInTable(Fertiliser_SourceData.Fertiliser_Products_Data4(),FertiliserProducts[[#Headers],[Company]], 91)</f>
        <v/>
      </c>
      <c r="I187" s="170" t="str" cm="1">
        <f t="array" ref="I187">Common_InputFunctions.Utility_DisplayArrayInTable(Fertiliser_SourceData.Fertiliser_Products_Data4(),FertiliserProducts[[#Headers],[Company]], 91)</f>
        <v/>
      </c>
      <c r="J187" s="170" t="str" cm="1">
        <f t="array" ref="J187">Common_InputFunctions.Utility_DisplayArrayInTable(Fertiliser_SourceData.Fertiliser_Products_Data4(),FertiliserProducts[[#Headers],[Company]], 91)</f>
        <v/>
      </c>
      <c r="K187" s="170" cm="1">
        <f t="array" ref="K187">Common_InputFunctions.Utility_DisplayArrayInTable(Fertiliser_SourceData.Fertiliser_Products_Data4(),FertiliserProducts[[#Headers],[Company]], 91)</f>
        <v>16.899999999999999</v>
      </c>
      <c r="L187" s="170" t="str" cm="1">
        <f t="array" ref="L187">Common_InputFunctions.Utility_DisplayArrayInTable(Fertiliser_SourceData.Fertiliser_Products_Data4(),FertiliserProducts[[#Headers],[Company]], 91)</f>
        <v/>
      </c>
      <c r="M187" s="170" cm="1">
        <f t="array" ref="M187">Common_InputFunctions.Utility_DisplayArrayInTable(Fertiliser_SourceData.Fertiliser_Products_Data4(),FertiliserProducts[[#Headers],[Company]], 91)</f>
        <v>14.4</v>
      </c>
      <c r="N187" s="170" cm="1">
        <f t="array" ref="N187">Common_InputFunctions.Utility_DisplayArrayInTable(Fertiliser_SourceData.Fertiliser_Products_Data4(),FertiliserProducts[[#Headers],[Company]], 91)</f>
        <v>8.6999999999999993</v>
      </c>
      <c r="O187" s="170" t="str" cm="1">
        <f t="array" ref="O187">Common_InputFunctions.Utility_DisplayArrayInTable(Fertiliser_SourceData.Fertiliser_Products_Data4(),FertiliserProducts[[#Headers],[Company]], 91)</f>
        <v>Nitrogen - Nitrate</v>
      </c>
      <c r="P187" s="170" cm="1">
        <f t="array" ref="P187">Common_InputFunctions.Utility_DisplayArrayInTable(Fertiliser_SourceData.Fertiliser_Products_Data4(),FertiliserProducts[[#Headers],[Company]], 91)</f>
        <v>5.1999999999999998E-2</v>
      </c>
      <c r="Q187" s="170" t="str" cm="1">
        <f t="array" ref="Q187">Common_InputFunctions.Utility_DisplayArrayInTable(Fertiliser_SourceData.Fertiliser_Products_Data4(),FertiliserProducts[[#Headers],[Company]], 91)</f>
        <v>Nitrogen - Ammoniacal</v>
      </c>
      <c r="R187" s="170" cm="1">
        <f t="array" ref="R187">Common_InputFunctions.Utility_DisplayArrayInTable(Fertiliser_SourceData.Fertiliser_Products_Data4(),FertiliserProducts[[#Headers],[Company]], 91)</f>
        <v>0.11700000000000001</v>
      </c>
      <c r="S187" s="170" t="str" cm="1">
        <f t="array" ref="S187">Common_InputFunctions.Utility_DisplayArrayInTable(Fertiliser_SourceData.Fertiliser_Products_Data4(),FertiliserProducts[[#Headers],[Company]], 91)</f>
        <v>Potassium - Generic</v>
      </c>
      <c r="T187" s="170" cm="1">
        <f t="array" ref="T187">Common_InputFunctions.Utility_DisplayArrayInTable(Fertiliser_SourceData.Fertiliser_Products_Data4(),FertiliserProducts[[#Headers],[Company]], 91)</f>
        <v>0.14399999999999999</v>
      </c>
      <c r="U187" s="170" t="str" cm="1">
        <f t="array" ref="U187">Common_InputFunctions.Utility_DisplayArrayInTable(Fertiliser_SourceData.Fertiliser_Products_Data4(),FertiliserProducts[[#Headers],[Company]], 91)</f>
        <v>Sulfur - Generic</v>
      </c>
      <c r="V187" s="170" cm="1">
        <f t="array" ref="V187">Common_InputFunctions.Utility_DisplayArrayInTable(Fertiliser_SourceData.Fertiliser_Products_Data4(),FertiliserProducts[[#Headers],[Company]], 91)</f>
        <v>8.6999999999999994E-2</v>
      </c>
      <c r="W187" s="170" t="str" cm="1">
        <f t="array" ref="W187">Common_InputFunctions.Utility_DisplayArrayInTable(Fertiliser_SourceData.Fertiliser_Products_Data4(),FertiliserProducts[[#Headers],[Company]], 91)</f>
        <v>Calcium</v>
      </c>
      <c r="X187" s="170" cm="1">
        <f t="array" ref="X187">Common_InputFunctions.Utility_DisplayArrayInTable(Fertiliser_SourceData.Fertiliser_Products_Data4(),FertiliserProducts[[#Headers],[Company]], 91)</f>
        <v>4.3999999999999997E-2</v>
      </c>
      <c r="Y187" s="170" t="str" cm="1">
        <f t="array" ref="Y187">Common_InputFunctions.Utility_DisplayArrayInTable(Fertiliser_SourceData.Fertiliser_Products_Data4(),FertiliserProducts[[#Headers],[Company]], 91)</f>
        <v/>
      </c>
      <c r="Z187" s="170" t="str" cm="1">
        <f t="array" ref="Z187">Common_InputFunctions.Utility_DisplayArrayInTable(Fertiliser_SourceData.Fertiliser_Products_Data4(),FertiliserProducts[[#Headers],[Company]], 91)</f>
        <v/>
      </c>
      <c r="AA187" s="170" t="str" cm="1">
        <f t="array" ref="AA187">Common_InputFunctions.Utility_DisplayArrayInTable(Fertiliser_SourceData.Fertiliser_Products_Data4(),FertiliserProducts[[#Headers],[Company]], 91)</f>
        <v/>
      </c>
      <c r="AB187" s="170" t="str" cm="1">
        <f t="array" ref="AB187">Common_InputFunctions.Utility_DisplayArrayInTable(Fertiliser_SourceData.Fertiliser_Products_Data4(),FertiliserProducts[[#Headers],[Company]], 91)</f>
        <v/>
      </c>
      <c r="AC187" s="170" t="str" cm="1">
        <f t="array" ref="AC187">Common_InputFunctions.Utility_DisplayArrayInTable(Fertiliser_SourceData.Fertiliser_Products_Data4(),FertiliserProducts[[#Headers],[Company]], 91)</f>
        <v/>
      </c>
      <c r="AD187" s="170" t="str" cm="1">
        <f t="array" ref="AD187">Common_InputFunctions.Utility_DisplayArrayInTable(Fertiliser_SourceData.Fertiliser_Products_Data4(),FertiliserProducts[[#Headers],[Company]], 91)</f>
        <v/>
      </c>
      <c r="AE187" s="170" t="str" cm="1">
        <f t="array" ref="AE187">Common_InputFunctions.Utility_DisplayArrayInTable(Fertiliser_SourceData.Fertiliser_Products_Data4(),FertiliserProducts[[#Headers],[Company]], 91)</f>
        <v/>
      </c>
      <c r="AF187" s="170" t="str" cm="1">
        <f t="array" ref="AF187">Common_InputFunctions.Utility_DisplayArrayInTable(Fertiliser_SourceData.Fertiliser_Products_Data4(),FertiliserProducts[[#Headers],[Company]], 91)</f>
        <v/>
      </c>
      <c r="AG187" s="170" t="str" cm="1">
        <f t="array" ref="AG187">Common_InputFunctions.Utility_DisplayArrayInTable(Fertiliser_SourceData.Fertiliser_Products_Data4(),FertiliserProducts[[#Headers],[Company]], 91)</f>
        <v/>
      </c>
      <c r="AH187" s="170" t="str" cm="1">
        <f t="array" ref="AH187">Common_InputFunctions.Utility_DisplayArrayInTable(Fertiliser_SourceData.Fertiliser_Products_Data4(),FertiliserProducts[[#Headers],[Company]], 91)</f>
        <v/>
      </c>
    </row>
    <row r="188" spans="1:37" ht="20.100000000000001" customHeight="1" x14ac:dyDescent="0.2">
      <c r="D188" s="170" t="str" cm="1">
        <f t="array" ref="D188">Common_InputFunctions.Utility_DisplayArrayInTable(Fertiliser_SourceData.Fertiliser_Products_Data4(),FertiliserProducts[[#Headers],[Company]], 91)</f>
        <v>Pacific Fertiliser / Incitec Pivot Fertilisers</v>
      </c>
      <c r="E188" s="170" t="str" cm="1">
        <f t="array" ref="E188">Common_InputFunctions.Utility_DisplayArrayInTable(Fertiliser_SourceData.Fertiliser_Products_Data4(),FertiliserProducts[[#Headers],[Company]], 91)</f>
        <v>Cal-Gran 130</v>
      </c>
      <c r="F188" s="170" t="str" cm="1">
        <f t="array" ref="F188">Common_InputFunctions.Utility_DisplayArrayInTable(Fertiliser_SourceData.Fertiliser_Products_Data4(),FertiliserProducts[[#Headers],[Company]], 91)</f>
        <v>kg</v>
      </c>
      <c r="G188" s="170" cm="1">
        <f t="array" ref="G188">Common_InputFunctions.Utility_DisplayArrayInTable(Fertiliser_SourceData.Fertiliser_Products_Data4(),FertiliserProducts[[#Headers],[Company]], 91)</f>
        <v>1</v>
      </c>
      <c r="H188" s="170" t="str" cm="1">
        <f t="array" ref="H188">Common_InputFunctions.Utility_DisplayArrayInTable(Fertiliser_SourceData.Fertiliser_Products_Data4(),FertiliserProducts[[#Headers],[Company]], 91)</f>
        <v/>
      </c>
      <c r="I188" s="170" t="str" cm="1">
        <f t="array" ref="I188">Common_InputFunctions.Utility_DisplayArrayInTable(Fertiliser_SourceData.Fertiliser_Products_Data4(),FertiliserProducts[[#Headers],[Company]], 91)</f>
        <v/>
      </c>
      <c r="J188" s="170" t="str" cm="1">
        <f t="array" ref="J188">Common_InputFunctions.Utility_DisplayArrayInTable(Fertiliser_SourceData.Fertiliser_Products_Data4(),FertiliserProducts[[#Headers],[Company]], 91)</f>
        <v/>
      </c>
      <c r="K188" s="170" cm="1">
        <f t="array" ref="K188">Common_InputFunctions.Utility_DisplayArrayInTable(Fertiliser_SourceData.Fertiliser_Products_Data4(),FertiliserProducts[[#Headers],[Company]], 91)</f>
        <v>18.8</v>
      </c>
      <c r="L188" s="170" cm="1">
        <f t="array" ref="L188">Common_InputFunctions.Utility_DisplayArrayInTable(Fertiliser_SourceData.Fertiliser_Products_Data4(),FertiliserProducts[[#Headers],[Company]], 91)</f>
        <v>1</v>
      </c>
      <c r="M188" s="170" cm="1">
        <f t="array" ref="M188">Common_InputFunctions.Utility_DisplayArrayInTable(Fertiliser_SourceData.Fertiliser_Products_Data4(),FertiliserProducts[[#Headers],[Company]], 91)</f>
        <v>12.5</v>
      </c>
      <c r="N188" s="170" cm="1">
        <f t="array" ref="N188">Common_InputFunctions.Utility_DisplayArrayInTable(Fertiliser_SourceData.Fertiliser_Products_Data4(),FertiliserProducts[[#Headers],[Company]], 91)</f>
        <v>3.7</v>
      </c>
      <c r="O188" s="170" t="str" cm="1">
        <f t="array" ref="O188">Common_InputFunctions.Utility_DisplayArrayInTable(Fertiliser_SourceData.Fertiliser_Products_Data4(),FertiliserProducts[[#Headers],[Company]], 91)</f>
        <v>Nitrogen - Nitrate</v>
      </c>
      <c r="P188" s="170" cm="1">
        <f t="array" ref="P188">Common_InputFunctions.Utility_DisplayArrayInTable(Fertiliser_SourceData.Fertiliser_Products_Data4(),FertiliserProducts[[#Headers],[Company]], 91)</f>
        <v>5.8000000000000003E-2</v>
      </c>
      <c r="Q188" s="170" t="str" cm="1">
        <f t="array" ref="Q188">Common_InputFunctions.Utility_DisplayArrayInTable(Fertiliser_SourceData.Fertiliser_Products_Data4(),FertiliserProducts[[#Headers],[Company]], 91)</f>
        <v>Nitrogen - Ammoniacal</v>
      </c>
      <c r="R188" s="170" cm="1">
        <f t="array" ref="R188">Common_InputFunctions.Utility_DisplayArrayInTable(Fertiliser_SourceData.Fertiliser_Products_Data4(),FertiliserProducts[[#Headers],[Company]], 91)</f>
        <v>0.13</v>
      </c>
      <c r="S188" s="170" t="str" cm="1">
        <f t="array" ref="S188">Common_InputFunctions.Utility_DisplayArrayInTable(Fertiliser_SourceData.Fertiliser_Products_Data4(),FertiliserProducts[[#Headers],[Company]], 91)</f>
        <v>Phosphorus - Generic</v>
      </c>
      <c r="T188" s="170" cm="1">
        <f t="array" ref="T188">Common_InputFunctions.Utility_DisplayArrayInTable(Fertiliser_SourceData.Fertiliser_Products_Data4(),FertiliserProducts[[#Headers],[Company]], 91)</f>
        <v>0.01</v>
      </c>
      <c r="U188" s="170" t="str" cm="1">
        <f t="array" ref="U188">Common_InputFunctions.Utility_DisplayArrayInTable(Fertiliser_SourceData.Fertiliser_Products_Data4(),FertiliserProducts[[#Headers],[Company]], 91)</f>
        <v>Potassium - Generic</v>
      </c>
      <c r="V188" s="170" cm="1">
        <f t="array" ref="V188">Common_InputFunctions.Utility_DisplayArrayInTable(Fertiliser_SourceData.Fertiliser_Products_Data4(),FertiliserProducts[[#Headers],[Company]], 91)</f>
        <v>0.125</v>
      </c>
      <c r="W188" s="170" t="str" cm="1">
        <f t="array" ref="W188">Common_InputFunctions.Utility_DisplayArrayInTable(Fertiliser_SourceData.Fertiliser_Products_Data4(),FertiliserProducts[[#Headers],[Company]], 91)</f>
        <v>Sulfur - Generic</v>
      </c>
      <c r="X188" s="170" cm="1">
        <f t="array" ref="X188">Common_InputFunctions.Utility_DisplayArrayInTable(Fertiliser_SourceData.Fertiliser_Products_Data4(),FertiliserProducts[[#Headers],[Company]], 91)</f>
        <v>3.6999999999999998E-2</v>
      </c>
      <c r="Y188" s="170" t="str" cm="1">
        <f t="array" ref="Y188">Common_InputFunctions.Utility_DisplayArrayInTable(Fertiliser_SourceData.Fertiliser_Products_Data4(),FertiliserProducts[[#Headers],[Company]], 91)</f>
        <v>Calcium</v>
      </c>
      <c r="Z188" s="170" cm="1">
        <f t="array" ref="Z188">Common_InputFunctions.Utility_DisplayArrayInTable(Fertiliser_SourceData.Fertiliser_Products_Data4(),FertiliserProducts[[#Headers],[Company]], 91)</f>
        <v>4.3999999999999997E-2</v>
      </c>
      <c r="AA188" s="170" t="str" cm="1">
        <f t="array" ref="AA188">Common_InputFunctions.Utility_DisplayArrayInTable(Fertiliser_SourceData.Fertiliser_Products_Data4(),FertiliserProducts[[#Headers],[Company]], 91)</f>
        <v/>
      </c>
      <c r="AB188" s="170" t="str" cm="1">
        <f t="array" ref="AB188">Common_InputFunctions.Utility_DisplayArrayInTable(Fertiliser_SourceData.Fertiliser_Products_Data4(),FertiliserProducts[[#Headers],[Company]], 91)</f>
        <v/>
      </c>
      <c r="AC188" s="170" t="str" cm="1">
        <f t="array" ref="AC188">Common_InputFunctions.Utility_DisplayArrayInTable(Fertiliser_SourceData.Fertiliser_Products_Data4(),FertiliserProducts[[#Headers],[Company]], 91)</f>
        <v/>
      </c>
      <c r="AD188" s="170" t="str" cm="1">
        <f t="array" ref="AD188">Common_InputFunctions.Utility_DisplayArrayInTable(Fertiliser_SourceData.Fertiliser_Products_Data4(),FertiliserProducts[[#Headers],[Company]], 91)</f>
        <v/>
      </c>
      <c r="AE188" s="170" t="str" cm="1">
        <f t="array" ref="AE188">Common_InputFunctions.Utility_DisplayArrayInTable(Fertiliser_SourceData.Fertiliser_Products_Data4(),FertiliserProducts[[#Headers],[Company]], 91)</f>
        <v/>
      </c>
      <c r="AF188" s="170" t="str" cm="1">
        <f t="array" ref="AF188">Common_InputFunctions.Utility_DisplayArrayInTable(Fertiliser_SourceData.Fertiliser_Products_Data4(),FertiliserProducts[[#Headers],[Company]], 91)</f>
        <v/>
      </c>
      <c r="AG188" s="170" t="str" cm="1">
        <f t="array" ref="AG188">Common_InputFunctions.Utility_DisplayArrayInTable(Fertiliser_SourceData.Fertiliser_Products_Data4(),FertiliserProducts[[#Headers],[Company]], 91)</f>
        <v/>
      </c>
      <c r="AH188" s="170" t="str" cm="1">
        <f t="array" ref="AH188">Common_InputFunctions.Utility_DisplayArrayInTable(Fertiliser_SourceData.Fertiliser_Products_Data4(),FertiliserProducts[[#Headers],[Company]], 91)</f>
        <v/>
      </c>
    </row>
    <row r="189" spans="1:37" ht="20.100000000000001" customHeight="1" x14ac:dyDescent="0.2">
      <c r="D189" s="170" t="str" cm="1">
        <f t="array" ref="D189">Common_InputFunctions.Utility_DisplayArrayInTable(Fertiliser_SourceData.Fertiliser_Products_Data4(),FertiliserProducts[[#Headers],[Company]], 91)</f>
        <v>Pacific Fertiliser / Incitec Pivot Fertilisers</v>
      </c>
      <c r="E189" s="170" t="str" cm="1">
        <f t="array" ref="E189">Common_InputFunctions.Utility_DisplayArrayInTable(Fertiliser_SourceData.Fertiliser_Products_Data4(),FertiliserProducts[[#Headers],[Company]], 91)</f>
        <v>Cal-Gran 150</v>
      </c>
      <c r="F189" s="170" t="str" cm="1">
        <f t="array" ref="F189">Common_InputFunctions.Utility_DisplayArrayInTable(Fertiliser_SourceData.Fertiliser_Products_Data4(),FertiliserProducts[[#Headers],[Company]], 91)</f>
        <v>kg</v>
      </c>
      <c r="G189" s="170" cm="1">
        <f t="array" ref="G189">Common_InputFunctions.Utility_DisplayArrayInTable(Fertiliser_SourceData.Fertiliser_Products_Data4(),FertiliserProducts[[#Headers],[Company]], 91)</f>
        <v>1</v>
      </c>
      <c r="H189" s="170" t="str" cm="1">
        <f t="array" ref="H189">Common_InputFunctions.Utility_DisplayArrayInTable(Fertiliser_SourceData.Fertiliser_Products_Data4(),FertiliserProducts[[#Headers],[Company]], 91)</f>
        <v/>
      </c>
      <c r="I189" s="170" t="str" cm="1">
        <f t="array" ref="I189">Common_InputFunctions.Utility_DisplayArrayInTable(Fertiliser_SourceData.Fertiliser_Products_Data4(),FertiliserProducts[[#Headers],[Company]], 91)</f>
        <v/>
      </c>
      <c r="J189" s="170" t="str" cm="1">
        <f t="array" ref="J189">Common_InputFunctions.Utility_DisplayArrayInTable(Fertiliser_SourceData.Fertiliser_Products_Data4(),FertiliserProducts[[#Headers],[Company]], 91)</f>
        <v/>
      </c>
      <c r="K189" s="170" cm="1">
        <f t="array" ref="K189">Common_InputFunctions.Utility_DisplayArrayInTable(Fertiliser_SourceData.Fertiliser_Products_Data4(),FertiliserProducts[[#Headers],[Company]], 91)</f>
        <v>18.600000000000001</v>
      </c>
      <c r="L189" s="170" cm="1">
        <f t="array" ref="L189">Common_InputFunctions.Utility_DisplayArrayInTable(Fertiliser_SourceData.Fertiliser_Products_Data4(),FertiliserProducts[[#Headers],[Company]], 91)</f>
        <v>3</v>
      </c>
      <c r="M189" s="170" cm="1">
        <f t="array" ref="M189">Common_InputFunctions.Utility_DisplayArrayInTable(Fertiliser_SourceData.Fertiliser_Products_Data4(),FertiliserProducts[[#Headers],[Company]], 91)</f>
        <v>12.5</v>
      </c>
      <c r="N189" s="170" cm="1">
        <f t="array" ref="N189">Common_InputFunctions.Utility_DisplayArrayInTable(Fertiliser_SourceData.Fertiliser_Products_Data4(),FertiliserProducts[[#Headers],[Company]], 91)</f>
        <v>1.4</v>
      </c>
      <c r="O189" s="170" t="str" cm="1">
        <f t="array" ref="O189">Common_InputFunctions.Utility_DisplayArrayInTable(Fertiliser_SourceData.Fertiliser_Products_Data4(),FertiliserProducts[[#Headers],[Company]], 91)</f>
        <v>Nitrogen - Nitrate</v>
      </c>
      <c r="P189" s="170" cm="1">
        <f t="array" ref="P189">Common_InputFunctions.Utility_DisplayArrayInTable(Fertiliser_SourceData.Fertiliser_Products_Data4(),FertiliserProducts[[#Headers],[Company]], 91)</f>
        <v>5.8000000000000003E-2</v>
      </c>
      <c r="Q189" s="170" t="str" cm="1">
        <f t="array" ref="Q189">Common_InputFunctions.Utility_DisplayArrayInTable(Fertiliser_SourceData.Fertiliser_Products_Data4(),FertiliserProducts[[#Headers],[Company]], 91)</f>
        <v>Nitrogen - Ammoniacal</v>
      </c>
      <c r="R189" s="170" cm="1">
        <f t="array" ref="R189">Common_InputFunctions.Utility_DisplayArrayInTable(Fertiliser_SourceData.Fertiliser_Products_Data4(),FertiliserProducts[[#Headers],[Company]], 91)</f>
        <v>0.128</v>
      </c>
      <c r="S189" s="170" t="str" cm="1">
        <f t="array" ref="S189">Common_InputFunctions.Utility_DisplayArrayInTable(Fertiliser_SourceData.Fertiliser_Products_Data4(),FertiliserProducts[[#Headers],[Company]], 91)</f>
        <v>Phosphorus - Generic</v>
      </c>
      <c r="T189" s="170" cm="1">
        <f t="array" ref="T189">Common_InputFunctions.Utility_DisplayArrayInTable(Fertiliser_SourceData.Fertiliser_Products_Data4(),FertiliserProducts[[#Headers],[Company]], 91)</f>
        <v>0.03</v>
      </c>
      <c r="U189" s="170" t="str" cm="1">
        <f t="array" ref="U189">Common_InputFunctions.Utility_DisplayArrayInTable(Fertiliser_SourceData.Fertiliser_Products_Data4(),FertiliserProducts[[#Headers],[Company]], 91)</f>
        <v>Potassium - Generic</v>
      </c>
      <c r="V189" s="170" cm="1">
        <f t="array" ref="V189">Common_InputFunctions.Utility_DisplayArrayInTable(Fertiliser_SourceData.Fertiliser_Products_Data4(),FertiliserProducts[[#Headers],[Company]], 91)</f>
        <v>0.125</v>
      </c>
      <c r="W189" s="170" t="str" cm="1">
        <f t="array" ref="W189">Common_InputFunctions.Utility_DisplayArrayInTable(Fertiliser_SourceData.Fertiliser_Products_Data4(),FertiliserProducts[[#Headers],[Company]], 91)</f>
        <v>Sulfur - Generic</v>
      </c>
      <c r="X189" s="170" cm="1">
        <f t="array" ref="X189">Common_InputFunctions.Utility_DisplayArrayInTable(Fertiliser_SourceData.Fertiliser_Products_Data4(),FertiliserProducts[[#Headers],[Company]], 91)</f>
        <v>1.4E-2</v>
      </c>
      <c r="Y189" s="170" t="str" cm="1">
        <f t="array" ref="Y189">Common_InputFunctions.Utility_DisplayArrayInTable(Fertiliser_SourceData.Fertiliser_Products_Data4(),FertiliserProducts[[#Headers],[Company]], 91)</f>
        <v>Calcium</v>
      </c>
      <c r="Z189" s="170" cm="1">
        <f t="array" ref="Z189">Common_InputFunctions.Utility_DisplayArrayInTable(Fertiliser_SourceData.Fertiliser_Products_Data4(),FertiliserProducts[[#Headers],[Company]], 91)</f>
        <v>4.3999999999999997E-2</v>
      </c>
      <c r="AA189" s="170" t="str" cm="1">
        <f t="array" ref="AA189">Common_InputFunctions.Utility_DisplayArrayInTable(Fertiliser_SourceData.Fertiliser_Products_Data4(),FertiliserProducts[[#Headers],[Company]], 91)</f>
        <v/>
      </c>
      <c r="AB189" s="170" t="str" cm="1">
        <f t="array" ref="AB189">Common_InputFunctions.Utility_DisplayArrayInTable(Fertiliser_SourceData.Fertiliser_Products_Data4(),FertiliserProducts[[#Headers],[Company]], 91)</f>
        <v/>
      </c>
      <c r="AC189" s="170" t="str" cm="1">
        <f t="array" ref="AC189">Common_InputFunctions.Utility_DisplayArrayInTable(Fertiliser_SourceData.Fertiliser_Products_Data4(),FertiliserProducts[[#Headers],[Company]], 91)</f>
        <v/>
      </c>
      <c r="AD189" s="170" t="str" cm="1">
        <f t="array" ref="AD189">Common_InputFunctions.Utility_DisplayArrayInTable(Fertiliser_SourceData.Fertiliser_Products_Data4(),FertiliserProducts[[#Headers],[Company]], 91)</f>
        <v/>
      </c>
      <c r="AE189" s="170" t="str" cm="1">
        <f t="array" ref="AE189">Common_InputFunctions.Utility_DisplayArrayInTable(Fertiliser_SourceData.Fertiliser_Products_Data4(),FertiliserProducts[[#Headers],[Company]], 91)</f>
        <v/>
      </c>
      <c r="AF189" s="170" t="str" cm="1">
        <f t="array" ref="AF189">Common_InputFunctions.Utility_DisplayArrayInTable(Fertiliser_SourceData.Fertiliser_Products_Data4(),FertiliserProducts[[#Headers],[Company]], 91)</f>
        <v/>
      </c>
      <c r="AG189" s="170" t="str" cm="1">
        <f t="array" ref="AG189">Common_InputFunctions.Utility_DisplayArrayInTable(Fertiliser_SourceData.Fertiliser_Products_Data4(),FertiliserProducts[[#Headers],[Company]], 91)</f>
        <v/>
      </c>
      <c r="AH189" s="170" t="str" cm="1">
        <f t="array" ref="AH189">Common_InputFunctions.Utility_DisplayArrayInTable(Fertiliser_SourceData.Fertiliser_Products_Data4(),FertiliserProducts[[#Headers],[Company]], 91)</f>
        <v/>
      </c>
    </row>
    <row r="190" spans="1:37" ht="20.100000000000001" customHeight="1" x14ac:dyDescent="0.2">
      <c r="D190" s="170" t="str" cm="1">
        <f t="array" ref="D190">Common_InputFunctions.Utility_DisplayArrayInTable(Fertiliser_SourceData.Fertiliser_Products_Data4(),FertiliserProducts[[#Headers],[Company]], 91)</f>
        <v>Pacific Fertiliser / Incitec Pivot Fertilisers</v>
      </c>
      <c r="E190" s="170" t="str" cm="1">
        <f t="array" ref="E190">Common_InputFunctions.Utility_DisplayArrayInTable(Fertiliser_SourceData.Fertiliser_Products_Data4(),FertiliserProducts[[#Headers],[Company]], 91)</f>
        <v>Cal-Gran Extra K</v>
      </c>
      <c r="F190" s="170" t="str" cm="1">
        <f t="array" ref="F190">Common_InputFunctions.Utility_DisplayArrayInTable(Fertiliser_SourceData.Fertiliser_Products_Data4(),FertiliserProducts[[#Headers],[Company]], 91)</f>
        <v>kg</v>
      </c>
      <c r="G190" s="170" cm="1">
        <f t="array" ref="G190">Common_InputFunctions.Utility_DisplayArrayInTable(Fertiliser_SourceData.Fertiliser_Products_Data4(),FertiliserProducts[[#Headers],[Company]], 91)</f>
        <v>1</v>
      </c>
      <c r="H190" s="170" t="str" cm="1">
        <f t="array" ref="H190">Common_InputFunctions.Utility_DisplayArrayInTable(Fertiliser_SourceData.Fertiliser_Products_Data4(),FertiliserProducts[[#Headers],[Company]], 91)</f>
        <v/>
      </c>
      <c r="I190" s="170" t="str" cm="1">
        <f t="array" ref="I190">Common_InputFunctions.Utility_DisplayArrayInTable(Fertiliser_SourceData.Fertiliser_Products_Data4(),FertiliserProducts[[#Headers],[Company]], 91)</f>
        <v/>
      </c>
      <c r="J190" s="170" t="str" cm="1">
        <f t="array" ref="J190">Common_InputFunctions.Utility_DisplayArrayInTable(Fertiliser_SourceData.Fertiliser_Products_Data4(),FertiliserProducts[[#Headers],[Company]], 91)</f>
        <v/>
      </c>
      <c r="K190" s="170" cm="1">
        <f t="array" ref="K190">Common_InputFunctions.Utility_DisplayArrayInTable(Fertiliser_SourceData.Fertiliser_Products_Data4(),FertiliserProducts[[#Headers],[Company]], 91)</f>
        <v>15.8</v>
      </c>
      <c r="L190" s="170" t="str" cm="1">
        <f t="array" ref="L190">Common_InputFunctions.Utility_DisplayArrayInTable(Fertiliser_SourceData.Fertiliser_Products_Data4(),FertiliserProducts[[#Headers],[Company]], 91)</f>
        <v/>
      </c>
      <c r="M190" s="170" cm="1">
        <f t="array" ref="M190">Common_InputFunctions.Utility_DisplayArrayInTable(Fertiliser_SourceData.Fertiliser_Products_Data4(),FertiliserProducts[[#Headers],[Company]], 91)</f>
        <v>19</v>
      </c>
      <c r="N190" s="170" cm="1">
        <f t="array" ref="N190">Common_InputFunctions.Utility_DisplayArrayInTable(Fertiliser_SourceData.Fertiliser_Products_Data4(),FertiliserProducts[[#Headers],[Company]], 91)</f>
        <v>3.2</v>
      </c>
      <c r="O190" s="170" t="str" cm="1">
        <f t="array" ref="O190">Common_InputFunctions.Utility_DisplayArrayInTable(Fertiliser_SourceData.Fertiliser_Products_Data4(),FertiliserProducts[[#Headers],[Company]], 91)</f>
        <v>Nitrogen - Nitrate</v>
      </c>
      <c r="P190" s="170" cm="1">
        <f t="array" ref="P190">Common_InputFunctions.Utility_DisplayArrayInTable(Fertiliser_SourceData.Fertiliser_Products_Data4(),FertiliserProducts[[#Headers],[Company]], 91)</f>
        <v>4.9000000000000002E-2</v>
      </c>
      <c r="Q190" s="170" t="str" cm="1">
        <f t="array" ref="Q190">Common_InputFunctions.Utility_DisplayArrayInTable(Fertiliser_SourceData.Fertiliser_Products_Data4(),FertiliserProducts[[#Headers],[Company]], 91)</f>
        <v>Nitrogen - Ammoniacal</v>
      </c>
      <c r="R190" s="170" cm="1">
        <f t="array" ref="R190">Common_InputFunctions.Utility_DisplayArrayInTable(Fertiliser_SourceData.Fertiliser_Products_Data4(),FertiliserProducts[[#Headers],[Company]], 91)</f>
        <v>0.109</v>
      </c>
      <c r="S190" s="170" t="str" cm="1">
        <f t="array" ref="S190">Common_InputFunctions.Utility_DisplayArrayInTable(Fertiliser_SourceData.Fertiliser_Products_Data4(),FertiliserProducts[[#Headers],[Company]], 91)</f>
        <v>Potassium - Generic</v>
      </c>
      <c r="T190" s="170" cm="1">
        <f t="array" ref="T190">Common_InputFunctions.Utility_DisplayArrayInTable(Fertiliser_SourceData.Fertiliser_Products_Data4(),FertiliserProducts[[#Headers],[Company]], 91)</f>
        <v>0.19</v>
      </c>
      <c r="U190" s="170" t="str" cm="1">
        <f t="array" ref="U190">Common_InputFunctions.Utility_DisplayArrayInTable(Fertiliser_SourceData.Fertiliser_Products_Data4(),FertiliserProducts[[#Headers],[Company]], 91)</f>
        <v>Sulfur - Generic</v>
      </c>
      <c r="V190" s="170" cm="1">
        <f t="array" ref="V190">Common_InputFunctions.Utility_DisplayArrayInTable(Fertiliser_SourceData.Fertiliser_Products_Data4(),FertiliserProducts[[#Headers],[Company]], 91)</f>
        <v>3.2000000000000001E-2</v>
      </c>
      <c r="W190" s="170" t="str" cm="1">
        <f t="array" ref="W190">Common_InputFunctions.Utility_DisplayArrayInTable(Fertiliser_SourceData.Fertiliser_Products_Data4(),FertiliserProducts[[#Headers],[Company]], 91)</f>
        <v>Calcium</v>
      </c>
      <c r="X190" s="170" cm="1">
        <f t="array" ref="X190">Common_InputFunctions.Utility_DisplayArrayInTable(Fertiliser_SourceData.Fertiliser_Products_Data4(),FertiliserProducts[[#Headers],[Company]], 91)</f>
        <v>3.9E-2</v>
      </c>
      <c r="Y190" s="170" t="str" cm="1">
        <f t="array" ref="Y190">Common_InputFunctions.Utility_DisplayArrayInTable(Fertiliser_SourceData.Fertiliser_Products_Data4(),FertiliserProducts[[#Headers],[Company]], 91)</f>
        <v/>
      </c>
      <c r="Z190" s="170" t="str" cm="1">
        <f t="array" ref="Z190">Common_InputFunctions.Utility_DisplayArrayInTable(Fertiliser_SourceData.Fertiliser_Products_Data4(),FertiliserProducts[[#Headers],[Company]], 91)</f>
        <v/>
      </c>
      <c r="AA190" s="170" t="str" cm="1">
        <f t="array" ref="AA190">Common_InputFunctions.Utility_DisplayArrayInTable(Fertiliser_SourceData.Fertiliser_Products_Data4(),FertiliserProducts[[#Headers],[Company]], 91)</f>
        <v/>
      </c>
      <c r="AB190" s="170" t="str" cm="1">
        <f t="array" ref="AB190">Common_InputFunctions.Utility_DisplayArrayInTable(Fertiliser_SourceData.Fertiliser_Products_Data4(),FertiliserProducts[[#Headers],[Company]], 91)</f>
        <v/>
      </c>
      <c r="AC190" s="170" t="str" cm="1">
        <f t="array" ref="AC190">Common_InputFunctions.Utility_DisplayArrayInTable(Fertiliser_SourceData.Fertiliser_Products_Data4(),FertiliserProducts[[#Headers],[Company]], 91)</f>
        <v/>
      </c>
      <c r="AD190" s="170" t="str" cm="1">
        <f t="array" ref="AD190">Common_InputFunctions.Utility_DisplayArrayInTable(Fertiliser_SourceData.Fertiliser_Products_Data4(),FertiliserProducts[[#Headers],[Company]], 91)</f>
        <v/>
      </c>
      <c r="AE190" s="170" t="str" cm="1">
        <f t="array" ref="AE190">Common_InputFunctions.Utility_DisplayArrayInTable(Fertiliser_SourceData.Fertiliser_Products_Data4(),FertiliserProducts[[#Headers],[Company]], 91)</f>
        <v/>
      </c>
      <c r="AF190" s="170" t="str" cm="1">
        <f t="array" ref="AF190">Common_InputFunctions.Utility_DisplayArrayInTable(Fertiliser_SourceData.Fertiliser_Products_Data4(),FertiliserProducts[[#Headers],[Company]], 91)</f>
        <v/>
      </c>
      <c r="AG190" s="170" t="str" cm="1">
        <f t="array" ref="AG190">Common_InputFunctions.Utility_DisplayArrayInTable(Fertiliser_SourceData.Fertiliser_Products_Data4(),FertiliserProducts[[#Headers],[Company]], 91)</f>
        <v/>
      </c>
      <c r="AH190" s="170" t="str" cm="1">
        <f t="array" ref="AH190">Common_InputFunctions.Utility_DisplayArrayInTable(Fertiliser_SourceData.Fertiliser_Products_Data4(),FertiliserProducts[[#Headers],[Company]], 91)</f>
        <v/>
      </c>
    </row>
    <row r="191" spans="1:37" ht="20.100000000000001" customHeight="1" x14ac:dyDescent="0.2">
      <c r="D191" s="170" t="str" cm="1">
        <f t="array" ref="D191">Common_InputFunctions.Utility_DisplayArrayInTable(Fertiliser_SourceData.Fertiliser_Products_Data4(),FertiliserProducts[[#Headers],[Company]], 91)</f>
        <v>Incitec Pivot Fertilisers</v>
      </c>
      <c r="E191" s="170" t="str" cm="1">
        <f t="array" ref="E191">Common_InputFunctions.Utility_DisplayArrayInTable(Fertiliser_SourceData.Fertiliser_Products_Data4(),FertiliserProducts[[#Headers],[Company]], 91)</f>
        <v>Dairy Pro</v>
      </c>
      <c r="F191" s="170" t="str" cm="1">
        <f t="array" ref="F191">Common_InputFunctions.Utility_DisplayArrayInTable(Fertiliser_SourceData.Fertiliser_Products_Data4(),FertiliserProducts[[#Headers],[Company]], 91)</f>
        <v>kg</v>
      </c>
      <c r="G191" s="170" cm="1">
        <f t="array" ref="G191">Common_InputFunctions.Utility_DisplayArrayInTable(Fertiliser_SourceData.Fertiliser_Products_Data4(),FertiliserProducts[[#Headers],[Company]], 91)</f>
        <v>1</v>
      </c>
      <c r="H191" s="170" t="str" cm="1">
        <f t="array" ref="H191">Common_InputFunctions.Utility_DisplayArrayInTable(Fertiliser_SourceData.Fertiliser_Products_Data4(),FertiliserProducts[[#Headers],[Company]], 91)</f>
        <v/>
      </c>
      <c r="I191" s="170" t="str" cm="1">
        <f t="array" ref="I191">Common_InputFunctions.Utility_DisplayArrayInTable(Fertiliser_SourceData.Fertiliser_Products_Data4(),FertiliserProducts[[#Headers],[Company]], 91)</f>
        <v/>
      </c>
      <c r="J191" s="170" t="str" cm="1">
        <f t="array" ref="J191">Common_InputFunctions.Utility_DisplayArrayInTable(Fertiliser_SourceData.Fertiliser_Products_Data4(),FertiliserProducts[[#Headers],[Company]], 91)</f>
        <v/>
      </c>
      <c r="K191" s="170" cm="1">
        <f t="array" ref="K191">Common_InputFunctions.Utility_DisplayArrayInTable(Fertiliser_SourceData.Fertiliser_Products_Data4(),FertiliserProducts[[#Headers],[Company]], 91)</f>
        <v>25.9</v>
      </c>
      <c r="L191" s="170" cm="1">
        <f t="array" ref="L191">Common_InputFunctions.Utility_DisplayArrayInTable(Fertiliser_SourceData.Fertiliser_Products_Data4(),FertiliserProducts[[#Headers],[Company]], 91)</f>
        <v>3.9</v>
      </c>
      <c r="M191" s="170" cm="1">
        <f t="array" ref="M191">Common_InputFunctions.Utility_DisplayArrayInTable(Fertiliser_SourceData.Fertiliser_Products_Data4(),FertiliserProducts[[#Headers],[Company]], 91)</f>
        <v>15.9</v>
      </c>
      <c r="N191" s="170" cm="1">
        <f t="array" ref="N191">Common_InputFunctions.Utility_DisplayArrayInTable(Fertiliser_SourceData.Fertiliser_Products_Data4(),FertiliserProducts[[#Headers],[Company]], 91)</f>
        <v>0.3</v>
      </c>
      <c r="O191" s="170" t="str" cm="1">
        <f t="array" ref="O191">Common_InputFunctions.Utility_DisplayArrayInTable(Fertiliser_SourceData.Fertiliser_Products_Data4(),FertiliserProducts[[#Headers],[Company]], 91)</f>
        <v>Nitrogen - Generic</v>
      </c>
      <c r="P191" s="170" cm="1">
        <f t="array" ref="P191">Common_InputFunctions.Utility_DisplayArrayInTable(Fertiliser_SourceData.Fertiliser_Products_Data4(),FertiliserProducts[[#Headers],[Company]], 91)</f>
        <v>0.25900000000000001</v>
      </c>
      <c r="Q191" s="170" t="str" cm="1">
        <f t="array" ref="Q191">Common_InputFunctions.Utility_DisplayArrayInTable(Fertiliser_SourceData.Fertiliser_Products_Data4(),FertiliserProducts[[#Headers],[Company]], 91)</f>
        <v>Phosphorus - Generic</v>
      </c>
      <c r="R191" s="170" cm="1">
        <f t="array" ref="R191">Common_InputFunctions.Utility_DisplayArrayInTable(Fertiliser_SourceData.Fertiliser_Products_Data4(),FertiliserProducts[[#Headers],[Company]], 91)</f>
        <v>3.9E-2</v>
      </c>
      <c r="S191" s="170" t="str" cm="1">
        <f t="array" ref="S191">Common_InputFunctions.Utility_DisplayArrayInTable(Fertiliser_SourceData.Fertiliser_Products_Data4(),FertiliserProducts[[#Headers],[Company]], 91)</f>
        <v>Potassium - Generic</v>
      </c>
      <c r="T191" s="170" cm="1">
        <f t="array" ref="T191">Common_InputFunctions.Utility_DisplayArrayInTable(Fertiliser_SourceData.Fertiliser_Products_Data4(),FertiliserProducts[[#Headers],[Company]], 91)</f>
        <v>0.159</v>
      </c>
      <c r="U191" s="170" t="str" cm="1">
        <f t="array" ref="U191">Common_InputFunctions.Utility_DisplayArrayInTable(Fertiliser_SourceData.Fertiliser_Products_Data4(),FertiliserProducts[[#Headers],[Company]], 91)</f>
        <v>Sulfur - Generic</v>
      </c>
      <c r="V191" s="170" cm="1">
        <f t="array" ref="V191">Common_InputFunctions.Utility_DisplayArrayInTable(Fertiliser_SourceData.Fertiliser_Products_Data4(),FertiliserProducts[[#Headers],[Company]], 91)</f>
        <v>3.0000000000000001E-3</v>
      </c>
      <c r="W191" s="170" t="str" cm="1">
        <f t="array" ref="W191">Common_InputFunctions.Utility_DisplayArrayInTable(Fertiliser_SourceData.Fertiliser_Products_Data4(),FertiliserProducts[[#Headers],[Company]], 91)</f>
        <v/>
      </c>
      <c r="X191" s="170" t="str" cm="1">
        <f t="array" ref="X191">Common_InputFunctions.Utility_DisplayArrayInTable(Fertiliser_SourceData.Fertiliser_Products_Data4(),FertiliserProducts[[#Headers],[Company]], 91)</f>
        <v/>
      </c>
      <c r="Y191" s="170" t="str" cm="1">
        <f t="array" ref="Y191">Common_InputFunctions.Utility_DisplayArrayInTable(Fertiliser_SourceData.Fertiliser_Products_Data4(),FertiliserProducts[[#Headers],[Company]], 91)</f>
        <v/>
      </c>
      <c r="Z191" s="170" t="str" cm="1">
        <f t="array" ref="Z191">Common_InputFunctions.Utility_DisplayArrayInTable(Fertiliser_SourceData.Fertiliser_Products_Data4(),FertiliserProducts[[#Headers],[Company]], 91)</f>
        <v/>
      </c>
      <c r="AA191" s="170" t="str" cm="1">
        <f t="array" ref="AA191">Common_InputFunctions.Utility_DisplayArrayInTable(Fertiliser_SourceData.Fertiliser_Products_Data4(),FertiliserProducts[[#Headers],[Company]], 91)</f>
        <v/>
      </c>
      <c r="AB191" s="170" t="str" cm="1">
        <f t="array" ref="AB191">Common_InputFunctions.Utility_DisplayArrayInTable(Fertiliser_SourceData.Fertiliser_Products_Data4(),FertiliserProducts[[#Headers],[Company]], 91)</f>
        <v/>
      </c>
      <c r="AC191" s="170" t="str" cm="1">
        <f t="array" ref="AC191">Common_InputFunctions.Utility_DisplayArrayInTable(Fertiliser_SourceData.Fertiliser_Products_Data4(),FertiliserProducts[[#Headers],[Company]], 91)</f>
        <v/>
      </c>
      <c r="AD191" s="170" t="str" cm="1">
        <f t="array" ref="AD191">Common_InputFunctions.Utility_DisplayArrayInTable(Fertiliser_SourceData.Fertiliser_Products_Data4(),FertiliserProducts[[#Headers],[Company]], 91)</f>
        <v/>
      </c>
      <c r="AE191" s="170" t="str" cm="1">
        <f t="array" ref="AE191">Common_InputFunctions.Utility_DisplayArrayInTable(Fertiliser_SourceData.Fertiliser_Products_Data4(),FertiliserProducts[[#Headers],[Company]], 91)</f>
        <v/>
      </c>
      <c r="AF191" s="170" t="str" cm="1">
        <f t="array" ref="AF191">Common_InputFunctions.Utility_DisplayArrayInTable(Fertiliser_SourceData.Fertiliser_Products_Data4(),FertiliserProducts[[#Headers],[Company]], 91)</f>
        <v/>
      </c>
      <c r="AG191" s="170" t="str" cm="1">
        <f t="array" ref="AG191">Common_InputFunctions.Utility_DisplayArrayInTable(Fertiliser_SourceData.Fertiliser_Products_Data4(),FertiliserProducts[[#Headers],[Company]], 91)</f>
        <v/>
      </c>
      <c r="AH191" s="170" t="str" cm="1">
        <f t="array" ref="AH191">Common_InputFunctions.Utility_DisplayArrayInTable(Fertiliser_SourceData.Fertiliser_Products_Data4(),FertiliserProducts[[#Headers],[Company]], 91)</f>
        <v/>
      </c>
    </row>
    <row r="192" spans="1:37" ht="20.100000000000001" customHeight="1" x14ac:dyDescent="0.2">
      <c r="D192" s="170" t="str" cm="1">
        <f t="array" ref="D192">Common_InputFunctions.Utility_DisplayArrayInTable(Fertiliser_SourceData.Fertiliser_Products_Data4(),FertiliserProducts[[#Headers],[Company]], 91)</f>
        <v>Yara Australia</v>
      </c>
      <c r="E192" s="170" t="str" cm="1">
        <f t="array" ref="E192">Common_InputFunctions.Utility_DisplayArrayInTable(Fertiliser_SourceData.Fertiliser_Products_Data4(),FertiliserProducts[[#Headers],[Company]], 91)</f>
        <v>YaraMila ACTYVA S</v>
      </c>
      <c r="F192" s="170" t="str" cm="1">
        <f t="array" ref="F192">Common_InputFunctions.Utility_DisplayArrayInTable(Fertiliser_SourceData.Fertiliser_Products_Data4(),FertiliserProducts[[#Headers],[Company]], 91)</f>
        <v>kg</v>
      </c>
      <c r="G192" s="170" cm="1">
        <f t="array" ref="G192">Common_InputFunctions.Utility_DisplayArrayInTable(Fertiliser_SourceData.Fertiliser_Products_Data4(),FertiliserProducts[[#Headers],[Company]], 91)</f>
        <v>1</v>
      </c>
      <c r="H192" s="170" t="str" cm="1">
        <f t="array" ref="H192">Common_InputFunctions.Utility_DisplayArrayInTable(Fertiliser_SourceData.Fertiliser_Products_Data4(),FertiliserProducts[[#Headers],[Company]], 91)</f>
        <v/>
      </c>
      <c r="I192" s="170" t="str" cm="1">
        <f t="array" ref="I192">Common_InputFunctions.Utility_DisplayArrayInTable(Fertiliser_SourceData.Fertiliser_Products_Data4(),FertiliserProducts[[#Headers],[Company]], 91)</f>
        <v/>
      </c>
      <c r="J192" s="170" t="str" cm="1">
        <f t="array" ref="J192">Common_InputFunctions.Utility_DisplayArrayInTable(Fertiliser_SourceData.Fertiliser_Products_Data4(),FertiliserProducts[[#Headers],[Company]], 91)</f>
        <v/>
      </c>
      <c r="K192" s="170" cm="1">
        <f t="array" ref="K192">Common_InputFunctions.Utility_DisplayArrayInTable(Fertiliser_SourceData.Fertiliser_Products_Data4(),FertiliserProducts[[#Headers],[Company]], 91)</f>
        <v>15.6</v>
      </c>
      <c r="L192" s="170" cm="1">
        <f t="array" ref="L192">Common_InputFunctions.Utility_DisplayArrayInTable(Fertiliser_SourceData.Fertiliser_Products_Data4(),FertiliserProducts[[#Headers],[Company]], 91)</f>
        <v>6.37</v>
      </c>
      <c r="M192" s="170" cm="1">
        <f t="array" ref="M192">Common_InputFunctions.Utility_DisplayArrayInTable(Fertiliser_SourceData.Fertiliser_Products_Data4(),FertiliserProducts[[#Headers],[Company]], 91)</f>
        <v>12.45</v>
      </c>
      <c r="N192" s="170" cm="1">
        <f t="array" ref="N192">Common_InputFunctions.Utility_DisplayArrayInTable(Fertiliser_SourceData.Fertiliser_Products_Data4(),FertiliserProducts[[#Headers],[Company]], 91)</f>
        <v>2.6</v>
      </c>
      <c r="O192" s="170" t="str" cm="1">
        <f t="array" ref="O192">Common_InputFunctions.Utility_DisplayArrayInTable(Fertiliser_SourceData.Fertiliser_Products_Data4(),FertiliserProducts[[#Headers],[Company]], 91)</f>
        <v>Nitrogen - Nitrate</v>
      </c>
      <c r="P192" s="170" cm="1">
        <f t="array" ref="P192">Common_InputFunctions.Utility_DisplayArrayInTable(Fertiliser_SourceData.Fertiliser_Products_Data4(),FertiliserProducts[[#Headers],[Company]], 91)</f>
        <v>5.8000000000000003E-2</v>
      </c>
      <c r="Q192" s="170" t="str" cm="1">
        <f t="array" ref="Q192">Common_InputFunctions.Utility_DisplayArrayInTable(Fertiliser_SourceData.Fertiliser_Products_Data4(),FertiliserProducts[[#Headers],[Company]], 91)</f>
        <v>Nitrogen - Ammoniacal</v>
      </c>
      <c r="R192" s="170" cm="1">
        <f t="array" ref="R192">Common_InputFunctions.Utility_DisplayArrayInTable(Fertiliser_SourceData.Fertiliser_Products_Data4(),FertiliserProducts[[#Headers],[Company]], 91)</f>
        <v>9.8000000000000004E-2</v>
      </c>
      <c r="S192" s="170" t="str" cm="1">
        <f t="array" ref="S192">Common_InputFunctions.Utility_DisplayArrayInTable(Fertiliser_SourceData.Fertiliser_Products_Data4(),FertiliserProducts[[#Headers],[Company]], 91)</f>
        <v>Phosphorus - Generic</v>
      </c>
      <c r="T192" s="170" cm="1">
        <f t="array" ref="T192">Common_InputFunctions.Utility_DisplayArrayInTable(Fertiliser_SourceData.Fertiliser_Products_Data4(),FertiliserProducts[[#Headers],[Company]], 91)</f>
        <v>6.3714000000000007E-2</v>
      </c>
      <c r="U192" s="170" t="str" cm="1">
        <f t="array" ref="U192">Common_InputFunctions.Utility_DisplayArrayInTable(Fertiliser_SourceData.Fertiliser_Products_Data4(),FertiliserProducts[[#Headers],[Company]], 91)</f>
        <v>Potassium - Generic</v>
      </c>
      <c r="V192" s="170" cm="1">
        <f t="array" ref="V192">Common_InputFunctions.Utility_DisplayArrayInTable(Fertiliser_SourceData.Fertiliser_Products_Data4(),FertiliserProducts[[#Headers],[Company]], 91)</f>
        <v>0.124515</v>
      </c>
      <c r="W192" s="170" t="str" cm="1">
        <f t="array" ref="W192">Common_InputFunctions.Utility_DisplayArrayInTable(Fertiliser_SourceData.Fertiliser_Products_Data4(),FertiliserProducts[[#Headers],[Company]], 91)</f>
        <v>Sulfur - Generic</v>
      </c>
      <c r="X192" s="170" cm="1">
        <f t="array" ref="X192">Common_InputFunctions.Utility_DisplayArrayInTable(Fertiliser_SourceData.Fertiliser_Products_Data4(),FertiliserProducts[[#Headers],[Company]], 91)</f>
        <v>2.5999999999999999E-2</v>
      </c>
      <c r="Y192" s="170" t="str" cm="1">
        <f t="array" ref="Y192">Common_InputFunctions.Utility_DisplayArrayInTable(Fertiliser_SourceData.Fertiliser_Products_Data4(),FertiliserProducts[[#Headers],[Company]], 91)</f>
        <v/>
      </c>
      <c r="Z192" s="170" t="str" cm="1">
        <f t="array" ref="Z192">Common_InputFunctions.Utility_DisplayArrayInTable(Fertiliser_SourceData.Fertiliser_Products_Data4(),FertiliserProducts[[#Headers],[Company]], 91)</f>
        <v/>
      </c>
      <c r="AA192" s="170" t="str" cm="1">
        <f t="array" ref="AA192">Common_InputFunctions.Utility_DisplayArrayInTable(Fertiliser_SourceData.Fertiliser_Products_Data4(),FertiliserProducts[[#Headers],[Company]], 91)</f>
        <v/>
      </c>
      <c r="AB192" s="170" t="str" cm="1">
        <f t="array" ref="AB192">Common_InputFunctions.Utility_DisplayArrayInTable(Fertiliser_SourceData.Fertiliser_Products_Data4(),FertiliserProducts[[#Headers],[Company]], 91)</f>
        <v/>
      </c>
      <c r="AC192" s="170" t="str" cm="1">
        <f t="array" ref="AC192">Common_InputFunctions.Utility_DisplayArrayInTable(Fertiliser_SourceData.Fertiliser_Products_Data4(),FertiliserProducts[[#Headers],[Company]], 91)</f>
        <v/>
      </c>
      <c r="AD192" s="170" t="str" cm="1">
        <f t="array" ref="AD192">Common_InputFunctions.Utility_DisplayArrayInTable(Fertiliser_SourceData.Fertiliser_Products_Data4(),FertiliserProducts[[#Headers],[Company]], 91)</f>
        <v/>
      </c>
      <c r="AE192" s="170" t="str" cm="1">
        <f t="array" ref="AE192">Common_InputFunctions.Utility_DisplayArrayInTable(Fertiliser_SourceData.Fertiliser_Products_Data4(),FertiliserProducts[[#Headers],[Company]], 91)</f>
        <v/>
      </c>
      <c r="AF192" s="170" t="str" cm="1">
        <f t="array" ref="AF192">Common_InputFunctions.Utility_DisplayArrayInTable(Fertiliser_SourceData.Fertiliser_Products_Data4(),FertiliserProducts[[#Headers],[Company]], 91)</f>
        <v/>
      </c>
      <c r="AG192" s="170" t="str" cm="1">
        <f t="array" ref="AG192">Common_InputFunctions.Utility_DisplayArrayInTable(Fertiliser_SourceData.Fertiliser_Products_Data4(),FertiliserProducts[[#Headers],[Company]], 91)</f>
        <v/>
      </c>
      <c r="AH192" s="170" t="str" cm="1">
        <f t="array" ref="AH192">Common_InputFunctions.Utility_DisplayArrayInTable(Fertiliser_SourceData.Fertiliser_Products_Data4(),FertiliserProducts[[#Headers],[Company]], 91)</f>
        <v/>
      </c>
    </row>
    <row r="193" spans="1:34" ht="20.100000000000001" customHeight="1" x14ac:dyDescent="0.2">
      <c r="D193" s="170" t="str" cm="1">
        <f t="array" ref="D193">Common_InputFunctions.Utility_DisplayArrayInTable(Fertiliser_SourceData.Fertiliser_Products_Data4(),FertiliserProducts[[#Headers],[Company]], 91)</f>
        <v>CSBP</v>
      </c>
      <c r="E193" s="170" t="str" cm="1">
        <f t="array" ref="E193">Common_InputFunctions.Utility_DisplayArrayInTable(Fertiliser_SourceData.Fertiliser_Products_Data4(),FertiliserProducts[[#Headers],[Company]], 91)</f>
        <v>Agflow Extra</v>
      </c>
      <c r="F193" s="170" t="str" cm="1">
        <f t="array" ref="F193">Common_InputFunctions.Utility_DisplayArrayInTable(Fertiliser_SourceData.Fertiliser_Products_Data4(),FertiliserProducts[[#Headers],[Company]], 91)</f>
        <v>kg</v>
      </c>
      <c r="G193" s="170" cm="1">
        <f t="array" ref="G193">Common_InputFunctions.Utility_DisplayArrayInTable(Fertiliser_SourceData.Fertiliser_Products_Data4(),FertiliserProducts[[#Headers],[Company]], 91)</f>
        <v>1</v>
      </c>
      <c r="H193" s="170" t="str" cm="1">
        <f t="array" ref="H193">Common_InputFunctions.Utility_DisplayArrayInTable(Fertiliser_SourceData.Fertiliser_Products_Data4(),FertiliserProducts[[#Headers],[Company]], 91)</f>
        <v/>
      </c>
      <c r="I193" s="170" t="str" cm="1">
        <f t="array" ref="I193">Common_InputFunctions.Utility_DisplayArrayInTable(Fertiliser_SourceData.Fertiliser_Products_Data4(),FertiliserProducts[[#Headers],[Company]], 91)</f>
        <v/>
      </c>
      <c r="J193" s="170" t="str" cm="1">
        <f t="array" ref="J193">Common_InputFunctions.Utility_DisplayArrayInTable(Fertiliser_SourceData.Fertiliser_Products_Data4(),FertiliserProducts[[#Headers],[Company]], 91)</f>
        <v/>
      </c>
      <c r="K193" s="170" cm="1">
        <f t="array" ref="K193">Common_InputFunctions.Utility_DisplayArrayInTable(Fertiliser_SourceData.Fertiliser_Products_Data4(),FertiliserProducts[[#Headers],[Company]], 91)</f>
        <v>11.15</v>
      </c>
      <c r="L193" s="170" cm="1">
        <f t="array" ref="L193">Common_InputFunctions.Utility_DisplayArrayInTable(Fertiliser_SourceData.Fertiliser_Products_Data4(),FertiliserProducts[[#Headers],[Company]], 91)</f>
        <v>17.52</v>
      </c>
      <c r="M193" s="170" t="str" cm="1">
        <f t="array" ref="M193">Common_InputFunctions.Utility_DisplayArrayInTable(Fertiliser_SourceData.Fertiliser_Products_Data4(),FertiliserProducts[[#Headers],[Company]], 91)</f>
        <v/>
      </c>
      <c r="N193" s="170" cm="1">
        <f t="array" ref="N193">Common_InputFunctions.Utility_DisplayArrayInTable(Fertiliser_SourceData.Fertiliser_Products_Data4(),FertiliserProducts[[#Headers],[Company]], 91)</f>
        <v>3.6</v>
      </c>
      <c r="O193" s="170" t="str" cm="1">
        <f t="array" ref="O193">Common_InputFunctions.Utility_DisplayArrayInTable(Fertiliser_SourceData.Fertiliser_Products_Data4(),FertiliserProducts[[#Headers],[Company]], 91)</f>
        <v>Monoammonium phosphate (MAP)</v>
      </c>
      <c r="P193" s="170" cm="1">
        <f t="array" ref="P193">Common_InputFunctions.Utility_DisplayArrayInTable(Fertiliser_SourceData.Fertiliser_Products_Data4(),FertiliserProducts[[#Headers],[Company]], 91)</f>
        <v>0.8</v>
      </c>
      <c r="Q193" s="170" t="str" cm="1">
        <f t="array" ref="Q193">Common_InputFunctions.Utility_DisplayArrayInTable(Fertiliser_SourceData.Fertiliser_Products_Data4(),FertiliserProducts[[#Headers],[Company]], 91)</f>
        <v>Sulphate of ammonia (SOA)</v>
      </c>
      <c r="R193" s="170" cm="1">
        <f t="array" ref="R193">Common_InputFunctions.Utility_DisplayArrayInTable(Fertiliser_SourceData.Fertiliser_Products_Data4(),FertiliserProducts[[#Headers],[Company]], 91)</f>
        <v>0.15</v>
      </c>
      <c r="S193" s="170" t="str" cm="1">
        <f t="array" ref="S193">Common_InputFunctions.Utility_DisplayArrayInTable(Fertiliser_SourceData.Fertiliser_Products_Data4(),FertiliserProducts[[#Headers],[Company]], 91)</f>
        <v>Copper</v>
      </c>
      <c r="T193" s="170" t="str" cm="1">
        <f t="array" ref="T193">Common_InputFunctions.Utility_DisplayArrayInTable(Fertiliser_SourceData.Fertiliser_Products_Data4(),FertiliserProducts[[#Headers],[Company]], 91)</f>
        <v>No data</v>
      </c>
      <c r="U193" s="170" t="str" cm="1">
        <f t="array" ref="U193">Common_InputFunctions.Utility_DisplayArrayInTable(Fertiliser_SourceData.Fertiliser_Products_Data4(),FertiliserProducts[[#Headers],[Company]], 91)</f>
        <v>Molybdenum</v>
      </c>
      <c r="V193" s="170" t="str" cm="1">
        <f t="array" ref="V193">Common_InputFunctions.Utility_DisplayArrayInTable(Fertiliser_SourceData.Fertiliser_Products_Data4(),FertiliserProducts[[#Headers],[Company]], 91)</f>
        <v>No data</v>
      </c>
      <c r="W193" s="170" t="str" cm="1">
        <f t="array" ref="W193">Common_InputFunctions.Utility_DisplayArrayInTable(Fertiliser_SourceData.Fertiliser_Products_Data4(),FertiliserProducts[[#Headers],[Company]], 91)</f>
        <v>Zinc</v>
      </c>
      <c r="X193" s="170" t="str" cm="1">
        <f t="array" ref="X193">Common_InputFunctions.Utility_DisplayArrayInTable(Fertiliser_SourceData.Fertiliser_Products_Data4(),FertiliserProducts[[#Headers],[Company]], 91)</f>
        <v>No data</v>
      </c>
      <c r="Y193" s="170" t="str" cm="1">
        <f t="array" ref="Y193">Common_InputFunctions.Utility_DisplayArrayInTable(Fertiliser_SourceData.Fertiliser_Products_Data4(),FertiliserProducts[[#Headers],[Company]], 91)</f>
        <v/>
      </c>
      <c r="Z193" s="170" t="str" cm="1">
        <f t="array" ref="Z193">Common_InputFunctions.Utility_DisplayArrayInTable(Fertiliser_SourceData.Fertiliser_Products_Data4(),FertiliserProducts[[#Headers],[Company]], 91)</f>
        <v/>
      </c>
      <c r="AA193" s="170" t="str" cm="1">
        <f t="array" ref="AA193">Common_InputFunctions.Utility_DisplayArrayInTable(Fertiliser_SourceData.Fertiliser_Products_Data4(),FertiliserProducts[[#Headers],[Company]], 91)</f>
        <v/>
      </c>
      <c r="AB193" s="170" t="str" cm="1">
        <f t="array" ref="AB193">Common_InputFunctions.Utility_DisplayArrayInTable(Fertiliser_SourceData.Fertiliser_Products_Data4(),FertiliserProducts[[#Headers],[Company]], 91)</f>
        <v/>
      </c>
      <c r="AC193" s="170" t="str" cm="1">
        <f t="array" ref="AC193">Common_InputFunctions.Utility_DisplayArrayInTable(Fertiliser_SourceData.Fertiliser_Products_Data4(),FertiliserProducts[[#Headers],[Company]], 91)</f>
        <v/>
      </c>
      <c r="AD193" s="170" t="str" cm="1">
        <f t="array" ref="AD193">Common_InputFunctions.Utility_DisplayArrayInTable(Fertiliser_SourceData.Fertiliser_Products_Data4(),FertiliserProducts[[#Headers],[Company]], 91)</f>
        <v/>
      </c>
      <c r="AE193" s="170" t="str" cm="1">
        <f t="array" ref="AE193">Common_InputFunctions.Utility_DisplayArrayInTable(Fertiliser_SourceData.Fertiliser_Products_Data4(),FertiliserProducts[[#Headers],[Company]], 91)</f>
        <v/>
      </c>
      <c r="AF193" s="170" t="str" cm="1">
        <f t="array" ref="AF193">Common_InputFunctions.Utility_DisplayArrayInTable(Fertiliser_SourceData.Fertiliser_Products_Data4(),FertiliserProducts[[#Headers],[Company]], 91)</f>
        <v/>
      </c>
      <c r="AG193" s="170" t="str" cm="1">
        <f t="array" ref="AG193">Common_InputFunctions.Utility_DisplayArrayInTable(Fertiliser_SourceData.Fertiliser_Products_Data4(),FertiliserProducts[[#Headers],[Company]], 91)</f>
        <v/>
      </c>
      <c r="AH193" s="170" t="str" cm="1">
        <f t="array" ref="AH193">Common_InputFunctions.Utility_DisplayArrayInTable(Fertiliser_SourceData.Fertiliser_Products_Data4(),FertiliserProducts[[#Headers],[Company]], 91)</f>
        <v/>
      </c>
    </row>
    <row r="194" spans="1:34" ht="20.100000000000001" customHeight="1" x14ac:dyDescent="0.2">
      <c r="D194" s="170" t="str" cm="1">
        <f t="array" ref="D194">Common_InputFunctions.Utility_DisplayArrayInTable(Fertiliser_SourceData.Fertiliser_Products_Data4(),FertiliserProducts[[#Headers],[Company]], 91)</f>
        <v>CSBP</v>
      </c>
      <c r="E194" s="170" t="str" cm="1">
        <f t="array" ref="E194">Common_InputFunctions.Utility_DisplayArrayInTable(Fertiliser_SourceData.Fertiliser_Products_Data4(),FertiliserProducts[[#Headers],[Company]], 91)</f>
        <v>Super &amp; Potash 3:1</v>
      </c>
      <c r="F194" s="170" t="str" cm="1">
        <f t="array" ref="F194">Common_InputFunctions.Utility_DisplayArrayInTable(Fertiliser_SourceData.Fertiliser_Products_Data4(),FertiliserProducts[[#Headers],[Company]], 91)</f>
        <v>kg</v>
      </c>
      <c r="G194" s="170" cm="1">
        <f t="array" ref="G194">Common_InputFunctions.Utility_DisplayArrayInTable(Fertiliser_SourceData.Fertiliser_Products_Data4(),FertiliserProducts[[#Headers],[Company]], 91)</f>
        <v>1</v>
      </c>
      <c r="H194" s="170" t="str" cm="1">
        <f t="array" ref="H194">Common_InputFunctions.Utility_DisplayArrayInTable(Fertiliser_SourceData.Fertiliser_Products_Data4(),FertiliserProducts[[#Headers],[Company]], 91)</f>
        <v/>
      </c>
      <c r="I194" s="170" t="str" cm="1">
        <f t="array" ref="I194">Common_InputFunctions.Utility_DisplayArrayInTable(Fertiliser_SourceData.Fertiliser_Products_Data4(),FertiliserProducts[[#Headers],[Company]], 91)</f>
        <v/>
      </c>
      <c r="J194" s="170" t="str" cm="1">
        <f t="array" ref="J194">Common_InputFunctions.Utility_DisplayArrayInTable(Fertiliser_SourceData.Fertiliser_Products_Data4(),FertiliserProducts[[#Headers],[Company]], 91)</f>
        <v/>
      </c>
      <c r="K194" s="170" t="str" cm="1">
        <f t="array" ref="K194">Common_InputFunctions.Utility_DisplayArrayInTable(Fertiliser_SourceData.Fertiliser_Products_Data4(),FertiliserProducts[[#Headers],[Company]], 91)</f>
        <v/>
      </c>
      <c r="L194" s="170" cm="1">
        <f t="array" ref="L194">Common_InputFunctions.Utility_DisplayArrayInTable(Fertiliser_SourceData.Fertiliser_Products_Data4(),FertiliserProducts[[#Headers],[Company]], 91)</f>
        <v>5.5</v>
      </c>
      <c r="M194" s="170" cm="1">
        <f t="array" ref="M194">Common_InputFunctions.Utility_DisplayArrayInTable(Fertiliser_SourceData.Fertiliser_Products_Data4(),FertiliserProducts[[#Headers],[Company]], 91)</f>
        <v>15</v>
      </c>
      <c r="N194" s="170" cm="1">
        <f t="array" ref="N194">Common_InputFunctions.Utility_DisplayArrayInTable(Fertiliser_SourceData.Fertiliser_Products_Data4(),FertiliserProducts[[#Headers],[Company]], 91)</f>
        <v>6.88</v>
      </c>
      <c r="O194" s="170" t="str" cm="1">
        <f t="array" ref="O194">Common_InputFunctions.Utility_DisplayArrayInTable(Fertiliser_SourceData.Fertiliser_Products_Data4(),FertiliserProducts[[#Headers],[Company]], 91)</f>
        <v>Single superphosphate (SSP)</v>
      </c>
      <c r="P194" s="170" cm="1">
        <f t="array" ref="P194">Common_InputFunctions.Utility_DisplayArrayInTable(Fertiliser_SourceData.Fertiliser_Products_Data4(),FertiliserProducts[[#Headers],[Company]], 91)</f>
        <v>0.625</v>
      </c>
      <c r="Q194" s="170" t="str" cm="1">
        <f t="array" ref="Q194">Common_InputFunctions.Utility_DisplayArrayInTable(Fertiliser_SourceData.Fertiliser_Products_Data4(),FertiliserProducts[[#Headers],[Company]], 91)</f>
        <v>Muriate of potash (MOP)</v>
      </c>
      <c r="R194" s="170" cm="1">
        <f t="array" ref="R194">Common_InputFunctions.Utility_DisplayArrayInTable(Fertiliser_SourceData.Fertiliser_Products_Data4(),FertiliserProducts[[#Headers],[Company]], 91)</f>
        <v>0.3</v>
      </c>
      <c r="S194" s="170" t="str" cm="1">
        <f t="array" ref="S194">Common_InputFunctions.Utility_DisplayArrayInTable(Fertiliser_SourceData.Fertiliser_Products_Data4(),FertiliserProducts[[#Headers],[Company]], 91)</f>
        <v/>
      </c>
      <c r="T194" s="170" t="str" cm="1">
        <f t="array" ref="T194">Common_InputFunctions.Utility_DisplayArrayInTable(Fertiliser_SourceData.Fertiliser_Products_Data4(),FertiliserProducts[[#Headers],[Company]], 91)</f>
        <v/>
      </c>
      <c r="U194" s="170" t="str" cm="1">
        <f t="array" ref="U194">Common_InputFunctions.Utility_DisplayArrayInTable(Fertiliser_SourceData.Fertiliser_Products_Data4(),FertiliserProducts[[#Headers],[Company]], 91)</f>
        <v/>
      </c>
      <c r="V194" s="170" t="str" cm="1">
        <f t="array" ref="V194">Common_InputFunctions.Utility_DisplayArrayInTable(Fertiliser_SourceData.Fertiliser_Products_Data4(),FertiliserProducts[[#Headers],[Company]], 91)</f>
        <v/>
      </c>
      <c r="W194" s="170" t="str" cm="1">
        <f t="array" ref="W194">Common_InputFunctions.Utility_DisplayArrayInTable(Fertiliser_SourceData.Fertiliser_Products_Data4(),FertiliserProducts[[#Headers],[Company]], 91)</f>
        <v/>
      </c>
      <c r="X194" s="170" t="str" cm="1">
        <f t="array" ref="X194">Common_InputFunctions.Utility_DisplayArrayInTable(Fertiliser_SourceData.Fertiliser_Products_Data4(),FertiliserProducts[[#Headers],[Company]], 91)</f>
        <v/>
      </c>
      <c r="Y194" s="170" t="str" cm="1">
        <f t="array" ref="Y194">Common_InputFunctions.Utility_DisplayArrayInTable(Fertiliser_SourceData.Fertiliser_Products_Data4(),FertiliserProducts[[#Headers],[Company]], 91)</f>
        <v/>
      </c>
      <c r="Z194" s="170" t="str" cm="1">
        <f t="array" ref="Z194">Common_InputFunctions.Utility_DisplayArrayInTable(Fertiliser_SourceData.Fertiliser_Products_Data4(),FertiliserProducts[[#Headers],[Company]], 91)</f>
        <v/>
      </c>
      <c r="AA194" s="170" t="str" cm="1">
        <f t="array" ref="AA194">Common_InputFunctions.Utility_DisplayArrayInTable(Fertiliser_SourceData.Fertiliser_Products_Data4(),FertiliserProducts[[#Headers],[Company]], 91)</f>
        <v/>
      </c>
      <c r="AB194" s="170" t="str" cm="1">
        <f t="array" ref="AB194">Common_InputFunctions.Utility_DisplayArrayInTable(Fertiliser_SourceData.Fertiliser_Products_Data4(),FertiliserProducts[[#Headers],[Company]], 91)</f>
        <v/>
      </c>
      <c r="AC194" s="170" t="str" cm="1">
        <f t="array" ref="AC194">Common_InputFunctions.Utility_DisplayArrayInTable(Fertiliser_SourceData.Fertiliser_Products_Data4(),FertiliserProducts[[#Headers],[Company]], 91)</f>
        <v/>
      </c>
      <c r="AD194" s="170" t="str" cm="1">
        <f t="array" ref="AD194">Common_InputFunctions.Utility_DisplayArrayInTable(Fertiliser_SourceData.Fertiliser_Products_Data4(),FertiliserProducts[[#Headers],[Company]], 91)</f>
        <v/>
      </c>
      <c r="AE194" s="170" t="str" cm="1">
        <f t="array" ref="AE194">Common_InputFunctions.Utility_DisplayArrayInTable(Fertiliser_SourceData.Fertiliser_Products_Data4(),FertiliserProducts[[#Headers],[Company]], 91)</f>
        <v/>
      </c>
      <c r="AF194" s="170" t="str" cm="1">
        <f t="array" ref="AF194">Common_InputFunctions.Utility_DisplayArrayInTable(Fertiliser_SourceData.Fertiliser_Products_Data4(),FertiliserProducts[[#Headers],[Company]], 91)</f>
        <v/>
      </c>
      <c r="AG194" s="170" t="str" cm="1">
        <f t="array" ref="AG194">Common_InputFunctions.Utility_DisplayArrayInTable(Fertiliser_SourceData.Fertiliser_Products_Data4(),FertiliserProducts[[#Headers],[Company]], 91)</f>
        <v/>
      </c>
      <c r="AH194" s="170" t="str" cm="1">
        <f t="array" ref="AH194">Common_InputFunctions.Utility_DisplayArrayInTable(Fertiliser_SourceData.Fertiliser_Products_Data4(),FertiliserProducts[[#Headers],[Company]], 91)</f>
        <v/>
      </c>
    </row>
    <row r="195" spans="1:34" ht="20.100000000000001" customHeight="1" x14ac:dyDescent="0.2">
      <c r="D195" s="170" t="str" cm="1">
        <f t="array" ref="D195">Common_InputFunctions.Utility_DisplayArrayInTable(Fertiliser_SourceData.Fertiliser_Products_Data4(),FertiliserProducts[[#Headers],[Company]], 91)</f>
        <v>Yara</v>
      </c>
      <c r="E195" s="170" t="str" cm="1">
        <f t="array" ref="E195">Common_InputFunctions.Utility_DisplayArrayInTable(Fertiliser_SourceData.Fertiliser_Products_Data4(),FertiliserProducts[[#Headers],[Company]], 91)</f>
        <v>YaraBela CAN-27</v>
      </c>
      <c r="F195" s="170" t="str" cm="1">
        <f t="array" ref="F195">Common_InputFunctions.Utility_DisplayArrayInTable(Fertiliser_SourceData.Fertiliser_Products_Data4(),FertiliserProducts[[#Headers],[Company]], 91)</f>
        <v>kg</v>
      </c>
      <c r="G195" s="170" cm="1">
        <f t="array" ref="G195">Common_InputFunctions.Utility_DisplayArrayInTable(Fertiliser_SourceData.Fertiliser_Products_Data4(),FertiliserProducts[[#Headers],[Company]], 91)</f>
        <v>1</v>
      </c>
      <c r="H195" s="170" t="str" cm="1">
        <f t="array" ref="H195">Common_InputFunctions.Utility_DisplayArrayInTable(Fertiliser_SourceData.Fertiliser_Products_Data4(),FertiliserProducts[[#Headers],[Company]], 91)</f>
        <v/>
      </c>
      <c r="I195" s="170" t="str" cm="1">
        <f t="array" ref="I195">Common_InputFunctions.Utility_DisplayArrayInTable(Fertiliser_SourceData.Fertiliser_Products_Data4(),FertiliserProducts[[#Headers],[Company]], 91)</f>
        <v/>
      </c>
      <c r="J195" s="170" t="str" cm="1">
        <f t="array" ref="J195">Common_InputFunctions.Utility_DisplayArrayInTable(Fertiliser_SourceData.Fertiliser_Products_Data4(),FertiliserProducts[[#Headers],[Company]], 91)</f>
        <v/>
      </c>
      <c r="K195" s="170" cm="1">
        <f t="array" ref="K195">Common_InputFunctions.Utility_DisplayArrayInTable(Fertiliser_SourceData.Fertiliser_Products_Data4(),FertiliserProducts[[#Headers],[Company]], 91)</f>
        <v>27</v>
      </c>
      <c r="L195" s="170" t="str" cm="1">
        <f t="array" ref="L195">Common_InputFunctions.Utility_DisplayArrayInTable(Fertiliser_SourceData.Fertiliser_Products_Data4(),FertiliserProducts[[#Headers],[Company]], 91)</f>
        <v/>
      </c>
      <c r="M195" s="170" t="str" cm="1">
        <f t="array" ref="M195">Common_InputFunctions.Utility_DisplayArrayInTable(Fertiliser_SourceData.Fertiliser_Products_Data4(),FertiliserProducts[[#Headers],[Company]], 91)</f>
        <v/>
      </c>
      <c r="N195" s="170" t="str" cm="1">
        <f t="array" ref="N195">Common_InputFunctions.Utility_DisplayArrayInTable(Fertiliser_SourceData.Fertiliser_Products_Data4(),FertiliserProducts[[#Headers],[Company]], 91)</f>
        <v/>
      </c>
      <c r="O195" s="170" t="str" cm="1">
        <f t="array" ref="O195">Common_InputFunctions.Utility_DisplayArrayInTable(Fertiliser_SourceData.Fertiliser_Products_Data4(),FertiliserProducts[[#Headers],[Company]], 91)</f>
        <v>Calcium ammonium nitrate (CAN)</v>
      </c>
      <c r="P195" s="170" cm="1">
        <f t="array" ref="P195">Common_InputFunctions.Utility_DisplayArrayInTable(Fertiliser_SourceData.Fertiliser_Products_Data4(),FertiliserProducts[[#Headers],[Company]], 91)</f>
        <v>1</v>
      </c>
      <c r="Q195" s="170" t="str" cm="1">
        <f t="array" ref="Q195">Common_InputFunctions.Utility_DisplayArrayInTable(Fertiliser_SourceData.Fertiliser_Products_Data4(),FertiliserProducts[[#Headers],[Company]], 91)</f>
        <v/>
      </c>
      <c r="R195" s="170" t="str" cm="1">
        <f t="array" ref="R195">Common_InputFunctions.Utility_DisplayArrayInTable(Fertiliser_SourceData.Fertiliser_Products_Data4(),FertiliserProducts[[#Headers],[Company]], 91)</f>
        <v/>
      </c>
      <c r="S195" s="170" t="str" cm="1">
        <f t="array" ref="S195">Common_InputFunctions.Utility_DisplayArrayInTable(Fertiliser_SourceData.Fertiliser_Products_Data4(),FertiliserProducts[[#Headers],[Company]], 91)</f>
        <v/>
      </c>
      <c r="T195" s="170" t="str" cm="1">
        <f t="array" ref="T195">Common_InputFunctions.Utility_DisplayArrayInTable(Fertiliser_SourceData.Fertiliser_Products_Data4(),FertiliserProducts[[#Headers],[Company]], 91)</f>
        <v/>
      </c>
      <c r="U195" s="170" t="str" cm="1">
        <f t="array" ref="U195">Common_InputFunctions.Utility_DisplayArrayInTable(Fertiliser_SourceData.Fertiliser_Products_Data4(),FertiliserProducts[[#Headers],[Company]], 91)</f>
        <v/>
      </c>
      <c r="V195" s="170" t="str" cm="1">
        <f t="array" ref="V195">Common_InputFunctions.Utility_DisplayArrayInTable(Fertiliser_SourceData.Fertiliser_Products_Data4(),FertiliserProducts[[#Headers],[Company]], 91)</f>
        <v/>
      </c>
      <c r="W195" s="170" t="str" cm="1">
        <f t="array" ref="W195">Common_InputFunctions.Utility_DisplayArrayInTable(Fertiliser_SourceData.Fertiliser_Products_Data4(),FertiliserProducts[[#Headers],[Company]], 91)</f>
        <v/>
      </c>
      <c r="X195" s="170" t="str" cm="1">
        <f t="array" ref="X195">Common_InputFunctions.Utility_DisplayArrayInTable(Fertiliser_SourceData.Fertiliser_Products_Data4(),FertiliserProducts[[#Headers],[Company]], 91)</f>
        <v/>
      </c>
      <c r="Y195" s="170" t="str" cm="1">
        <f t="array" ref="Y195">Common_InputFunctions.Utility_DisplayArrayInTable(Fertiliser_SourceData.Fertiliser_Products_Data4(),FertiliserProducts[[#Headers],[Company]], 91)</f>
        <v/>
      </c>
      <c r="Z195" s="170" t="str" cm="1">
        <f t="array" ref="Z195">Common_InputFunctions.Utility_DisplayArrayInTable(Fertiliser_SourceData.Fertiliser_Products_Data4(),FertiliserProducts[[#Headers],[Company]], 91)</f>
        <v/>
      </c>
      <c r="AA195" s="170" t="str" cm="1">
        <f t="array" ref="AA195">Common_InputFunctions.Utility_DisplayArrayInTable(Fertiliser_SourceData.Fertiliser_Products_Data4(),FertiliserProducts[[#Headers],[Company]], 91)</f>
        <v/>
      </c>
      <c r="AB195" s="170" t="str" cm="1">
        <f t="array" ref="AB195">Common_InputFunctions.Utility_DisplayArrayInTable(Fertiliser_SourceData.Fertiliser_Products_Data4(),FertiliserProducts[[#Headers],[Company]], 91)</f>
        <v/>
      </c>
      <c r="AC195" s="170" t="str" cm="1">
        <f t="array" ref="AC195">Common_InputFunctions.Utility_DisplayArrayInTable(Fertiliser_SourceData.Fertiliser_Products_Data4(),FertiliserProducts[[#Headers],[Company]], 91)</f>
        <v/>
      </c>
      <c r="AD195" s="170" t="str" cm="1">
        <f t="array" ref="AD195">Common_InputFunctions.Utility_DisplayArrayInTable(Fertiliser_SourceData.Fertiliser_Products_Data4(),FertiliserProducts[[#Headers],[Company]], 91)</f>
        <v/>
      </c>
      <c r="AE195" s="170" t="str" cm="1">
        <f t="array" ref="AE195">Common_InputFunctions.Utility_DisplayArrayInTable(Fertiliser_SourceData.Fertiliser_Products_Data4(),FertiliserProducts[[#Headers],[Company]], 91)</f>
        <v/>
      </c>
      <c r="AF195" s="170" t="str" cm="1">
        <f t="array" ref="AF195">Common_InputFunctions.Utility_DisplayArrayInTable(Fertiliser_SourceData.Fertiliser_Products_Data4(),FertiliserProducts[[#Headers],[Company]], 91)</f>
        <v/>
      </c>
      <c r="AG195" s="170" t="str" cm="1">
        <f t="array" ref="AG195">Common_InputFunctions.Utility_DisplayArrayInTable(Fertiliser_SourceData.Fertiliser_Products_Data4(),FertiliserProducts[[#Headers],[Company]], 91)</f>
        <v/>
      </c>
      <c r="AH195" s="170" t="str" cm="1">
        <f t="array" ref="AH195">Common_InputFunctions.Utility_DisplayArrayInTable(Fertiliser_SourceData.Fertiliser_Products_Data4(),FertiliserProducts[[#Headers],[Company]], 91)</f>
        <v/>
      </c>
    </row>
    <row r="196" spans="1:34" ht="20.100000000000001" customHeight="1" x14ac:dyDescent="0.2">
      <c r="D196" s="170" t="str" cm="1">
        <f t="array" ref="D196">Common_InputFunctions.Utility_DisplayArrayInTable(Fertiliser_SourceData.Fertiliser_Products_Data4(),FertiliserProducts[[#Headers],[Company]], 91)</f>
        <v>Incitec Pivot Fertilisers</v>
      </c>
      <c r="E196" s="170" t="str" cm="1">
        <f t="array" ref="E196">Common_InputFunctions.Utility_DisplayArrayInTable(Fertiliser_SourceData.Fertiliser_Products_Data4(),FertiliserProducts[[#Headers],[Company]], 91)</f>
        <v>Cal-Gran Aftergraze</v>
      </c>
      <c r="F196" s="170" t="str" cm="1">
        <f t="array" ref="F196">Common_InputFunctions.Utility_DisplayArrayInTable(Fertiliser_SourceData.Fertiliser_Products_Data4(),FertiliserProducts[[#Headers],[Company]], 91)</f>
        <v>kg</v>
      </c>
      <c r="G196" s="170" cm="1">
        <f t="array" ref="G196">Common_InputFunctions.Utility_DisplayArrayInTable(Fertiliser_SourceData.Fertiliser_Products_Data4(),FertiliserProducts[[#Headers],[Company]], 91)</f>
        <v>1</v>
      </c>
      <c r="H196" s="170" t="str" cm="1">
        <f t="array" ref="H196">Common_InputFunctions.Utility_DisplayArrayInTable(Fertiliser_SourceData.Fertiliser_Products_Data4(),FertiliserProducts[[#Headers],[Company]], 91)</f>
        <v/>
      </c>
      <c r="I196" s="170" t="str" cm="1">
        <f t="array" ref="I196">Common_InputFunctions.Utility_DisplayArrayInTable(Fertiliser_SourceData.Fertiliser_Products_Data4(),FertiliserProducts[[#Headers],[Company]], 91)</f>
        <v/>
      </c>
      <c r="J196" s="170" t="str" cm="1">
        <f t="array" ref="J196">Common_InputFunctions.Utility_DisplayArrayInTable(Fertiliser_SourceData.Fertiliser_Products_Data4(),FertiliserProducts[[#Headers],[Company]], 91)</f>
        <v/>
      </c>
      <c r="K196" s="170" cm="1">
        <f t="array" ref="K196">Common_InputFunctions.Utility_DisplayArrayInTable(Fertiliser_SourceData.Fertiliser_Products_Data4(),FertiliserProducts[[#Headers],[Company]], 91)</f>
        <v>20.6</v>
      </c>
      <c r="L196" s="170" cm="1">
        <f t="array" ref="L196">Common_InputFunctions.Utility_DisplayArrayInTable(Fertiliser_SourceData.Fertiliser_Products_Data4(),FertiliserProducts[[#Headers],[Company]], 91)</f>
        <v>3</v>
      </c>
      <c r="M196" s="170" cm="1">
        <f t="array" ref="M196">Common_InputFunctions.Utility_DisplayArrayInTable(Fertiliser_SourceData.Fertiliser_Products_Data4(),FertiliserProducts[[#Headers],[Company]], 91)</f>
        <v>7.5</v>
      </c>
      <c r="N196" s="170" cm="1">
        <f t="array" ref="N196">Common_InputFunctions.Utility_DisplayArrayInTable(Fertiliser_SourceData.Fertiliser_Products_Data4(),FertiliserProducts[[#Headers],[Company]], 91)</f>
        <v>3.8</v>
      </c>
      <c r="O196" s="170" t="str" cm="1">
        <f t="array" ref="O196">Common_InputFunctions.Utility_DisplayArrayInTable(Fertiliser_SourceData.Fertiliser_Products_Data4(),FertiliserProducts[[#Headers],[Company]], 91)</f>
        <v>Nitrogen - Nitrate</v>
      </c>
      <c r="P196" s="170" cm="1">
        <f t="array" ref="P196">Common_InputFunctions.Utility_DisplayArrayInTable(Fertiliser_SourceData.Fertiliser_Products_Data4(),FertiliserProducts[[#Headers],[Company]], 91)</f>
        <v>6.4000000000000001E-2</v>
      </c>
      <c r="Q196" s="170" t="str" cm="1">
        <f t="array" ref="Q196">Common_InputFunctions.Utility_DisplayArrayInTable(Fertiliser_SourceData.Fertiliser_Products_Data4(),FertiliserProducts[[#Headers],[Company]], 91)</f>
        <v>Nitrogen - Ammoniacal</v>
      </c>
      <c r="R196" s="170" cm="1">
        <f t="array" ref="R196">Common_InputFunctions.Utility_DisplayArrayInTable(Fertiliser_SourceData.Fertiliser_Products_Data4(),FertiliserProducts[[#Headers],[Company]], 91)</f>
        <v>0.14199999999999999</v>
      </c>
      <c r="S196" s="170" t="str" cm="1">
        <f t="array" ref="S196">Common_InputFunctions.Utility_DisplayArrayInTable(Fertiliser_SourceData.Fertiliser_Products_Data4(),FertiliserProducts[[#Headers],[Company]], 91)</f>
        <v>Phosphorus - Generic</v>
      </c>
      <c r="T196" s="170" cm="1">
        <f t="array" ref="T196">Common_InputFunctions.Utility_DisplayArrayInTable(Fertiliser_SourceData.Fertiliser_Products_Data4(),FertiliserProducts[[#Headers],[Company]], 91)</f>
        <v>0.03</v>
      </c>
      <c r="U196" s="170" t="str" cm="1">
        <f t="array" ref="U196">Common_InputFunctions.Utility_DisplayArrayInTable(Fertiliser_SourceData.Fertiliser_Products_Data4(),FertiliserProducts[[#Headers],[Company]], 91)</f>
        <v>Potassium - Generic</v>
      </c>
      <c r="V196" s="170" cm="1">
        <f t="array" ref="V196">Common_InputFunctions.Utility_DisplayArrayInTable(Fertiliser_SourceData.Fertiliser_Products_Data4(),FertiliserProducts[[#Headers],[Company]], 91)</f>
        <v>7.4999999999999997E-2</v>
      </c>
      <c r="W196" s="170" t="str" cm="1">
        <f t="array" ref="W196">Common_InputFunctions.Utility_DisplayArrayInTable(Fertiliser_SourceData.Fertiliser_Products_Data4(),FertiliserProducts[[#Headers],[Company]], 91)</f>
        <v>Sulfur - Generic</v>
      </c>
      <c r="X196" s="170" cm="1">
        <f t="array" ref="X196">Common_InputFunctions.Utility_DisplayArrayInTable(Fertiliser_SourceData.Fertiliser_Products_Data4(),FertiliserProducts[[#Headers],[Company]], 91)</f>
        <v>3.7999999999999999E-2</v>
      </c>
      <c r="Y196" s="170" t="str" cm="1">
        <f t="array" ref="Y196">Common_InputFunctions.Utility_DisplayArrayInTable(Fertiliser_SourceData.Fertiliser_Products_Data4(),FertiliserProducts[[#Headers],[Company]], 91)</f>
        <v>Calcium</v>
      </c>
      <c r="Z196" s="170" cm="1">
        <f t="array" ref="Z196">Common_InputFunctions.Utility_DisplayArrayInTable(Fertiliser_SourceData.Fertiliser_Products_Data4(),FertiliserProducts[[#Headers],[Company]], 91)</f>
        <v>4.3999999999999997E-2</v>
      </c>
      <c r="AA196" s="170" t="str" cm="1">
        <f t="array" ref="AA196">Common_InputFunctions.Utility_DisplayArrayInTable(Fertiliser_SourceData.Fertiliser_Products_Data4(),FertiliserProducts[[#Headers],[Company]], 91)</f>
        <v/>
      </c>
      <c r="AB196" s="170" t="str" cm="1">
        <f t="array" ref="AB196">Common_InputFunctions.Utility_DisplayArrayInTable(Fertiliser_SourceData.Fertiliser_Products_Data4(),FertiliserProducts[[#Headers],[Company]], 91)</f>
        <v/>
      </c>
      <c r="AC196" s="170" t="str" cm="1">
        <f t="array" ref="AC196">Common_InputFunctions.Utility_DisplayArrayInTable(Fertiliser_SourceData.Fertiliser_Products_Data4(),FertiliserProducts[[#Headers],[Company]], 91)</f>
        <v/>
      </c>
      <c r="AD196" s="170" t="str" cm="1">
        <f t="array" ref="AD196">Common_InputFunctions.Utility_DisplayArrayInTable(Fertiliser_SourceData.Fertiliser_Products_Data4(),FertiliserProducts[[#Headers],[Company]], 91)</f>
        <v/>
      </c>
      <c r="AE196" s="170" t="str" cm="1">
        <f t="array" ref="AE196">Common_InputFunctions.Utility_DisplayArrayInTable(Fertiliser_SourceData.Fertiliser_Products_Data4(),FertiliserProducts[[#Headers],[Company]], 91)</f>
        <v/>
      </c>
      <c r="AF196" s="170" t="str" cm="1">
        <f t="array" ref="AF196">Common_InputFunctions.Utility_DisplayArrayInTable(Fertiliser_SourceData.Fertiliser_Products_Data4(),FertiliserProducts[[#Headers],[Company]], 91)</f>
        <v/>
      </c>
      <c r="AG196" s="170" t="str" cm="1">
        <f t="array" ref="AG196">Common_InputFunctions.Utility_DisplayArrayInTable(Fertiliser_SourceData.Fertiliser_Products_Data4(),FertiliserProducts[[#Headers],[Company]], 91)</f>
        <v/>
      </c>
      <c r="AH196" s="170" t="str" cm="1">
        <f t="array" ref="AH196">Common_InputFunctions.Utility_DisplayArrayInTable(Fertiliser_SourceData.Fertiliser_Products_Data4(),FertiliserProducts[[#Headers],[Company]], 91)</f>
        <v/>
      </c>
    </row>
    <row r="197" spans="1:34" ht="20.100000000000001" customHeight="1" x14ac:dyDescent="0.2">
      <c r="D197" s="170" t="str" cm="1">
        <f t="array" ref="D197">Common_InputFunctions.Utility_DisplayArrayInTable(Fertiliser_SourceData.Fertiliser_Products_Data4(),FertiliserProducts[[#Headers],[Company]], 91)</f>
        <v>Incitec Pivot Fertilisers</v>
      </c>
      <c r="E197" s="170" t="str" cm="1">
        <f t="array" ref="E197">Common_InputFunctions.Utility_DisplayArrayInTable(Fertiliser_SourceData.Fertiliser_Products_Data4(),FertiliserProducts[[#Headers],[Company]], 91)</f>
        <v>Cal-Gran Prodress</v>
      </c>
      <c r="F197" s="170" t="str" cm="1">
        <f t="array" ref="F197">Common_InputFunctions.Utility_DisplayArrayInTable(Fertiliser_SourceData.Fertiliser_Products_Data4(),FertiliserProducts[[#Headers],[Company]], 91)</f>
        <v>kg</v>
      </c>
      <c r="G197" s="170" cm="1">
        <f t="array" ref="G197">Common_InputFunctions.Utility_DisplayArrayInTable(Fertiliser_SourceData.Fertiliser_Products_Data4(),FertiliserProducts[[#Headers],[Company]], 91)</f>
        <v>1</v>
      </c>
      <c r="H197" s="170" t="str" cm="1">
        <f t="array" ref="H197">Common_InputFunctions.Utility_DisplayArrayInTable(Fertiliser_SourceData.Fertiliser_Products_Data4(),FertiliserProducts[[#Headers],[Company]], 91)</f>
        <v/>
      </c>
      <c r="I197" s="170" t="str" cm="1">
        <f t="array" ref="I197">Common_InputFunctions.Utility_DisplayArrayInTable(Fertiliser_SourceData.Fertiliser_Products_Data4(),FertiliserProducts[[#Headers],[Company]], 91)</f>
        <v/>
      </c>
      <c r="J197" s="170" t="str" cm="1">
        <f t="array" ref="J197">Common_InputFunctions.Utility_DisplayArrayInTable(Fertiliser_SourceData.Fertiliser_Products_Data4(),FertiliserProducts[[#Headers],[Company]], 91)</f>
        <v/>
      </c>
      <c r="K197" s="170" cm="1">
        <f t="array" ref="K197">Common_InputFunctions.Utility_DisplayArrayInTable(Fertiliser_SourceData.Fertiliser_Products_Data4(),FertiliserProducts[[#Headers],[Company]], 91)</f>
        <v>17.8</v>
      </c>
      <c r="L197" s="170" cm="1">
        <f t="array" ref="L197">Common_InputFunctions.Utility_DisplayArrayInTable(Fertiliser_SourceData.Fertiliser_Products_Data4(),FertiliserProducts[[#Headers],[Company]], 91)</f>
        <v>1</v>
      </c>
      <c r="M197" s="170" cm="1">
        <f t="array" ref="M197">Common_InputFunctions.Utility_DisplayArrayInTable(Fertiliser_SourceData.Fertiliser_Products_Data4(),FertiliserProducts[[#Headers],[Company]], 91)</f>
        <v>15</v>
      </c>
      <c r="N197" s="170" cm="1">
        <f t="array" ref="N197">Common_InputFunctions.Utility_DisplayArrayInTable(Fertiliser_SourceData.Fertiliser_Products_Data4(),FertiliserProducts[[#Headers],[Company]], 91)</f>
        <v>2.5</v>
      </c>
      <c r="O197" s="170" t="str" cm="1">
        <f t="array" ref="O197">Common_InputFunctions.Utility_DisplayArrayInTable(Fertiliser_SourceData.Fertiliser_Products_Data4(),FertiliserProducts[[#Headers],[Company]], 91)</f>
        <v>Nitrogen - Nitrate</v>
      </c>
      <c r="P197" s="170" cm="1">
        <f t="array" ref="P197">Common_InputFunctions.Utility_DisplayArrayInTable(Fertiliser_SourceData.Fertiliser_Products_Data4(),FertiliserProducts[[#Headers],[Company]], 91)</f>
        <v>5.5E-2</v>
      </c>
      <c r="Q197" s="170" t="str" cm="1">
        <f t="array" ref="Q197">Common_InputFunctions.Utility_DisplayArrayInTable(Fertiliser_SourceData.Fertiliser_Products_Data4(),FertiliserProducts[[#Headers],[Company]], 91)</f>
        <v>Nitrogen - Ammoniacal</v>
      </c>
      <c r="R197" s="170" cm="1">
        <f t="array" ref="R197">Common_InputFunctions.Utility_DisplayArrayInTable(Fertiliser_SourceData.Fertiliser_Products_Data4(),FertiliserProducts[[#Headers],[Company]], 91)</f>
        <v>0.123</v>
      </c>
      <c r="S197" s="170" t="str" cm="1">
        <f t="array" ref="S197">Common_InputFunctions.Utility_DisplayArrayInTable(Fertiliser_SourceData.Fertiliser_Products_Data4(),FertiliserProducts[[#Headers],[Company]], 91)</f>
        <v>Phosphorus - Generic</v>
      </c>
      <c r="T197" s="170" cm="1">
        <f t="array" ref="T197">Common_InputFunctions.Utility_DisplayArrayInTable(Fertiliser_SourceData.Fertiliser_Products_Data4(),FertiliserProducts[[#Headers],[Company]], 91)</f>
        <v>0.01</v>
      </c>
      <c r="U197" s="170" t="str" cm="1">
        <f t="array" ref="U197">Common_InputFunctions.Utility_DisplayArrayInTable(Fertiliser_SourceData.Fertiliser_Products_Data4(),FertiliserProducts[[#Headers],[Company]], 91)</f>
        <v>Potassium - Generic</v>
      </c>
      <c r="V197" s="170" cm="1">
        <f t="array" ref="V197">Common_InputFunctions.Utility_DisplayArrayInTable(Fertiliser_SourceData.Fertiliser_Products_Data4(),FertiliserProducts[[#Headers],[Company]], 91)</f>
        <v>0.15</v>
      </c>
      <c r="W197" s="170" t="str" cm="1">
        <f t="array" ref="W197">Common_InputFunctions.Utility_DisplayArrayInTable(Fertiliser_SourceData.Fertiliser_Products_Data4(),FertiliserProducts[[#Headers],[Company]], 91)</f>
        <v>Sulfur - Generic</v>
      </c>
      <c r="X197" s="170" cm="1">
        <f t="array" ref="X197">Common_InputFunctions.Utility_DisplayArrayInTable(Fertiliser_SourceData.Fertiliser_Products_Data4(),FertiliserProducts[[#Headers],[Company]], 91)</f>
        <v>2.5000000000000001E-2</v>
      </c>
      <c r="Y197" s="170" t="str" cm="1">
        <f t="array" ref="Y197">Common_InputFunctions.Utility_DisplayArrayInTable(Fertiliser_SourceData.Fertiliser_Products_Data4(),FertiliserProducts[[#Headers],[Company]], 91)</f>
        <v>Calcium</v>
      </c>
      <c r="Z197" s="170" cm="1">
        <f t="array" ref="Z197">Common_InputFunctions.Utility_DisplayArrayInTable(Fertiliser_SourceData.Fertiliser_Products_Data4(),FertiliserProducts[[#Headers],[Company]], 91)</f>
        <v>4.3999999999999997E-2</v>
      </c>
      <c r="AA197" s="170" t="str" cm="1">
        <f t="array" ref="AA197">Common_InputFunctions.Utility_DisplayArrayInTable(Fertiliser_SourceData.Fertiliser_Products_Data4(),FertiliserProducts[[#Headers],[Company]], 91)</f>
        <v/>
      </c>
      <c r="AB197" s="170" t="str" cm="1">
        <f t="array" ref="AB197">Common_InputFunctions.Utility_DisplayArrayInTable(Fertiliser_SourceData.Fertiliser_Products_Data4(),FertiliserProducts[[#Headers],[Company]], 91)</f>
        <v/>
      </c>
      <c r="AC197" s="170" t="str" cm="1">
        <f t="array" ref="AC197">Common_InputFunctions.Utility_DisplayArrayInTable(Fertiliser_SourceData.Fertiliser_Products_Data4(),FertiliserProducts[[#Headers],[Company]], 91)</f>
        <v/>
      </c>
      <c r="AD197" s="170" t="str" cm="1">
        <f t="array" ref="AD197">Common_InputFunctions.Utility_DisplayArrayInTable(Fertiliser_SourceData.Fertiliser_Products_Data4(),FertiliserProducts[[#Headers],[Company]], 91)</f>
        <v/>
      </c>
      <c r="AE197" s="170" t="str" cm="1">
        <f t="array" ref="AE197">Common_InputFunctions.Utility_DisplayArrayInTable(Fertiliser_SourceData.Fertiliser_Products_Data4(),FertiliserProducts[[#Headers],[Company]], 91)</f>
        <v/>
      </c>
      <c r="AF197" s="170" t="str" cm="1">
        <f t="array" ref="AF197">Common_InputFunctions.Utility_DisplayArrayInTable(Fertiliser_SourceData.Fertiliser_Products_Data4(),FertiliserProducts[[#Headers],[Company]], 91)</f>
        <v/>
      </c>
      <c r="AG197" s="170" t="str" cm="1">
        <f t="array" ref="AG197">Common_InputFunctions.Utility_DisplayArrayInTable(Fertiliser_SourceData.Fertiliser_Products_Data4(),FertiliserProducts[[#Headers],[Company]], 91)</f>
        <v/>
      </c>
      <c r="AH197" s="170" t="str" cm="1">
        <f t="array" ref="AH197">Common_InputFunctions.Utility_DisplayArrayInTable(Fertiliser_SourceData.Fertiliser_Products_Data4(),FertiliserProducts[[#Headers],[Company]], 91)</f>
        <v/>
      </c>
    </row>
    <row r="198" spans="1:34" ht="20.100000000000001" customHeight="1" x14ac:dyDescent="0.2">
      <c r="D198" s="170" t="str" cm="1">
        <f t="array" ref="D198">Common_InputFunctions.Utility_DisplayArrayInTable(Fertiliser_SourceData.Fertiliser_Products_Data4(),FertiliserProducts[[#Headers],[Company]], 91)</f>
        <v>Wengfu Australia</v>
      </c>
      <c r="E198" s="170" t="str" cm="1">
        <f t="array" ref="E198">Common_InputFunctions.Utility_DisplayArrayInTable(Fertiliser_SourceData.Fertiliser_Products_Data4(),FertiliserProducts[[#Headers],[Company]], 91)</f>
        <v>Wengfu PrimeZinc 10</v>
      </c>
      <c r="F198" s="170" t="str" cm="1">
        <f t="array" ref="F198">Common_InputFunctions.Utility_DisplayArrayInTable(Fertiliser_SourceData.Fertiliser_Products_Data4(),FertiliserProducts[[#Headers],[Company]], 91)</f>
        <v>kg</v>
      </c>
      <c r="G198" s="170" cm="1">
        <f t="array" ref="G198">Common_InputFunctions.Utility_DisplayArrayInTable(Fertiliser_SourceData.Fertiliser_Products_Data4(),FertiliserProducts[[#Headers],[Company]], 91)</f>
        <v>1</v>
      </c>
      <c r="H198" s="170" t="str" cm="1">
        <f t="array" ref="H198">Common_InputFunctions.Utility_DisplayArrayInTable(Fertiliser_SourceData.Fertiliser_Products_Data4(),FertiliserProducts[[#Headers],[Company]], 91)</f>
        <v/>
      </c>
      <c r="I198" s="170" t="str" cm="1">
        <f t="array" ref="I198">Common_InputFunctions.Utility_DisplayArrayInTable(Fertiliser_SourceData.Fertiliser_Products_Data4(),FertiliserProducts[[#Headers],[Company]], 91)</f>
        <v/>
      </c>
      <c r="J198" s="170" t="str" cm="1">
        <f t="array" ref="J198">Common_InputFunctions.Utility_DisplayArrayInTable(Fertiliser_SourceData.Fertiliser_Products_Data4(),FertiliserProducts[[#Headers],[Company]], 91)</f>
        <v/>
      </c>
      <c r="K198" s="170" cm="1">
        <f t="array" ref="K198">Common_InputFunctions.Utility_DisplayArrayInTable(Fertiliser_SourceData.Fertiliser_Products_Data4(),FertiliserProducts[[#Headers],[Company]], 91)</f>
        <v>10</v>
      </c>
      <c r="L198" s="170" cm="1">
        <f t="array" ref="L198">Common_InputFunctions.Utility_DisplayArrayInTable(Fertiliser_SourceData.Fertiliser_Products_Data4(),FertiliserProducts[[#Headers],[Company]], 91)</f>
        <v>22</v>
      </c>
      <c r="M198" s="170" t="str" cm="1">
        <f t="array" ref="M198">Common_InputFunctions.Utility_DisplayArrayInTable(Fertiliser_SourceData.Fertiliser_Products_Data4(),FertiliserProducts[[#Headers],[Company]], 91)</f>
        <v/>
      </c>
      <c r="N198" s="170" cm="1">
        <f t="array" ref="N198">Common_InputFunctions.Utility_DisplayArrayInTable(Fertiliser_SourceData.Fertiliser_Products_Data4(),FertiliserProducts[[#Headers],[Company]], 91)</f>
        <v>1.5</v>
      </c>
      <c r="O198" s="170" t="str" cm="1">
        <f t="array" ref="O198">Common_InputFunctions.Utility_DisplayArrayInTable(Fertiliser_SourceData.Fertiliser_Products_Data4(),FertiliserProducts[[#Headers],[Company]], 91)</f>
        <v>Nitrogen - Generic</v>
      </c>
      <c r="P198" s="170" cm="1">
        <f t="array" ref="P198">Common_InputFunctions.Utility_DisplayArrayInTable(Fertiliser_SourceData.Fertiliser_Products_Data4(),FertiliserProducts[[#Headers],[Company]], 91)</f>
        <v>0.1</v>
      </c>
      <c r="Q198" s="170" t="str" cm="1">
        <f t="array" ref="Q198">Common_InputFunctions.Utility_DisplayArrayInTable(Fertiliser_SourceData.Fertiliser_Products_Data4(),FertiliserProducts[[#Headers],[Company]], 91)</f>
        <v>Phosphorus - Generic</v>
      </c>
      <c r="R198" s="170" cm="1">
        <f t="array" ref="R198">Common_InputFunctions.Utility_DisplayArrayInTable(Fertiliser_SourceData.Fertiliser_Products_Data4(),FertiliserProducts[[#Headers],[Company]], 91)</f>
        <v>0.22</v>
      </c>
      <c r="S198" s="170" t="str" cm="1">
        <f t="array" ref="S198">Common_InputFunctions.Utility_DisplayArrayInTable(Fertiliser_SourceData.Fertiliser_Products_Data4(),FertiliserProducts[[#Headers],[Company]], 91)</f>
        <v>Sulfur - Generic</v>
      </c>
      <c r="T198" s="170" cm="1">
        <f t="array" ref="T198">Common_InputFunctions.Utility_DisplayArrayInTable(Fertiliser_SourceData.Fertiliser_Products_Data4(),FertiliserProducts[[#Headers],[Company]], 91)</f>
        <v>1.4999999999999999E-2</v>
      </c>
      <c r="U198" s="170" t="str" cm="1">
        <f t="array" ref="U198">Common_InputFunctions.Utility_DisplayArrayInTable(Fertiliser_SourceData.Fertiliser_Products_Data4(),FertiliserProducts[[#Headers],[Company]], 91)</f>
        <v>Zinc</v>
      </c>
      <c r="V198" s="170" cm="1">
        <f t="array" ref="V198">Common_InputFunctions.Utility_DisplayArrayInTable(Fertiliser_SourceData.Fertiliser_Products_Data4(),FertiliserProducts[[#Headers],[Company]], 91)</f>
        <v>0.01</v>
      </c>
      <c r="W198" s="170" t="str" cm="1">
        <f t="array" ref="W198">Common_InputFunctions.Utility_DisplayArrayInTable(Fertiliser_SourceData.Fertiliser_Products_Data4(),FertiliserProducts[[#Headers],[Company]], 91)</f>
        <v/>
      </c>
      <c r="X198" s="170" t="str" cm="1">
        <f t="array" ref="X198">Common_InputFunctions.Utility_DisplayArrayInTable(Fertiliser_SourceData.Fertiliser_Products_Data4(),FertiliserProducts[[#Headers],[Company]], 91)</f>
        <v/>
      </c>
      <c r="Y198" s="170" t="str" cm="1">
        <f t="array" ref="Y198">Common_InputFunctions.Utility_DisplayArrayInTable(Fertiliser_SourceData.Fertiliser_Products_Data4(),FertiliserProducts[[#Headers],[Company]], 91)</f>
        <v/>
      </c>
      <c r="Z198" s="170" t="str" cm="1">
        <f t="array" ref="Z198">Common_InputFunctions.Utility_DisplayArrayInTable(Fertiliser_SourceData.Fertiliser_Products_Data4(),FertiliserProducts[[#Headers],[Company]], 91)</f>
        <v/>
      </c>
      <c r="AA198" s="170" t="str" cm="1">
        <f t="array" ref="AA198">Common_InputFunctions.Utility_DisplayArrayInTable(Fertiliser_SourceData.Fertiliser_Products_Data4(),FertiliserProducts[[#Headers],[Company]], 91)</f>
        <v/>
      </c>
      <c r="AB198" s="170" t="str" cm="1">
        <f t="array" ref="AB198">Common_InputFunctions.Utility_DisplayArrayInTable(Fertiliser_SourceData.Fertiliser_Products_Data4(),FertiliserProducts[[#Headers],[Company]], 91)</f>
        <v/>
      </c>
      <c r="AC198" s="170" t="str" cm="1">
        <f t="array" ref="AC198">Common_InputFunctions.Utility_DisplayArrayInTable(Fertiliser_SourceData.Fertiliser_Products_Data4(),FertiliserProducts[[#Headers],[Company]], 91)</f>
        <v/>
      </c>
      <c r="AD198" s="170" t="str" cm="1">
        <f t="array" ref="AD198">Common_InputFunctions.Utility_DisplayArrayInTable(Fertiliser_SourceData.Fertiliser_Products_Data4(),FertiliserProducts[[#Headers],[Company]], 91)</f>
        <v/>
      </c>
      <c r="AE198" s="170" t="str" cm="1">
        <f t="array" ref="AE198">Common_InputFunctions.Utility_DisplayArrayInTable(Fertiliser_SourceData.Fertiliser_Products_Data4(),FertiliserProducts[[#Headers],[Company]], 91)</f>
        <v/>
      </c>
      <c r="AF198" s="170" t="str" cm="1">
        <f t="array" ref="AF198">Common_InputFunctions.Utility_DisplayArrayInTable(Fertiliser_SourceData.Fertiliser_Products_Data4(),FertiliserProducts[[#Headers],[Company]], 91)</f>
        <v/>
      </c>
      <c r="AG198" s="170" t="str" cm="1">
        <f t="array" ref="AG198">Common_InputFunctions.Utility_DisplayArrayInTable(Fertiliser_SourceData.Fertiliser_Products_Data4(),FertiliserProducts[[#Headers],[Company]], 91)</f>
        <v/>
      </c>
      <c r="AH198" s="170" t="str" cm="1">
        <f t="array" ref="AH198">Common_InputFunctions.Utility_DisplayArrayInTable(Fertiliser_SourceData.Fertiliser_Products_Data4(),FertiliserProducts[[#Headers],[Company]], 91)</f>
        <v/>
      </c>
    </row>
    <row r="199" spans="1:34" ht="20.100000000000001" customHeight="1" x14ac:dyDescent="0.2">
      <c r="D199" s="170" t="str" cm="1">
        <f t="array" ref="D199">Common_InputFunctions.Utility_DisplayArrayInTable(Fertiliser_SourceData.Fertiliser_Products_Data4(),FertiliserProducts[[#Headers],[Company]], 91)</f>
        <v>Wengfu Australia</v>
      </c>
      <c r="E199" s="170" t="str" cm="1">
        <f t="array" ref="E199">Common_InputFunctions.Utility_DisplayArrayInTable(Fertiliser_SourceData.Fertiliser_Products_Data4(),FertiliserProducts[[#Headers],[Company]], 91)</f>
        <v>Wengfu Pasture King</v>
      </c>
      <c r="F199" s="170" t="str" cm="1">
        <f t="array" ref="F199">Common_InputFunctions.Utility_DisplayArrayInTable(Fertiliser_SourceData.Fertiliser_Products_Data4(),FertiliserProducts[[#Headers],[Company]], 91)</f>
        <v>kg</v>
      </c>
      <c r="G199" s="170" cm="1">
        <f t="array" ref="G199">Common_InputFunctions.Utility_DisplayArrayInTable(Fertiliser_SourceData.Fertiliser_Products_Data4(),FertiliserProducts[[#Headers],[Company]], 91)</f>
        <v>1</v>
      </c>
      <c r="H199" s="170" t="str" cm="1">
        <f t="array" ref="H199">Common_InputFunctions.Utility_DisplayArrayInTable(Fertiliser_SourceData.Fertiliser_Products_Data4(),FertiliserProducts[[#Headers],[Company]], 91)</f>
        <v/>
      </c>
      <c r="I199" s="170" t="str" cm="1">
        <f t="array" ref="I199">Common_InputFunctions.Utility_DisplayArrayInTable(Fertiliser_SourceData.Fertiliser_Products_Data4(),FertiliserProducts[[#Headers],[Company]], 91)</f>
        <v/>
      </c>
      <c r="J199" s="170" t="str" cm="1">
        <f t="array" ref="J199">Common_InputFunctions.Utility_DisplayArrayInTable(Fertiliser_SourceData.Fertiliser_Products_Data4(),FertiliserProducts[[#Headers],[Company]], 91)</f>
        <v/>
      </c>
      <c r="K199" s="170" t="str" cm="1">
        <f t="array" ref="K199">Common_InputFunctions.Utility_DisplayArrayInTable(Fertiliser_SourceData.Fertiliser_Products_Data4(),FertiliserProducts[[#Headers],[Company]], 91)</f>
        <v/>
      </c>
      <c r="L199" s="170" cm="1">
        <f t="array" ref="L199">Common_InputFunctions.Utility_DisplayArrayInTable(Fertiliser_SourceData.Fertiliser_Products_Data4(),FertiliserProducts[[#Headers],[Company]], 91)</f>
        <v>15.7</v>
      </c>
      <c r="M199" s="170" t="str" cm="1">
        <f t="array" ref="M199">Common_InputFunctions.Utility_DisplayArrayInTable(Fertiliser_SourceData.Fertiliser_Products_Data4(),FertiliserProducts[[#Headers],[Company]], 91)</f>
        <v/>
      </c>
      <c r="N199" s="170" cm="1">
        <f t="array" ref="N199">Common_InputFunctions.Utility_DisplayArrayInTable(Fertiliser_SourceData.Fertiliser_Products_Data4(),FertiliserProducts[[#Headers],[Company]], 91)</f>
        <v>4.5999999999999996</v>
      </c>
      <c r="O199" s="170" t="str" cm="1">
        <f t="array" ref="O199">Common_InputFunctions.Utility_DisplayArrayInTable(Fertiliser_SourceData.Fertiliser_Products_Data4(),FertiliserProducts[[#Headers],[Company]], 91)</f>
        <v>Phosphorus - Generic</v>
      </c>
      <c r="P199" s="170" cm="1">
        <f t="array" ref="P199">Common_InputFunctions.Utility_DisplayArrayInTable(Fertiliser_SourceData.Fertiliser_Products_Data4(),FertiliserProducts[[#Headers],[Company]], 91)</f>
        <v>0.157</v>
      </c>
      <c r="Q199" s="170" t="str" cm="1">
        <f t="array" ref="Q199">Common_InputFunctions.Utility_DisplayArrayInTable(Fertiliser_SourceData.Fertiliser_Products_Data4(),FertiliserProducts[[#Headers],[Company]], 91)</f>
        <v>Sulfur - Generic</v>
      </c>
      <c r="R199" s="170" cm="1">
        <f t="array" ref="R199">Common_InputFunctions.Utility_DisplayArrayInTable(Fertiliser_SourceData.Fertiliser_Products_Data4(),FertiliserProducts[[#Headers],[Company]], 91)</f>
        <v>4.5999999999999999E-2</v>
      </c>
      <c r="S199" s="170" t="str" cm="1">
        <f t="array" ref="S199">Common_InputFunctions.Utility_DisplayArrayInTable(Fertiliser_SourceData.Fertiliser_Products_Data4(),FertiliserProducts[[#Headers],[Company]], 91)</f>
        <v>Calcium</v>
      </c>
      <c r="T199" s="170" cm="1">
        <f t="array" ref="T199">Common_InputFunctions.Utility_DisplayArrayInTable(Fertiliser_SourceData.Fertiliser_Products_Data4(),FertiliserProducts[[#Headers],[Company]], 91)</f>
        <v>0.14000000000000001</v>
      </c>
      <c r="U199" s="170" t="str" cm="1">
        <f t="array" ref="U199">Common_InputFunctions.Utility_DisplayArrayInTable(Fertiliser_SourceData.Fertiliser_Products_Data4(),FertiliserProducts[[#Headers],[Company]], 91)</f>
        <v/>
      </c>
      <c r="V199" s="170" t="str" cm="1">
        <f t="array" ref="V199">Common_InputFunctions.Utility_DisplayArrayInTable(Fertiliser_SourceData.Fertiliser_Products_Data4(),FertiliserProducts[[#Headers],[Company]], 91)</f>
        <v/>
      </c>
      <c r="W199" s="170" t="str" cm="1">
        <f t="array" ref="W199">Common_InputFunctions.Utility_DisplayArrayInTable(Fertiliser_SourceData.Fertiliser_Products_Data4(),FertiliserProducts[[#Headers],[Company]], 91)</f>
        <v/>
      </c>
      <c r="X199" s="170" t="str" cm="1">
        <f t="array" ref="X199">Common_InputFunctions.Utility_DisplayArrayInTable(Fertiliser_SourceData.Fertiliser_Products_Data4(),FertiliserProducts[[#Headers],[Company]], 91)</f>
        <v/>
      </c>
      <c r="Y199" s="170" t="str" cm="1">
        <f t="array" ref="Y199">Common_InputFunctions.Utility_DisplayArrayInTable(Fertiliser_SourceData.Fertiliser_Products_Data4(),FertiliserProducts[[#Headers],[Company]], 91)</f>
        <v/>
      </c>
      <c r="Z199" s="170" t="str" cm="1">
        <f t="array" ref="Z199">Common_InputFunctions.Utility_DisplayArrayInTable(Fertiliser_SourceData.Fertiliser_Products_Data4(),FertiliserProducts[[#Headers],[Company]], 91)</f>
        <v/>
      </c>
      <c r="AA199" s="170" t="str" cm="1">
        <f t="array" ref="AA199">Common_InputFunctions.Utility_DisplayArrayInTable(Fertiliser_SourceData.Fertiliser_Products_Data4(),FertiliserProducts[[#Headers],[Company]], 91)</f>
        <v/>
      </c>
      <c r="AB199" s="170" t="str" cm="1">
        <f t="array" ref="AB199">Common_InputFunctions.Utility_DisplayArrayInTable(Fertiliser_SourceData.Fertiliser_Products_Data4(),FertiliserProducts[[#Headers],[Company]], 91)</f>
        <v/>
      </c>
      <c r="AC199" s="170" t="str" cm="1">
        <f t="array" ref="AC199">Common_InputFunctions.Utility_DisplayArrayInTable(Fertiliser_SourceData.Fertiliser_Products_Data4(),FertiliserProducts[[#Headers],[Company]], 91)</f>
        <v/>
      </c>
      <c r="AD199" s="170" t="str" cm="1">
        <f t="array" ref="AD199">Common_InputFunctions.Utility_DisplayArrayInTable(Fertiliser_SourceData.Fertiliser_Products_Data4(),FertiliserProducts[[#Headers],[Company]], 91)</f>
        <v/>
      </c>
      <c r="AE199" s="170" t="str" cm="1">
        <f t="array" ref="AE199">Common_InputFunctions.Utility_DisplayArrayInTable(Fertiliser_SourceData.Fertiliser_Products_Data4(),FertiliserProducts[[#Headers],[Company]], 91)</f>
        <v/>
      </c>
      <c r="AF199" s="170" t="str" cm="1">
        <f t="array" ref="AF199">Common_InputFunctions.Utility_DisplayArrayInTable(Fertiliser_SourceData.Fertiliser_Products_Data4(),FertiliserProducts[[#Headers],[Company]], 91)</f>
        <v/>
      </c>
      <c r="AG199" s="170" t="str" cm="1">
        <f t="array" ref="AG199">Common_InputFunctions.Utility_DisplayArrayInTable(Fertiliser_SourceData.Fertiliser_Products_Data4(),FertiliserProducts[[#Headers],[Company]], 91)</f>
        <v/>
      </c>
      <c r="AH199" s="170" t="str" cm="1">
        <f t="array" ref="AH199">Common_InputFunctions.Utility_DisplayArrayInTable(Fertiliser_SourceData.Fertiliser_Products_Data4(),FertiliserProducts[[#Headers],[Company]], 91)</f>
        <v/>
      </c>
    </row>
    <row r="200" spans="1:34" ht="20.100000000000001" customHeight="1" x14ac:dyDescent="0.2">
      <c r="D200" s="170" t="str" cm="1">
        <f t="array" ref="D200">Common_InputFunctions.Utility_DisplayArrayInTable(Fertiliser_SourceData.Fertiliser_Products_Data4(),FertiliserProducts[[#Headers],[Company]], 91)</f>
        <v>Wengfu Australia</v>
      </c>
      <c r="E200" s="170" t="str" cm="1">
        <f t="array" ref="E200">Common_InputFunctions.Utility_DisplayArrayInTable(Fertiliser_SourceData.Fertiliser_Products_Data4(),FertiliserProducts[[#Headers],[Company]], 91)</f>
        <v>Wengfu SuStain</v>
      </c>
      <c r="F200" s="170" t="str" cm="1">
        <f t="array" ref="F200">Common_InputFunctions.Utility_DisplayArrayInTable(Fertiliser_SourceData.Fertiliser_Products_Data4(),FertiliserProducts[[#Headers],[Company]], 91)</f>
        <v>kg</v>
      </c>
      <c r="G200" s="170" cm="1">
        <f t="array" ref="G200">Common_InputFunctions.Utility_DisplayArrayInTable(Fertiliser_SourceData.Fertiliser_Products_Data4(),FertiliserProducts[[#Headers],[Company]], 91)</f>
        <v>1</v>
      </c>
      <c r="H200" s="170" t="str" cm="1">
        <f t="array" ref="H200">Common_InputFunctions.Utility_DisplayArrayInTable(Fertiliser_SourceData.Fertiliser_Products_Data4(),FertiliserProducts[[#Headers],[Company]], 91)</f>
        <v/>
      </c>
      <c r="I200" s="170" t="str" cm="1">
        <f t="array" ref="I200">Common_InputFunctions.Utility_DisplayArrayInTable(Fertiliser_SourceData.Fertiliser_Products_Data4(),FertiliserProducts[[#Headers],[Company]], 91)</f>
        <v/>
      </c>
      <c r="J200" s="170" t="str" cm="1">
        <f t="array" ref="J200">Common_InputFunctions.Utility_DisplayArrayInTable(Fertiliser_SourceData.Fertiliser_Products_Data4(),FertiliserProducts[[#Headers],[Company]], 91)</f>
        <v/>
      </c>
      <c r="K200" s="170" t="str" cm="1">
        <f t="array" ref="K200">Common_InputFunctions.Utility_DisplayArrayInTable(Fertiliser_SourceData.Fertiliser_Products_Data4(),FertiliserProducts[[#Headers],[Company]], 91)</f>
        <v/>
      </c>
      <c r="L200" s="170" t="str" cm="1">
        <f t="array" ref="L200">Common_InputFunctions.Utility_DisplayArrayInTable(Fertiliser_SourceData.Fertiliser_Products_Data4(),FertiliserProducts[[#Headers],[Company]], 91)</f>
        <v/>
      </c>
      <c r="M200" s="170" t="str" cm="1">
        <f t="array" ref="M200">Common_InputFunctions.Utility_DisplayArrayInTable(Fertiliser_SourceData.Fertiliser_Products_Data4(),FertiliserProducts[[#Headers],[Company]], 91)</f>
        <v/>
      </c>
      <c r="N200" s="170" cm="1">
        <f t="array" ref="N200">Common_InputFunctions.Utility_DisplayArrayInTable(Fertiliser_SourceData.Fertiliser_Products_Data4(),FertiliserProducts[[#Headers],[Company]], 91)</f>
        <v>90</v>
      </c>
      <c r="O200" s="170" t="str" cm="1">
        <f t="array" ref="O200">Common_InputFunctions.Utility_DisplayArrayInTable(Fertiliser_SourceData.Fertiliser_Products_Data4(),FertiliserProducts[[#Headers],[Company]], 91)</f>
        <v>Sulfur - Generic</v>
      </c>
      <c r="P200" s="170" cm="1">
        <f t="array" ref="P200">Common_InputFunctions.Utility_DisplayArrayInTable(Fertiliser_SourceData.Fertiliser_Products_Data4(),FertiliserProducts[[#Headers],[Company]], 91)</f>
        <v>0.9</v>
      </c>
      <c r="Q200" s="170" t="str" cm="1">
        <f t="array" ref="Q200">Common_InputFunctions.Utility_DisplayArrayInTable(Fertiliser_SourceData.Fertiliser_Products_Data4(),FertiliserProducts[[#Headers],[Company]], 91)</f>
        <v/>
      </c>
      <c r="R200" s="170" t="str" cm="1">
        <f t="array" ref="R200">Common_InputFunctions.Utility_DisplayArrayInTable(Fertiliser_SourceData.Fertiliser_Products_Data4(),FertiliserProducts[[#Headers],[Company]], 91)</f>
        <v/>
      </c>
      <c r="S200" s="170" t="str" cm="1">
        <f t="array" ref="S200">Common_InputFunctions.Utility_DisplayArrayInTable(Fertiliser_SourceData.Fertiliser_Products_Data4(),FertiliserProducts[[#Headers],[Company]], 91)</f>
        <v/>
      </c>
      <c r="T200" s="170" t="str" cm="1">
        <f t="array" ref="T200">Common_InputFunctions.Utility_DisplayArrayInTable(Fertiliser_SourceData.Fertiliser_Products_Data4(),FertiliserProducts[[#Headers],[Company]], 91)</f>
        <v/>
      </c>
      <c r="U200" s="170" t="str" cm="1">
        <f t="array" ref="U200">Common_InputFunctions.Utility_DisplayArrayInTable(Fertiliser_SourceData.Fertiliser_Products_Data4(),FertiliserProducts[[#Headers],[Company]], 91)</f>
        <v/>
      </c>
      <c r="V200" s="170" t="str" cm="1">
        <f t="array" ref="V200">Common_InputFunctions.Utility_DisplayArrayInTable(Fertiliser_SourceData.Fertiliser_Products_Data4(),FertiliserProducts[[#Headers],[Company]], 91)</f>
        <v/>
      </c>
      <c r="W200" s="170" t="str" cm="1">
        <f t="array" ref="W200">Common_InputFunctions.Utility_DisplayArrayInTable(Fertiliser_SourceData.Fertiliser_Products_Data4(),FertiliserProducts[[#Headers],[Company]], 91)</f>
        <v/>
      </c>
      <c r="X200" s="170" t="str" cm="1">
        <f t="array" ref="X200">Common_InputFunctions.Utility_DisplayArrayInTable(Fertiliser_SourceData.Fertiliser_Products_Data4(),FertiliserProducts[[#Headers],[Company]], 91)</f>
        <v/>
      </c>
      <c r="Y200" s="170" t="str" cm="1">
        <f t="array" ref="Y200">Common_InputFunctions.Utility_DisplayArrayInTable(Fertiliser_SourceData.Fertiliser_Products_Data4(),FertiliserProducts[[#Headers],[Company]], 91)</f>
        <v/>
      </c>
      <c r="Z200" s="170" t="str" cm="1">
        <f t="array" ref="Z200">Common_InputFunctions.Utility_DisplayArrayInTable(Fertiliser_SourceData.Fertiliser_Products_Data4(),FertiliserProducts[[#Headers],[Company]], 91)</f>
        <v/>
      </c>
      <c r="AA200" s="170" t="str" cm="1">
        <f t="array" ref="AA200">Common_InputFunctions.Utility_DisplayArrayInTable(Fertiliser_SourceData.Fertiliser_Products_Data4(),FertiliserProducts[[#Headers],[Company]], 91)</f>
        <v/>
      </c>
      <c r="AB200" s="170" t="str" cm="1">
        <f t="array" ref="AB200">Common_InputFunctions.Utility_DisplayArrayInTable(Fertiliser_SourceData.Fertiliser_Products_Data4(),FertiliserProducts[[#Headers],[Company]], 91)</f>
        <v/>
      </c>
      <c r="AC200" s="170" t="str" cm="1">
        <f t="array" ref="AC200">Common_InputFunctions.Utility_DisplayArrayInTable(Fertiliser_SourceData.Fertiliser_Products_Data4(),FertiliserProducts[[#Headers],[Company]], 91)</f>
        <v/>
      </c>
      <c r="AD200" s="170" t="str" cm="1">
        <f t="array" ref="AD200">Common_InputFunctions.Utility_DisplayArrayInTable(Fertiliser_SourceData.Fertiliser_Products_Data4(),FertiliserProducts[[#Headers],[Company]], 91)</f>
        <v/>
      </c>
      <c r="AE200" s="170" t="str" cm="1">
        <f t="array" ref="AE200">Common_InputFunctions.Utility_DisplayArrayInTable(Fertiliser_SourceData.Fertiliser_Products_Data4(),FertiliserProducts[[#Headers],[Company]], 91)</f>
        <v/>
      </c>
      <c r="AF200" s="170" t="str" cm="1">
        <f t="array" ref="AF200">Common_InputFunctions.Utility_DisplayArrayInTable(Fertiliser_SourceData.Fertiliser_Products_Data4(),FertiliserProducts[[#Headers],[Company]], 91)</f>
        <v/>
      </c>
      <c r="AG200" s="170" t="str" cm="1">
        <f t="array" ref="AG200">Common_InputFunctions.Utility_DisplayArrayInTable(Fertiliser_SourceData.Fertiliser_Products_Data4(),FertiliserProducts[[#Headers],[Company]], 91)</f>
        <v/>
      </c>
      <c r="AH200" s="170" t="str" cm="1">
        <f t="array" ref="AH200">Common_InputFunctions.Utility_DisplayArrayInTable(Fertiliser_SourceData.Fertiliser_Products_Data4(),FertiliserProducts[[#Headers],[Company]], 91)</f>
        <v/>
      </c>
    </row>
    <row r="201" spans="1:34" ht="20.100000000000001" customHeight="1" x14ac:dyDescent="0.2">
      <c r="D201" s="170" t="str" cm="1">
        <f t="array" ref="D201">Common_InputFunctions.Utility_DisplayArrayInTable(Fertiliser_SourceData.Fertiliser_Products_Data4(),FertiliserProducts[[#Headers],[Company]], 91)</f>
        <v>Wengfu Australia</v>
      </c>
      <c r="E201" s="170" t="str" cm="1">
        <f t="array" ref="E201">Common_InputFunctions.Utility_DisplayArrayInTable(Fertiliser_SourceData.Fertiliser_Products_Data4(),FertiliserProducts[[#Headers],[Company]], 91)</f>
        <v>Wengfu Slam</v>
      </c>
      <c r="F201" s="170" t="str" cm="1">
        <f t="array" ref="F201">Common_InputFunctions.Utility_DisplayArrayInTable(Fertiliser_SourceData.Fertiliser_Products_Data4(),FertiliserProducts[[#Headers],[Company]], 91)</f>
        <v>kg</v>
      </c>
      <c r="G201" s="170" cm="1">
        <f t="array" ref="G201">Common_InputFunctions.Utility_DisplayArrayInTable(Fertiliser_SourceData.Fertiliser_Products_Data4(),FertiliserProducts[[#Headers],[Company]], 91)</f>
        <v>1</v>
      </c>
      <c r="H201" s="170" t="str" cm="1">
        <f t="array" ref="H201">Common_InputFunctions.Utility_DisplayArrayInTable(Fertiliser_SourceData.Fertiliser_Products_Data4(),FertiliserProducts[[#Headers],[Company]], 91)</f>
        <v/>
      </c>
      <c r="I201" s="170" t="str" cm="1">
        <f t="array" ref="I201">Common_InputFunctions.Utility_DisplayArrayInTable(Fertiliser_SourceData.Fertiliser_Products_Data4(),FertiliserProducts[[#Headers],[Company]], 91)</f>
        <v/>
      </c>
      <c r="J201" s="170" t="str" cm="1">
        <f t="array" ref="J201">Common_InputFunctions.Utility_DisplayArrayInTable(Fertiliser_SourceData.Fertiliser_Products_Data4(),FertiliserProducts[[#Headers],[Company]], 91)</f>
        <v/>
      </c>
      <c r="K201" s="170" cm="1">
        <f t="array" ref="K201">Common_InputFunctions.Utility_DisplayArrayInTable(Fertiliser_SourceData.Fertiliser_Products_Data4(),FertiliserProducts[[#Headers],[Company]], 91)</f>
        <v>19.5</v>
      </c>
      <c r="L201" s="170" cm="1">
        <f t="array" ref="L201">Common_InputFunctions.Utility_DisplayArrayInTable(Fertiliser_SourceData.Fertiliser_Products_Data4(),FertiliserProducts[[#Headers],[Company]], 91)</f>
        <v>0.7</v>
      </c>
      <c r="M201" s="170" t="str" cm="1">
        <f t="array" ref="M201">Common_InputFunctions.Utility_DisplayArrayInTable(Fertiliser_SourceData.Fertiliser_Products_Data4(),FertiliserProducts[[#Headers],[Company]], 91)</f>
        <v/>
      </c>
      <c r="N201" s="170" cm="1">
        <f t="array" ref="N201">Common_InputFunctions.Utility_DisplayArrayInTable(Fertiliser_SourceData.Fertiliser_Products_Data4(),FertiliserProducts[[#Headers],[Company]], 91)</f>
        <v>23</v>
      </c>
      <c r="O201" s="170" t="str" cm="1">
        <f t="array" ref="O201">Common_InputFunctions.Utility_DisplayArrayInTable(Fertiliser_SourceData.Fertiliser_Products_Data4(),FertiliserProducts[[#Headers],[Company]], 91)</f>
        <v>Nitrogen - Generic</v>
      </c>
      <c r="P201" s="170" cm="1">
        <f t="array" ref="P201">Common_InputFunctions.Utility_DisplayArrayInTable(Fertiliser_SourceData.Fertiliser_Products_Data4(),FertiliserProducts[[#Headers],[Company]], 91)</f>
        <v>0.19500000000000001</v>
      </c>
      <c r="Q201" s="170" t="str" cm="1">
        <f t="array" ref="Q201">Common_InputFunctions.Utility_DisplayArrayInTable(Fertiliser_SourceData.Fertiliser_Products_Data4(),FertiliserProducts[[#Headers],[Company]], 91)</f>
        <v>Phosphorus - Generic</v>
      </c>
      <c r="R201" s="170" cm="1">
        <f t="array" ref="R201">Common_InputFunctions.Utility_DisplayArrayInTable(Fertiliser_SourceData.Fertiliser_Products_Data4(),FertiliserProducts[[#Headers],[Company]], 91)</f>
        <v>7.0000000000000001E-3</v>
      </c>
      <c r="S201" s="170" t="str" cm="1">
        <f t="array" ref="S201">Common_InputFunctions.Utility_DisplayArrayInTable(Fertiliser_SourceData.Fertiliser_Products_Data4(),FertiliserProducts[[#Headers],[Company]], 91)</f>
        <v>Sulfur - Generic</v>
      </c>
      <c r="T201" s="170" cm="1">
        <f t="array" ref="T201">Common_InputFunctions.Utility_DisplayArrayInTable(Fertiliser_SourceData.Fertiliser_Products_Data4(),FertiliserProducts[[#Headers],[Company]], 91)</f>
        <v>0.23</v>
      </c>
      <c r="U201" s="170" t="str" cm="1">
        <f t="array" ref="U201">Common_InputFunctions.Utility_DisplayArrayInTable(Fertiliser_SourceData.Fertiliser_Products_Data4(),FertiliserProducts[[#Headers],[Company]], 91)</f>
        <v/>
      </c>
      <c r="V201" s="170" t="str" cm="1">
        <f t="array" ref="V201">Common_InputFunctions.Utility_DisplayArrayInTable(Fertiliser_SourceData.Fertiliser_Products_Data4(),FertiliserProducts[[#Headers],[Company]], 91)</f>
        <v/>
      </c>
      <c r="W201" s="170" t="str" cm="1">
        <f t="array" ref="W201">Common_InputFunctions.Utility_DisplayArrayInTable(Fertiliser_SourceData.Fertiliser_Products_Data4(),FertiliserProducts[[#Headers],[Company]], 91)</f>
        <v/>
      </c>
      <c r="X201" s="170" t="str" cm="1">
        <f t="array" ref="X201">Common_InputFunctions.Utility_DisplayArrayInTable(Fertiliser_SourceData.Fertiliser_Products_Data4(),FertiliserProducts[[#Headers],[Company]], 91)</f>
        <v/>
      </c>
      <c r="Y201" s="170" t="str" cm="1">
        <f t="array" ref="Y201">Common_InputFunctions.Utility_DisplayArrayInTable(Fertiliser_SourceData.Fertiliser_Products_Data4(),FertiliserProducts[[#Headers],[Company]], 91)</f>
        <v/>
      </c>
      <c r="Z201" s="170" t="str" cm="1">
        <f t="array" ref="Z201">Common_InputFunctions.Utility_DisplayArrayInTable(Fertiliser_SourceData.Fertiliser_Products_Data4(),FertiliserProducts[[#Headers],[Company]], 91)</f>
        <v/>
      </c>
      <c r="AA201" s="170" t="str" cm="1">
        <f t="array" ref="AA201">Common_InputFunctions.Utility_DisplayArrayInTable(Fertiliser_SourceData.Fertiliser_Products_Data4(),FertiliserProducts[[#Headers],[Company]], 91)</f>
        <v/>
      </c>
      <c r="AB201" s="170" t="str" cm="1">
        <f t="array" ref="AB201">Common_InputFunctions.Utility_DisplayArrayInTable(Fertiliser_SourceData.Fertiliser_Products_Data4(),FertiliserProducts[[#Headers],[Company]], 91)</f>
        <v/>
      </c>
      <c r="AC201" s="170" t="str" cm="1">
        <f t="array" ref="AC201">Common_InputFunctions.Utility_DisplayArrayInTable(Fertiliser_SourceData.Fertiliser_Products_Data4(),FertiliserProducts[[#Headers],[Company]], 91)</f>
        <v/>
      </c>
      <c r="AD201" s="170" t="str" cm="1">
        <f t="array" ref="AD201">Common_InputFunctions.Utility_DisplayArrayInTable(Fertiliser_SourceData.Fertiliser_Products_Data4(),FertiliserProducts[[#Headers],[Company]], 91)</f>
        <v/>
      </c>
      <c r="AE201" s="170" t="str" cm="1">
        <f t="array" ref="AE201">Common_InputFunctions.Utility_DisplayArrayInTable(Fertiliser_SourceData.Fertiliser_Products_Data4(),FertiliserProducts[[#Headers],[Company]], 91)</f>
        <v/>
      </c>
      <c r="AF201" s="170" t="str" cm="1">
        <f t="array" ref="AF201">Common_InputFunctions.Utility_DisplayArrayInTable(Fertiliser_SourceData.Fertiliser_Products_Data4(),FertiliserProducts[[#Headers],[Company]], 91)</f>
        <v/>
      </c>
      <c r="AG201" s="170" t="str" cm="1">
        <f t="array" ref="AG201">Common_InputFunctions.Utility_DisplayArrayInTable(Fertiliser_SourceData.Fertiliser_Products_Data4(),FertiliserProducts[[#Headers],[Company]], 91)</f>
        <v/>
      </c>
      <c r="AH201" s="170" t="str" cm="1">
        <f t="array" ref="AH201">Common_InputFunctions.Utility_DisplayArrayInTable(Fertiliser_SourceData.Fertiliser_Products_Data4(),FertiliserProducts[[#Headers],[Company]], 91)</f>
        <v/>
      </c>
    </row>
    <row r="202" spans="1:34" ht="20.100000000000001" customHeight="1" x14ac:dyDescent="0.2">
      <c r="D202" s="170" t="str" cm="1">
        <f t="array" ref="D202">Common_InputFunctions.Utility_DisplayArrayInTable(Fertiliser_SourceData.Fertiliser_Products_Data4(),FertiliserProducts[[#Headers],[Company]], 91)</f>
        <v>Wengfu Australia</v>
      </c>
      <c r="E202" s="170" t="str" cm="1">
        <f t="array" ref="E202">Common_InputFunctions.Utility_DisplayArrayInTable(Fertiliser_SourceData.Fertiliser_Products_Data4(),FertiliserProducts[[#Headers],[Company]], 91)</f>
        <v>Wengfu Prime MSZ</v>
      </c>
      <c r="F202" s="170" t="str" cm="1">
        <f t="array" ref="F202">Common_InputFunctions.Utility_DisplayArrayInTable(Fertiliser_SourceData.Fertiliser_Products_Data4(),FertiliserProducts[[#Headers],[Company]], 91)</f>
        <v>kg</v>
      </c>
      <c r="G202" s="170" cm="1">
        <f t="array" ref="G202">Common_InputFunctions.Utility_DisplayArrayInTable(Fertiliser_SourceData.Fertiliser_Products_Data4(),FertiliserProducts[[#Headers],[Company]], 91)</f>
        <v>1</v>
      </c>
      <c r="H202" s="170" t="str" cm="1">
        <f t="array" ref="H202">Common_InputFunctions.Utility_DisplayArrayInTable(Fertiliser_SourceData.Fertiliser_Products_Data4(),FertiliserProducts[[#Headers],[Company]], 91)</f>
        <v/>
      </c>
      <c r="I202" s="170" t="str" cm="1">
        <f t="array" ref="I202">Common_InputFunctions.Utility_DisplayArrayInTable(Fertiliser_SourceData.Fertiliser_Products_Data4(),FertiliserProducts[[#Headers],[Company]], 91)</f>
        <v/>
      </c>
      <c r="J202" s="170" t="str" cm="1">
        <f t="array" ref="J202">Common_InputFunctions.Utility_DisplayArrayInTable(Fertiliser_SourceData.Fertiliser_Products_Data4(),FertiliserProducts[[#Headers],[Company]], 91)</f>
        <v/>
      </c>
      <c r="K202" s="170" cm="1">
        <f t="array" ref="K202">Common_InputFunctions.Utility_DisplayArrayInTable(Fertiliser_SourceData.Fertiliser_Products_Data4(),FertiliserProducts[[#Headers],[Company]], 91)</f>
        <v>10</v>
      </c>
      <c r="L202" s="170" cm="1">
        <f t="array" ref="L202">Common_InputFunctions.Utility_DisplayArrayInTable(Fertiliser_SourceData.Fertiliser_Products_Data4(),FertiliserProducts[[#Headers],[Company]], 91)</f>
        <v>18</v>
      </c>
      <c r="M202" s="170" t="str" cm="1">
        <f t="array" ref="M202">Common_InputFunctions.Utility_DisplayArrayInTable(Fertiliser_SourceData.Fertiliser_Products_Data4(),FertiliserProducts[[#Headers],[Company]], 91)</f>
        <v/>
      </c>
      <c r="N202" s="170" cm="1">
        <f t="array" ref="N202">Common_InputFunctions.Utility_DisplayArrayInTable(Fertiliser_SourceData.Fertiliser_Products_Data4(),FertiliserProducts[[#Headers],[Company]], 91)</f>
        <v>8</v>
      </c>
      <c r="O202" s="170" t="str" cm="1">
        <f t="array" ref="O202">Common_InputFunctions.Utility_DisplayArrayInTable(Fertiliser_SourceData.Fertiliser_Products_Data4(),FertiliserProducts[[#Headers],[Company]], 91)</f>
        <v>Nitrogen - Generic</v>
      </c>
      <c r="P202" s="170" cm="1">
        <f t="array" ref="P202">Common_InputFunctions.Utility_DisplayArrayInTable(Fertiliser_SourceData.Fertiliser_Products_Data4(),FertiliserProducts[[#Headers],[Company]], 91)</f>
        <v>0.1</v>
      </c>
      <c r="Q202" s="170" t="str" cm="1">
        <f t="array" ref="Q202">Common_InputFunctions.Utility_DisplayArrayInTable(Fertiliser_SourceData.Fertiliser_Products_Data4(),FertiliserProducts[[#Headers],[Company]], 91)</f>
        <v>Phosphorus - Generic</v>
      </c>
      <c r="R202" s="170" cm="1">
        <f t="array" ref="R202">Common_InputFunctions.Utility_DisplayArrayInTable(Fertiliser_SourceData.Fertiliser_Products_Data4(),FertiliserProducts[[#Headers],[Company]], 91)</f>
        <v>0.18</v>
      </c>
      <c r="S202" s="170" t="str" cm="1">
        <f t="array" ref="S202">Common_InputFunctions.Utility_DisplayArrayInTable(Fertiliser_SourceData.Fertiliser_Products_Data4(),FertiliserProducts[[#Headers],[Company]], 91)</f>
        <v>Sulfur - Generic</v>
      </c>
      <c r="T202" s="170" cm="1">
        <f t="array" ref="T202">Common_InputFunctions.Utility_DisplayArrayInTable(Fertiliser_SourceData.Fertiliser_Products_Data4(),FertiliserProducts[[#Headers],[Company]], 91)</f>
        <v>0.08</v>
      </c>
      <c r="U202" s="170" t="str" cm="1">
        <f t="array" ref="U202">Common_InputFunctions.Utility_DisplayArrayInTable(Fertiliser_SourceData.Fertiliser_Products_Data4(),FertiliserProducts[[#Headers],[Company]], 91)</f>
        <v>Zinc</v>
      </c>
      <c r="V202" s="170" cm="1">
        <f t="array" ref="V202">Common_InputFunctions.Utility_DisplayArrayInTable(Fertiliser_SourceData.Fertiliser_Products_Data4(),FertiliserProducts[[#Headers],[Company]], 91)</f>
        <v>5.0000000000000001E-3</v>
      </c>
      <c r="W202" s="170" t="str" cm="1">
        <f t="array" ref="W202">Common_InputFunctions.Utility_DisplayArrayInTable(Fertiliser_SourceData.Fertiliser_Products_Data4(),FertiliserProducts[[#Headers],[Company]], 91)</f>
        <v/>
      </c>
      <c r="X202" s="170" t="str" cm="1">
        <f t="array" ref="X202">Common_InputFunctions.Utility_DisplayArrayInTable(Fertiliser_SourceData.Fertiliser_Products_Data4(),FertiliserProducts[[#Headers],[Company]], 91)</f>
        <v/>
      </c>
      <c r="Y202" s="170" t="str" cm="1">
        <f t="array" ref="Y202">Common_InputFunctions.Utility_DisplayArrayInTable(Fertiliser_SourceData.Fertiliser_Products_Data4(),FertiliserProducts[[#Headers],[Company]], 91)</f>
        <v/>
      </c>
      <c r="Z202" s="170" t="str" cm="1">
        <f t="array" ref="Z202">Common_InputFunctions.Utility_DisplayArrayInTable(Fertiliser_SourceData.Fertiliser_Products_Data4(),FertiliserProducts[[#Headers],[Company]], 91)</f>
        <v/>
      </c>
      <c r="AA202" s="170" t="str" cm="1">
        <f t="array" ref="AA202">Common_InputFunctions.Utility_DisplayArrayInTable(Fertiliser_SourceData.Fertiliser_Products_Data4(),FertiliserProducts[[#Headers],[Company]], 91)</f>
        <v/>
      </c>
      <c r="AB202" s="170" t="str" cm="1">
        <f t="array" ref="AB202">Common_InputFunctions.Utility_DisplayArrayInTable(Fertiliser_SourceData.Fertiliser_Products_Data4(),FertiliserProducts[[#Headers],[Company]], 91)</f>
        <v/>
      </c>
      <c r="AC202" s="170" t="str" cm="1">
        <f t="array" ref="AC202">Common_InputFunctions.Utility_DisplayArrayInTable(Fertiliser_SourceData.Fertiliser_Products_Data4(),FertiliserProducts[[#Headers],[Company]], 91)</f>
        <v/>
      </c>
      <c r="AD202" s="170" t="str" cm="1">
        <f t="array" ref="AD202">Common_InputFunctions.Utility_DisplayArrayInTable(Fertiliser_SourceData.Fertiliser_Products_Data4(),FertiliserProducts[[#Headers],[Company]], 91)</f>
        <v/>
      </c>
      <c r="AE202" s="170" t="str" cm="1">
        <f t="array" ref="AE202">Common_InputFunctions.Utility_DisplayArrayInTable(Fertiliser_SourceData.Fertiliser_Products_Data4(),FertiliserProducts[[#Headers],[Company]], 91)</f>
        <v/>
      </c>
      <c r="AF202" s="170" t="str" cm="1">
        <f t="array" ref="AF202">Common_InputFunctions.Utility_DisplayArrayInTable(Fertiliser_SourceData.Fertiliser_Products_Data4(),FertiliserProducts[[#Headers],[Company]], 91)</f>
        <v/>
      </c>
      <c r="AG202" s="170" t="str" cm="1">
        <f t="array" ref="AG202">Common_InputFunctions.Utility_DisplayArrayInTable(Fertiliser_SourceData.Fertiliser_Products_Data4(),FertiliserProducts[[#Headers],[Company]], 91)</f>
        <v/>
      </c>
      <c r="AH202" s="170" t="str" cm="1">
        <f t="array" ref="AH202">Common_InputFunctions.Utility_DisplayArrayInTable(Fertiliser_SourceData.Fertiliser_Products_Data4(),FertiliserProducts[[#Headers],[Company]], 91)</f>
        <v/>
      </c>
    </row>
    <row r="203" spans="1:34" ht="20.100000000000001" customHeight="1" x14ac:dyDescent="0.2">
      <c r="D203" s="170" t="str" cm="1">
        <f t="array" ref="D203">Common_InputFunctions.Utility_DisplayArrayInTable(Fertiliser_SourceData.Fertiliser_Products_Data4(),FertiliserProducts[[#Headers],[Company]], 91)</f>
        <v>Wengfu Australia</v>
      </c>
      <c r="E203" s="170" t="str" cm="1">
        <f t="array" ref="E203">Common_InputFunctions.Utility_DisplayArrayInTable(Fertiliser_SourceData.Fertiliser_Products_Data4(),FertiliserProducts[[#Headers],[Company]], 91)</f>
        <v>Wengfu 9-20-0-10 MAP SuStain</v>
      </c>
      <c r="F203" s="170" t="str" cm="1">
        <f t="array" ref="F203">Common_InputFunctions.Utility_DisplayArrayInTable(Fertiliser_SourceData.Fertiliser_Products_Data4(),FertiliserProducts[[#Headers],[Company]], 91)</f>
        <v>kg</v>
      </c>
      <c r="G203" s="170" cm="1">
        <f t="array" ref="G203">Common_InputFunctions.Utility_DisplayArrayInTable(Fertiliser_SourceData.Fertiliser_Products_Data4(),FertiliserProducts[[#Headers],[Company]], 91)</f>
        <v>1</v>
      </c>
      <c r="H203" s="170" t="str" cm="1">
        <f t="array" ref="H203">Common_InputFunctions.Utility_DisplayArrayInTable(Fertiliser_SourceData.Fertiliser_Products_Data4(),FertiliserProducts[[#Headers],[Company]], 91)</f>
        <v/>
      </c>
      <c r="I203" s="170" t="str" cm="1">
        <f t="array" ref="I203">Common_InputFunctions.Utility_DisplayArrayInTable(Fertiliser_SourceData.Fertiliser_Products_Data4(),FertiliserProducts[[#Headers],[Company]], 91)</f>
        <v/>
      </c>
      <c r="J203" s="170" t="str" cm="1">
        <f t="array" ref="J203">Common_InputFunctions.Utility_DisplayArrayInTable(Fertiliser_SourceData.Fertiliser_Products_Data4(),FertiliserProducts[[#Headers],[Company]], 91)</f>
        <v/>
      </c>
      <c r="K203" s="170" cm="1">
        <f t="array" ref="K203">Common_InputFunctions.Utility_DisplayArrayInTable(Fertiliser_SourceData.Fertiliser_Products_Data4(),FertiliserProducts[[#Headers],[Company]], 91)</f>
        <v>9</v>
      </c>
      <c r="L203" s="170" cm="1">
        <f t="array" ref="L203">Common_InputFunctions.Utility_DisplayArrayInTable(Fertiliser_SourceData.Fertiliser_Products_Data4(),FertiliserProducts[[#Headers],[Company]], 91)</f>
        <v>19.8</v>
      </c>
      <c r="M203" s="170" cm="1">
        <f t="array" ref="M203">Common_InputFunctions.Utility_DisplayArrayInTable(Fertiliser_SourceData.Fertiliser_Products_Data4(),FertiliserProducts[[#Headers],[Company]], 91)</f>
        <v>0</v>
      </c>
      <c r="N203" s="170" cm="1">
        <f t="array" ref="N203">Common_InputFunctions.Utility_DisplayArrayInTable(Fertiliser_SourceData.Fertiliser_Products_Data4(),FertiliserProducts[[#Headers],[Company]], 91)</f>
        <v>10.4</v>
      </c>
      <c r="O203" s="170" t="str" cm="1">
        <f t="array" ref="O203">Common_InputFunctions.Utility_DisplayArrayInTable(Fertiliser_SourceData.Fertiliser_Products_Data4(),FertiliserProducts[[#Headers],[Company]], 91)</f>
        <v>Nitrogen - Generic</v>
      </c>
      <c r="P203" s="170" cm="1">
        <f t="array" ref="P203">Common_InputFunctions.Utility_DisplayArrayInTable(Fertiliser_SourceData.Fertiliser_Products_Data4(),FertiliserProducts[[#Headers],[Company]], 91)</f>
        <v>0.09</v>
      </c>
      <c r="Q203" s="170" t="str" cm="1">
        <f t="array" ref="Q203">Common_InputFunctions.Utility_DisplayArrayInTable(Fertiliser_SourceData.Fertiliser_Products_Data4(),FertiliserProducts[[#Headers],[Company]], 91)</f>
        <v>Phosphorus - Generic</v>
      </c>
      <c r="R203" s="170" cm="1">
        <f t="array" ref="R203">Common_InputFunctions.Utility_DisplayArrayInTable(Fertiliser_SourceData.Fertiliser_Products_Data4(),FertiliserProducts[[#Headers],[Company]], 91)</f>
        <v>0.19800000000000001</v>
      </c>
      <c r="S203" s="170" t="str" cm="1">
        <f t="array" ref="S203">Common_InputFunctions.Utility_DisplayArrayInTable(Fertiliser_SourceData.Fertiliser_Products_Data4(),FertiliserProducts[[#Headers],[Company]], 91)</f>
        <v>Sulfur - Generic</v>
      </c>
      <c r="T203" s="170" cm="1">
        <f t="array" ref="T203">Common_InputFunctions.Utility_DisplayArrayInTable(Fertiliser_SourceData.Fertiliser_Products_Data4(),FertiliserProducts[[#Headers],[Company]], 91)</f>
        <v>0.104</v>
      </c>
      <c r="U203" s="170" t="str" cm="1">
        <f t="array" ref="U203">Common_InputFunctions.Utility_DisplayArrayInTable(Fertiliser_SourceData.Fertiliser_Products_Data4(),FertiliserProducts[[#Headers],[Company]], 91)</f>
        <v/>
      </c>
      <c r="V203" s="170" t="str" cm="1">
        <f t="array" ref="V203">Common_InputFunctions.Utility_DisplayArrayInTable(Fertiliser_SourceData.Fertiliser_Products_Data4(),FertiliserProducts[[#Headers],[Company]], 91)</f>
        <v/>
      </c>
      <c r="W203" s="170" t="str" cm="1">
        <f t="array" ref="W203">Common_InputFunctions.Utility_DisplayArrayInTable(Fertiliser_SourceData.Fertiliser_Products_Data4(),FertiliserProducts[[#Headers],[Company]], 91)</f>
        <v/>
      </c>
      <c r="X203" s="170" t="str" cm="1">
        <f t="array" ref="X203">Common_InputFunctions.Utility_DisplayArrayInTable(Fertiliser_SourceData.Fertiliser_Products_Data4(),FertiliserProducts[[#Headers],[Company]], 91)</f>
        <v/>
      </c>
      <c r="Y203" s="170" t="str" cm="1">
        <f t="array" ref="Y203">Common_InputFunctions.Utility_DisplayArrayInTable(Fertiliser_SourceData.Fertiliser_Products_Data4(),FertiliserProducts[[#Headers],[Company]], 91)</f>
        <v/>
      </c>
      <c r="Z203" s="170" t="str" cm="1">
        <f t="array" ref="Z203">Common_InputFunctions.Utility_DisplayArrayInTable(Fertiliser_SourceData.Fertiliser_Products_Data4(),FertiliserProducts[[#Headers],[Company]], 91)</f>
        <v/>
      </c>
      <c r="AA203" s="170" t="str" cm="1">
        <f t="array" ref="AA203">Common_InputFunctions.Utility_DisplayArrayInTable(Fertiliser_SourceData.Fertiliser_Products_Data4(),FertiliserProducts[[#Headers],[Company]], 91)</f>
        <v/>
      </c>
      <c r="AB203" s="170" t="str" cm="1">
        <f t="array" ref="AB203">Common_InputFunctions.Utility_DisplayArrayInTable(Fertiliser_SourceData.Fertiliser_Products_Data4(),FertiliserProducts[[#Headers],[Company]], 91)</f>
        <v/>
      </c>
      <c r="AC203" s="170" t="str" cm="1">
        <f t="array" ref="AC203">Common_InputFunctions.Utility_DisplayArrayInTable(Fertiliser_SourceData.Fertiliser_Products_Data4(),FertiliserProducts[[#Headers],[Company]], 91)</f>
        <v/>
      </c>
      <c r="AD203" s="170" t="str" cm="1">
        <f t="array" ref="AD203">Common_InputFunctions.Utility_DisplayArrayInTable(Fertiliser_SourceData.Fertiliser_Products_Data4(),FertiliserProducts[[#Headers],[Company]], 91)</f>
        <v/>
      </c>
      <c r="AE203" s="170" t="str" cm="1">
        <f t="array" ref="AE203">Common_InputFunctions.Utility_DisplayArrayInTable(Fertiliser_SourceData.Fertiliser_Products_Data4(),FertiliserProducts[[#Headers],[Company]], 91)</f>
        <v/>
      </c>
      <c r="AF203" s="170" t="str" cm="1">
        <f t="array" ref="AF203">Common_InputFunctions.Utility_DisplayArrayInTable(Fertiliser_SourceData.Fertiliser_Products_Data4(),FertiliserProducts[[#Headers],[Company]], 91)</f>
        <v/>
      </c>
      <c r="AG203" s="170" t="str" cm="1">
        <f t="array" ref="AG203">Common_InputFunctions.Utility_DisplayArrayInTable(Fertiliser_SourceData.Fertiliser_Products_Data4(),FertiliserProducts[[#Headers],[Company]], 91)</f>
        <v/>
      </c>
      <c r="AH203" s="170" t="str" cm="1">
        <f t="array" ref="AH203">Common_InputFunctions.Utility_DisplayArrayInTable(Fertiliser_SourceData.Fertiliser_Products_Data4(),FertiliserProducts[[#Headers],[Company]], 91)</f>
        <v/>
      </c>
    </row>
    <row r="204" spans="1:34" ht="20.100000000000001" customHeight="1" x14ac:dyDescent="0.2">
      <c r="D204" s="170" t="str" cm="1">
        <f t="array" ref="D204">Common_InputFunctions.Utility_DisplayArrayInTable(Fertiliser_SourceData.Fertiliser_Products_Data4(),FertiliserProducts[[#Headers],[Company]], 91)</f>
        <v>Wengfu Australia</v>
      </c>
      <c r="E204" s="170" t="str" cm="1">
        <f t="array" ref="E204">Common_InputFunctions.Utility_DisplayArrayInTable(Fertiliser_SourceData.Fertiliser_Products_Data4(),FertiliserProducts[[#Headers],[Company]], 91)</f>
        <v>Wengfu 15-17-0-15 DAP SuStain</v>
      </c>
      <c r="F204" s="170" t="str" cm="1">
        <f t="array" ref="F204">Common_InputFunctions.Utility_DisplayArrayInTable(Fertiliser_SourceData.Fertiliser_Products_Data4(),FertiliserProducts[[#Headers],[Company]], 91)</f>
        <v>kg</v>
      </c>
      <c r="G204" s="170" cm="1">
        <f t="array" ref="G204">Common_InputFunctions.Utility_DisplayArrayInTable(Fertiliser_SourceData.Fertiliser_Products_Data4(),FertiliserProducts[[#Headers],[Company]], 91)</f>
        <v>1</v>
      </c>
      <c r="H204" s="170" t="str" cm="1">
        <f t="array" ref="H204">Common_InputFunctions.Utility_DisplayArrayInTable(Fertiliser_SourceData.Fertiliser_Products_Data4(),FertiliserProducts[[#Headers],[Company]], 91)</f>
        <v/>
      </c>
      <c r="I204" s="170" t="str" cm="1">
        <f t="array" ref="I204">Common_InputFunctions.Utility_DisplayArrayInTable(Fertiliser_SourceData.Fertiliser_Products_Data4(),FertiliserProducts[[#Headers],[Company]], 91)</f>
        <v/>
      </c>
      <c r="J204" s="170" t="str" cm="1">
        <f t="array" ref="J204">Common_InputFunctions.Utility_DisplayArrayInTable(Fertiliser_SourceData.Fertiliser_Products_Data4(),FertiliserProducts[[#Headers],[Company]], 91)</f>
        <v/>
      </c>
      <c r="K204" s="170" cm="1">
        <f t="array" ref="K204">Common_InputFunctions.Utility_DisplayArrayInTable(Fertiliser_SourceData.Fertiliser_Products_Data4(),FertiliserProducts[[#Headers],[Company]], 91)</f>
        <v>15.2</v>
      </c>
      <c r="L204" s="170" cm="1">
        <f t="array" ref="L204">Common_InputFunctions.Utility_DisplayArrayInTable(Fertiliser_SourceData.Fertiliser_Products_Data4(),FertiliserProducts[[#Headers],[Company]], 91)</f>
        <v>16.899999999999999</v>
      </c>
      <c r="M204" s="170" cm="1">
        <f t="array" ref="M204">Common_InputFunctions.Utility_DisplayArrayInTable(Fertiliser_SourceData.Fertiliser_Products_Data4(),FertiliserProducts[[#Headers],[Company]], 91)</f>
        <v>0</v>
      </c>
      <c r="N204" s="170" cm="1">
        <f t="array" ref="N204">Common_InputFunctions.Utility_DisplayArrayInTable(Fertiliser_SourceData.Fertiliser_Products_Data4(),FertiliserProducts[[#Headers],[Company]], 91)</f>
        <v>15.2</v>
      </c>
      <c r="O204" s="170" t="str" cm="1">
        <f t="array" ref="O204">Common_InputFunctions.Utility_DisplayArrayInTable(Fertiliser_SourceData.Fertiliser_Products_Data4(),FertiliserProducts[[#Headers],[Company]], 91)</f>
        <v>Nitrogen - Generic</v>
      </c>
      <c r="P204" s="170" cm="1">
        <f t="array" ref="P204">Common_InputFunctions.Utility_DisplayArrayInTable(Fertiliser_SourceData.Fertiliser_Products_Data4(),FertiliserProducts[[#Headers],[Company]], 91)</f>
        <v>0.152</v>
      </c>
      <c r="Q204" s="170" t="str" cm="1">
        <f t="array" ref="Q204">Common_InputFunctions.Utility_DisplayArrayInTable(Fertiliser_SourceData.Fertiliser_Products_Data4(),FertiliserProducts[[#Headers],[Company]], 91)</f>
        <v>Phosphorus - Generic</v>
      </c>
      <c r="R204" s="170" cm="1">
        <f t="array" ref="R204">Common_InputFunctions.Utility_DisplayArrayInTable(Fertiliser_SourceData.Fertiliser_Products_Data4(),FertiliserProducts[[#Headers],[Company]], 91)</f>
        <v>0.16900000000000001</v>
      </c>
      <c r="S204" s="170" t="str" cm="1">
        <f t="array" ref="S204">Common_InputFunctions.Utility_DisplayArrayInTable(Fertiliser_SourceData.Fertiliser_Products_Data4(),FertiliserProducts[[#Headers],[Company]], 91)</f>
        <v>Sulfur - Generic</v>
      </c>
      <c r="T204" s="170" cm="1">
        <f t="array" ref="T204">Common_InputFunctions.Utility_DisplayArrayInTable(Fertiliser_SourceData.Fertiliser_Products_Data4(),FertiliserProducts[[#Headers],[Company]], 91)</f>
        <v>0.152</v>
      </c>
      <c r="U204" s="170" t="str" cm="1">
        <f t="array" ref="U204">Common_InputFunctions.Utility_DisplayArrayInTable(Fertiliser_SourceData.Fertiliser_Products_Data4(),FertiliserProducts[[#Headers],[Company]], 91)</f>
        <v/>
      </c>
      <c r="V204" s="170" t="str" cm="1">
        <f t="array" ref="V204">Common_InputFunctions.Utility_DisplayArrayInTable(Fertiliser_SourceData.Fertiliser_Products_Data4(),FertiliserProducts[[#Headers],[Company]], 91)</f>
        <v/>
      </c>
      <c r="W204" s="170" t="str" cm="1">
        <f t="array" ref="W204">Common_InputFunctions.Utility_DisplayArrayInTable(Fertiliser_SourceData.Fertiliser_Products_Data4(),FertiliserProducts[[#Headers],[Company]], 91)</f>
        <v/>
      </c>
      <c r="X204" s="170" t="str" cm="1">
        <f t="array" ref="X204">Common_InputFunctions.Utility_DisplayArrayInTable(Fertiliser_SourceData.Fertiliser_Products_Data4(),FertiliserProducts[[#Headers],[Company]], 91)</f>
        <v/>
      </c>
      <c r="Y204" s="170" t="str" cm="1">
        <f t="array" ref="Y204">Common_InputFunctions.Utility_DisplayArrayInTable(Fertiliser_SourceData.Fertiliser_Products_Data4(),FertiliserProducts[[#Headers],[Company]], 91)</f>
        <v/>
      </c>
      <c r="Z204" s="170" t="str" cm="1">
        <f t="array" ref="Z204">Common_InputFunctions.Utility_DisplayArrayInTable(Fertiliser_SourceData.Fertiliser_Products_Data4(),FertiliserProducts[[#Headers],[Company]], 91)</f>
        <v/>
      </c>
      <c r="AA204" s="170" t="str" cm="1">
        <f t="array" ref="AA204">Common_InputFunctions.Utility_DisplayArrayInTable(Fertiliser_SourceData.Fertiliser_Products_Data4(),FertiliserProducts[[#Headers],[Company]], 91)</f>
        <v/>
      </c>
      <c r="AB204" s="170" t="str" cm="1">
        <f t="array" ref="AB204">Common_InputFunctions.Utility_DisplayArrayInTable(Fertiliser_SourceData.Fertiliser_Products_Data4(),FertiliserProducts[[#Headers],[Company]], 91)</f>
        <v/>
      </c>
      <c r="AC204" s="170" t="str" cm="1">
        <f t="array" ref="AC204">Common_InputFunctions.Utility_DisplayArrayInTable(Fertiliser_SourceData.Fertiliser_Products_Data4(),FertiliserProducts[[#Headers],[Company]], 91)</f>
        <v/>
      </c>
      <c r="AD204" s="170" t="str" cm="1">
        <f t="array" ref="AD204">Common_InputFunctions.Utility_DisplayArrayInTable(Fertiliser_SourceData.Fertiliser_Products_Data4(),FertiliserProducts[[#Headers],[Company]], 91)</f>
        <v/>
      </c>
      <c r="AE204" s="170" t="str" cm="1">
        <f t="array" ref="AE204">Common_InputFunctions.Utility_DisplayArrayInTable(Fertiliser_SourceData.Fertiliser_Products_Data4(),FertiliserProducts[[#Headers],[Company]], 91)</f>
        <v/>
      </c>
      <c r="AF204" s="170" t="str" cm="1">
        <f t="array" ref="AF204">Common_InputFunctions.Utility_DisplayArrayInTable(Fertiliser_SourceData.Fertiliser_Products_Data4(),FertiliserProducts[[#Headers],[Company]], 91)</f>
        <v/>
      </c>
      <c r="AG204" s="170" t="str" cm="1">
        <f t="array" ref="AG204">Common_InputFunctions.Utility_DisplayArrayInTable(Fertiliser_SourceData.Fertiliser_Products_Data4(),FertiliserProducts[[#Headers],[Company]], 91)</f>
        <v/>
      </c>
      <c r="AH204" s="170" t="str" cm="1">
        <f t="array" ref="AH204">Common_InputFunctions.Utility_DisplayArrayInTable(Fertiliser_SourceData.Fertiliser_Products_Data4(),FertiliserProducts[[#Headers],[Company]], 91)</f>
        <v/>
      </c>
    </row>
    <row r="205" spans="1:34" ht="20.100000000000001" customHeight="1" x14ac:dyDescent="0.2">
      <c r="D205" s="170" t="str" cm="1">
        <f t="array" ref="D205">Common_InputFunctions.Utility_DisplayArrayInTable(Fertiliser_SourceData.Fertiliser_Products_Data4(),FertiliserProducts[[#Headers],[Company]], 91)</f>
        <v>Wengfu Australia</v>
      </c>
      <c r="E205" s="170" t="str" cm="1">
        <f t="array" ref="E205">Common_InputFunctions.Utility_DisplayArrayInTable(Fertiliser_SourceData.Fertiliser_Products_Data4(),FertiliserProducts[[#Headers],[Company]], 91)</f>
        <v>Wengfu 16-18-0-10 DAP SuStain</v>
      </c>
      <c r="F205" s="170" t="str" cm="1">
        <f t="array" ref="F205">Common_InputFunctions.Utility_DisplayArrayInTable(Fertiliser_SourceData.Fertiliser_Products_Data4(),FertiliserProducts[[#Headers],[Company]], 91)</f>
        <v>kg</v>
      </c>
      <c r="G205" s="170" cm="1">
        <f t="array" ref="G205">Common_InputFunctions.Utility_DisplayArrayInTable(Fertiliser_SourceData.Fertiliser_Products_Data4(),FertiliserProducts[[#Headers],[Company]], 91)</f>
        <v>1</v>
      </c>
      <c r="H205" s="170" t="str" cm="1">
        <f t="array" ref="H205">Common_InputFunctions.Utility_DisplayArrayInTable(Fertiliser_SourceData.Fertiliser_Products_Data4(),FertiliserProducts[[#Headers],[Company]], 91)</f>
        <v/>
      </c>
      <c r="I205" s="170" t="str" cm="1">
        <f t="array" ref="I205">Common_InputFunctions.Utility_DisplayArrayInTable(Fertiliser_SourceData.Fertiliser_Products_Data4(),FertiliserProducts[[#Headers],[Company]], 91)</f>
        <v/>
      </c>
      <c r="J205" s="170" t="str" cm="1">
        <f t="array" ref="J205">Common_InputFunctions.Utility_DisplayArrayInTable(Fertiliser_SourceData.Fertiliser_Products_Data4(),FertiliserProducts[[#Headers],[Company]], 91)</f>
        <v/>
      </c>
      <c r="K205" s="170" cm="1">
        <f t="array" ref="K205">Common_InputFunctions.Utility_DisplayArrayInTable(Fertiliser_SourceData.Fertiliser_Products_Data4(),FertiliserProducts[[#Headers],[Company]], 91)</f>
        <v>16.2</v>
      </c>
      <c r="L205" s="170" cm="1">
        <f t="array" ref="L205">Common_InputFunctions.Utility_DisplayArrayInTable(Fertiliser_SourceData.Fertiliser_Products_Data4(),FertiliserProducts[[#Headers],[Company]], 91)</f>
        <v>18</v>
      </c>
      <c r="M205" s="170" cm="1">
        <f t="array" ref="M205">Common_InputFunctions.Utility_DisplayArrayInTable(Fertiliser_SourceData.Fertiliser_Products_Data4(),FertiliserProducts[[#Headers],[Company]], 91)</f>
        <v>0</v>
      </c>
      <c r="N205" s="170" cm="1">
        <f t="array" ref="N205">Common_InputFunctions.Utility_DisplayArrayInTable(Fertiliser_SourceData.Fertiliser_Products_Data4(),FertiliserProducts[[#Headers],[Company]], 91)</f>
        <v>10.4</v>
      </c>
      <c r="O205" s="170" t="str" cm="1">
        <f t="array" ref="O205">Common_InputFunctions.Utility_DisplayArrayInTable(Fertiliser_SourceData.Fertiliser_Products_Data4(),FertiliserProducts[[#Headers],[Company]], 91)</f>
        <v>Nitrogen - Generic</v>
      </c>
      <c r="P205" s="170" cm="1">
        <f t="array" ref="P205">Common_InputFunctions.Utility_DisplayArrayInTable(Fertiliser_SourceData.Fertiliser_Products_Data4(),FertiliserProducts[[#Headers],[Company]], 91)</f>
        <v>0.16200000000000001</v>
      </c>
      <c r="Q205" s="170" t="str" cm="1">
        <f t="array" ref="Q205">Common_InputFunctions.Utility_DisplayArrayInTable(Fertiliser_SourceData.Fertiliser_Products_Data4(),FertiliserProducts[[#Headers],[Company]], 91)</f>
        <v>Phosphorus - Generic</v>
      </c>
      <c r="R205" s="170" cm="1">
        <f t="array" ref="R205">Common_InputFunctions.Utility_DisplayArrayInTable(Fertiliser_SourceData.Fertiliser_Products_Data4(),FertiliserProducts[[#Headers],[Company]], 91)</f>
        <v>0.18</v>
      </c>
      <c r="S205" s="170" t="str" cm="1">
        <f t="array" ref="S205">Common_InputFunctions.Utility_DisplayArrayInTable(Fertiliser_SourceData.Fertiliser_Products_Data4(),FertiliserProducts[[#Headers],[Company]], 91)</f>
        <v>Sulfur - Generic</v>
      </c>
      <c r="T205" s="170" cm="1">
        <f t="array" ref="T205">Common_InputFunctions.Utility_DisplayArrayInTable(Fertiliser_SourceData.Fertiliser_Products_Data4(),FertiliserProducts[[#Headers],[Company]], 91)</f>
        <v>0.104</v>
      </c>
      <c r="U205" s="170" t="str" cm="1">
        <f t="array" ref="U205">Common_InputFunctions.Utility_DisplayArrayInTable(Fertiliser_SourceData.Fertiliser_Products_Data4(),FertiliserProducts[[#Headers],[Company]], 91)</f>
        <v/>
      </c>
      <c r="V205" s="170" t="str" cm="1">
        <f t="array" ref="V205">Common_InputFunctions.Utility_DisplayArrayInTable(Fertiliser_SourceData.Fertiliser_Products_Data4(),FertiliserProducts[[#Headers],[Company]], 91)</f>
        <v/>
      </c>
      <c r="W205" s="170" t="str" cm="1">
        <f t="array" ref="W205">Common_InputFunctions.Utility_DisplayArrayInTable(Fertiliser_SourceData.Fertiliser_Products_Data4(),FertiliserProducts[[#Headers],[Company]], 91)</f>
        <v/>
      </c>
      <c r="X205" s="170" t="str" cm="1">
        <f t="array" ref="X205">Common_InputFunctions.Utility_DisplayArrayInTable(Fertiliser_SourceData.Fertiliser_Products_Data4(),FertiliserProducts[[#Headers],[Company]], 91)</f>
        <v/>
      </c>
      <c r="Y205" s="170" t="str" cm="1">
        <f t="array" ref="Y205">Common_InputFunctions.Utility_DisplayArrayInTable(Fertiliser_SourceData.Fertiliser_Products_Data4(),FertiliserProducts[[#Headers],[Company]], 91)</f>
        <v/>
      </c>
      <c r="Z205" s="170" t="str" cm="1">
        <f t="array" ref="Z205">Common_InputFunctions.Utility_DisplayArrayInTable(Fertiliser_SourceData.Fertiliser_Products_Data4(),FertiliserProducts[[#Headers],[Company]], 91)</f>
        <v/>
      </c>
      <c r="AA205" s="170" t="str" cm="1">
        <f t="array" ref="AA205">Common_InputFunctions.Utility_DisplayArrayInTable(Fertiliser_SourceData.Fertiliser_Products_Data4(),FertiliserProducts[[#Headers],[Company]], 91)</f>
        <v/>
      </c>
      <c r="AB205" s="170" t="str" cm="1">
        <f t="array" ref="AB205">Common_InputFunctions.Utility_DisplayArrayInTable(Fertiliser_SourceData.Fertiliser_Products_Data4(),FertiliserProducts[[#Headers],[Company]], 91)</f>
        <v/>
      </c>
      <c r="AC205" s="170" t="str" cm="1">
        <f t="array" ref="AC205">Common_InputFunctions.Utility_DisplayArrayInTable(Fertiliser_SourceData.Fertiliser_Products_Data4(),FertiliserProducts[[#Headers],[Company]], 91)</f>
        <v/>
      </c>
      <c r="AD205" s="170" t="str" cm="1">
        <f t="array" ref="AD205">Common_InputFunctions.Utility_DisplayArrayInTable(Fertiliser_SourceData.Fertiliser_Products_Data4(),FertiliserProducts[[#Headers],[Company]], 91)</f>
        <v/>
      </c>
      <c r="AE205" s="170" t="str" cm="1">
        <f t="array" ref="AE205">Common_InputFunctions.Utility_DisplayArrayInTable(Fertiliser_SourceData.Fertiliser_Products_Data4(),FertiliserProducts[[#Headers],[Company]], 91)</f>
        <v/>
      </c>
      <c r="AF205" s="170" t="str" cm="1">
        <f t="array" ref="AF205">Common_InputFunctions.Utility_DisplayArrayInTable(Fertiliser_SourceData.Fertiliser_Products_Data4(),FertiliserProducts[[#Headers],[Company]], 91)</f>
        <v/>
      </c>
      <c r="AG205" s="170" t="str" cm="1">
        <f t="array" ref="AG205">Common_InputFunctions.Utility_DisplayArrayInTable(Fertiliser_SourceData.Fertiliser_Products_Data4(),FertiliserProducts[[#Headers],[Company]], 91)</f>
        <v/>
      </c>
      <c r="AH205" s="170" t="str" cm="1">
        <f t="array" ref="AH205">Common_InputFunctions.Utility_DisplayArrayInTable(Fertiliser_SourceData.Fertiliser_Products_Data4(),FertiliserProducts[[#Headers],[Company]], 91)</f>
        <v/>
      </c>
    </row>
    <row r="206" spans="1:34" ht="20.100000000000001" customHeight="1" x14ac:dyDescent="0.2">
      <c r="D206" s="170" t="str" cm="1">
        <f t="array" ref="D206">Common_InputFunctions.Utility_DisplayArrayInTable(Fertiliser_SourceData.Fertiliser_Products_Data4(),FertiliserProducts[[#Headers],[Company]], 91)</f>
        <v>Wengfu Australia</v>
      </c>
      <c r="E206" s="170" t="str" cm="1">
        <f t="array" ref="E206">Common_InputFunctions.Utility_DisplayArrayInTable(Fertiliser_SourceData.Fertiliser_Products_Data4(),FertiliserProducts[[#Headers],[Company]], 91)</f>
        <v>Wengfu 5-15-0-6 Fast Start Legume</v>
      </c>
      <c r="F206" s="170" t="str" cm="1">
        <f t="array" ref="F206">Common_InputFunctions.Utility_DisplayArrayInTable(Fertiliser_SourceData.Fertiliser_Products_Data4(),FertiliserProducts[[#Headers],[Company]], 91)</f>
        <v>kg</v>
      </c>
      <c r="G206" s="170" cm="1">
        <f t="array" ref="G206">Common_InputFunctions.Utility_DisplayArrayInTable(Fertiliser_SourceData.Fertiliser_Products_Data4(),FertiliserProducts[[#Headers],[Company]], 91)</f>
        <v>1</v>
      </c>
      <c r="H206" s="170" t="str" cm="1">
        <f t="array" ref="H206">Common_InputFunctions.Utility_DisplayArrayInTable(Fertiliser_SourceData.Fertiliser_Products_Data4(),FertiliserProducts[[#Headers],[Company]], 91)</f>
        <v/>
      </c>
      <c r="I206" s="170" t="str" cm="1">
        <f t="array" ref="I206">Common_InputFunctions.Utility_DisplayArrayInTable(Fertiliser_SourceData.Fertiliser_Products_Data4(),FertiliserProducts[[#Headers],[Company]], 91)</f>
        <v/>
      </c>
      <c r="J206" s="170" t="str" cm="1">
        <f t="array" ref="J206">Common_InputFunctions.Utility_DisplayArrayInTable(Fertiliser_SourceData.Fertiliser_Products_Data4(),FertiliserProducts[[#Headers],[Company]], 91)</f>
        <v/>
      </c>
      <c r="K206" s="170" cm="1">
        <f t="array" ref="K206">Common_InputFunctions.Utility_DisplayArrayInTable(Fertiliser_SourceData.Fertiliser_Products_Data4(),FertiliserProducts[[#Headers],[Company]], 91)</f>
        <v>5</v>
      </c>
      <c r="L206" s="170" cm="1">
        <f t="array" ref="L206">Common_InputFunctions.Utility_DisplayArrayInTable(Fertiliser_SourceData.Fertiliser_Products_Data4(),FertiliserProducts[[#Headers],[Company]], 91)</f>
        <v>15.4</v>
      </c>
      <c r="M206" s="170" cm="1">
        <f t="array" ref="M206">Common_InputFunctions.Utility_DisplayArrayInTable(Fertiliser_SourceData.Fertiliser_Products_Data4(),FertiliserProducts[[#Headers],[Company]], 91)</f>
        <v>0</v>
      </c>
      <c r="N206" s="170" cm="1">
        <f t="array" ref="N206">Common_InputFunctions.Utility_DisplayArrayInTable(Fertiliser_SourceData.Fertiliser_Products_Data4(),FertiliserProducts[[#Headers],[Company]], 91)</f>
        <v>6.3</v>
      </c>
      <c r="O206" s="170" t="str" cm="1">
        <f t="array" ref="O206">Common_InputFunctions.Utility_DisplayArrayInTable(Fertiliser_SourceData.Fertiliser_Products_Data4(),FertiliserProducts[[#Headers],[Company]], 91)</f>
        <v>Nitrogen - Generic</v>
      </c>
      <c r="P206" s="170" cm="1">
        <f t="array" ref="P206">Common_InputFunctions.Utility_DisplayArrayInTable(Fertiliser_SourceData.Fertiliser_Products_Data4(),FertiliserProducts[[#Headers],[Company]], 91)</f>
        <v>0.05</v>
      </c>
      <c r="Q206" s="170" t="str" cm="1">
        <f t="array" ref="Q206">Common_InputFunctions.Utility_DisplayArrayInTable(Fertiliser_SourceData.Fertiliser_Products_Data4(),FertiliserProducts[[#Headers],[Company]], 91)</f>
        <v>Phosphorus - Generic</v>
      </c>
      <c r="R206" s="170" cm="1">
        <f t="array" ref="R206">Common_InputFunctions.Utility_DisplayArrayInTable(Fertiliser_SourceData.Fertiliser_Products_Data4(),FertiliserProducts[[#Headers],[Company]], 91)</f>
        <v>0.154</v>
      </c>
      <c r="S206" s="170" t="str" cm="1">
        <f t="array" ref="S206">Common_InputFunctions.Utility_DisplayArrayInTable(Fertiliser_SourceData.Fertiliser_Products_Data4(),FertiliserProducts[[#Headers],[Company]], 91)</f>
        <v>Sulfur - Generic</v>
      </c>
      <c r="T206" s="170" cm="1">
        <f t="array" ref="T206">Common_InputFunctions.Utility_DisplayArrayInTable(Fertiliser_SourceData.Fertiliser_Products_Data4(),FertiliserProducts[[#Headers],[Company]], 91)</f>
        <v>6.3E-2</v>
      </c>
      <c r="U206" s="170" t="str" cm="1">
        <f t="array" ref="U206">Common_InputFunctions.Utility_DisplayArrayInTable(Fertiliser_SourceData.Fertiliser_Products_Data4(),FertiliserProducts[[#Headers],[Company]], 91)</f>
        <v/>
      </c>
      <c r="V206" s="170" t="str" cm="1">
        <f t="array" ref="V206">Common_InputFunctions.Utility_DisplayArrayInTable(Fertiliser_SourceData.Fertiliser_Products_Data4(),FertiliserProducts[[#Headers],[Company]], 91)</f>
        <v/>
      </c>
      <c r="W206" s="170" t="str" cm="1">
        <f t="array" ref="W206">Common_InputFunctions.Utility_DisplayArrayInTable(Fertiliser_SourceData.Fertiliser_Products_Data4(),FertiliserProducts[[#Headers],[Company]], 91)</f>
        <v/>
      </c>
      <c r="X206" s="170" t="str" cm="1">
        <f t="array" ref="X206">Common_InputFunctions.Utility_DisplayArrayInTable(Fertiliser_SourceData.Fertiliser_Products_Data4(),FertiliserProducts[[#Headers],[Company]], 91)</f>
        <v/>
      </c>
      <c r="Y206" s="170" t="str" cm="1">
        <f t="array" ref="Y206">Common_InputFunctions.Utility_DisplayArrayInTable(Fertiliser_SourceData.Fertiliser_Products_Data4(),FertiliserProducts[[#Headers],[Company]], 91)</f>
        <v/>
      </c>
      <c r="Z206" s="170" t="str" cm="1">
        <f t="array" ref="Z206">Common_InputFunctions.Utility_DisplayArrayInTable(Fertiliser_SourceData.Fertiliser_Products_Data4(),FertiliserProducts[[#Headers],[Company]], 91)</f>
        <v/>
      </c>
      <c r="AA206" s="170" t="str" cm="1">
        <f t="array" ref="AA206">Common_InputFunctions.Utility_DisplayArrayInTable(Fertiliser_SourceData.Fertiliser_Products_Data4(),FertiliserProducts[[#Headers],[Company]], 91)</f>
        <v/>
      </c>
      <c r="AB206" s="170" t="str" cm="1">
        <f t="array" ref="AB206">Common_InputFunctions.Utility_DisplayArrayInTable(Fertiliser_SourceData.Fertiliser_Products_Data4(),FertiliserProducts[[#Headers],[Company]], 91)</f>
        <v/>
      </c>
      <c r="AC206" s="170" t="str" cm="1">
        <f t="array" ref="AC206">Common_InputFunctions.Utility_DisplayArrayInTable(Fertiliser_SourceData.Fertiliser_Products_Data4(),FertiliserProducts[[#Headers],[Company]], 91)</f>
        <v/>
      </c>
      <c r="AD206" s="170" t="str" cm="1">
        <f t="array" ref="AD206">Common_InputFunctions.Utility_DisplayArrayInTable(Fertiliser_SourceData.Fertiliser_Products_Data4(),FertiliserProducts[[#Headers],[Company]], 91)</f>
        <v/>
      </c>
      <c r="AE206" s="170" t="str" cm="1">
        <f t="array" ref="AE206">Common_InputFunctions.Utility_DisplayArrayInTable(Fertiliser_SourceData.Fertiliser_Products_Data4(),FertiliserProducts[[#Headers],[Company]], 91)</f>
        <v/>
      </c>
      <c r="AF206" s="170" t="str" cm="1">
        <f t="array" ref="AF206">Common_InputFunctions.Utility_DisplayArrayInTable(Fertiliser_SourceData.Fertiliser_Products_Data4(),FertiliserProducts[[#Headers],[Company]], 91)</f>
        <v/>
      </c>
      <c r="AG206" s="170" t="str" cm="1">
        <f t="array" ref="AG206">Common_InputFunctions.Utility_DisplayArrayInTable(Fertiliser_SourceData.Fertiliser_Products_Data4(),FertiliserProducts[[#Headers],[Company]], 91)</f>
        <v/>
      </c>
      <c r="AH206" s="170" t="str" cm="1">
        <f t="array" ref="AH206">Common_InputFunctions.Utility_DisplayArrayInTable(Fertiliser_SourceData.Fertiliser_Products_Data4(),FertiliserProducts[[#Headers],[Company]], 91)</f>
        <v/>
      </c>
    </row>
    <row r="207" spans="1:34" ht="20.100000000000001" customHeight="1" x14ac:dyDescent="0.2">
      <c r="D207" s="170" t="str" cm="1">
        <f t="array" ref="D207">Common_InputFunctions.Utility_DisplayArrayInTable(Fertiliser_SourceData.Fertiliser_Products_Data4(),FertiliserProducts[[#Headers],[Company]], 91)</f>
        <v>Wengfu Australia</v>
      </c>
      <c r="E207" s="170" t="str" cm="1">
        <f t="array" ref="E207">Common_InputFunctions.Utility_DisplayArrayInTable(Fertiliser_SourceData.Fertiliser_Products_Data4(),FertiliserProducts[[#Headers],[Company]], 91)</f>
        <v>Wengfu 9-20-0-10 PrimeZinc</v>
      </c>
      <c r="F207" s="170" t="str" cm="1">
        <f t="array" ref="F207">Common_InputFunctions.Utility_DisplayArrayInTable(Fertiliser_SourceData.Fertiliser_Products_Data4(),FertiliserProducts[[#Headers],[Company]], 91)</f>
        <v>kg</v>
      </c>
      <c r="G207" s="170" cm="1">
        <f t="array" ref="G207">Common_InputFunctions.Utility_DisplayArrayInTable(Fertiliser_SourceData.Fertiliser_Products_Data4(),FertiliserProducts[[#Headers],[Company]], 91)</f>
        <v>1</v>
      </c>
      <c r="H207" s="170" t="str" cm="1">
        <f t="array" ref="H207">Common_InputFunctions.Utility_DisplayArrayInTable(Fertiliser_SourceData.Fertiliser_Products_Data4(),FertiliserProducts[[#Headers],[Company]], 91)</f>
        <v/>
      </c>
      <c r="I207" s="170" t="str" cm="1">
        <f t="array" ref="I207">Common_InputFunctions.Utility_DisplayArrayInTable(Fertiliser_SourceData.Fertiliser_Products_Data4(),FertiliserProducts[[#Headers],[Company]], 91)</f>
        <v/>
      </c>
      <c r="J207" s="170" t="str" cm="1">
        <f t="array" ref="J207">Common_InputFunctions.Utility_DisplayArrayInTable(Fertiliser_SourceData.Fertiliser_Products_Data4(),FertiliserProducts[[#Headers],[Company]], 91)</f>
        <v/>
      </c>
      <c r="K207" s="170" cm="1">
        <f t="array" ref="K207">Common_InputFunctions.Utility_DisplayArrayInTable(Fertiliser_SourceData.Fertiliser_Products_Data4(),FertiliserProducts[[#Headers],[Company]], 91)</f>
        <v>9</v>
      </c>
      <c r="L207" s="170" cm="1">
        <f t="array" ref="L207">Common_InputFunctions.Utility_DisplayArrayInTable(Fertiliser_SourceData.Fertiliser_Products_Data4(),FertiliserProducts[[#Headers],[Company]], 91)</f>
        <v>19.8</v>
      </c>
      <c r="M207" s="170" cm="1">
        <f t="array" ref="M207">Common_InputFunctions.Utility_DisplayArrayInTable(Fertiliser_SourceData.Fertiliser_Products_Data4(),FertiliserProducts[[#Headers],[Company]], 91)</f>
        <v>0</v>
      </c>
      <c r="N207" s="170" cm="1">
        <f t="array" ref="N207">Common_InputFunctions.Utility_DisplayArrayInTable(Fertiliser_SourceData.Fertiliser_Products_Data4(),FertiliserProducts[[#Headers],[Company]], 91)</f>
        <v>10.4</v>
      </c>
      <c r="O207" s="170" t="str" cm="1">
        <f t="array" ref="O207">Common_InputFunctions.Utility_DisplayArrayInTable(Fertiliser_SourceData.Fertiliser_Products_Data4(),FertiliserProducts[[#Headers],[Company]], 91)</f>
        <v>Nitrogen - Generic</v>
      </c>
      <c r="P207" s="170" cm="1">
        <f t="array" ref="P207">Common_InputFunctions.Utility_DisplayArrayInTable(Fertiliser_SourceData.Fertiliser_Products_Data4(),FertiliserProducts[[#Headers],[Company]], 91)</f>
        <v>0.09</v>
      </c>
      <c r="Q207" s="170" t="str" cm="1">
        <f t="array" ref="Q207">Common_InputFunctions.Utility_DisplayArrayInTable(Fertiliser_SourceData.Fertiliser_Products_Data4(),FertiliserProducts[[#Headers],[Company]], 91)</f>
        <v>Phosphorus - Generic</v>
      </c>
      <c r="R207" s="170" cm="1">
        <f t="array" ref="R207">Common_InputFunctions.Utility_DisplayArrayInTable(Fertiliser_SourceData.Fertiliser_Products_Data4(),FertiliserProducts[[#Headers],[Company]], 91)</f>
        <v>0.19800000000000001</v>
      </c>
      <c r="S207" s="170" t="str" cm="1">
        <f t="array" ref="S207">Common_InputFunctions.Utility_DisplayArrayInTable(Fertiliser_SourceData.Fertiliser_Products_Data4(),FertiliserProducts[[#Headers],[Company]], 91)</f>
        <v>Sulfur - Generic</v>
      </c>
      <c r="T207" s="170" cm="1">
        <f t="array" ref="T207">Common_InputFunctions.Utility_DisplayArrayInTable(Fertiliser_SourceData.Fertiliser_Products_Data4(),FertiliserProducts[[#Headers],[Company]], 91)</f>
        <v>0.104</v>
      </c>
      <c r="U207" s="170" t="str" cm="1">
        <f t="array" ref="U207">Common_InputFunctions.Utility_DisplayArrayInTable(Fertiliser_SourceData.Fertiliser_Products_Data4(),FertiliserProducts[[#Headers],[Company]], 91)</f>
        <v>Zinc</v>
      </c>
      <c r="V207" s="170" cm="1">
        <f t="array" ref="V207">Common_InputFunctions.Utility_DisplayArrayInTable(Fertiliser_SourceData.Fertiliser_Products_Data4(),FertiliserProducts[[#Headers],[Company]], 91)</f>
        <v>8.9999999999999993E-3</v>
      </c>
      <c r="W207" s="170" t="str" cm="1">
        <f t="array" ref="W207">Common_InputFunctions.Utility_DisplayArrayInTable(Fertiliser_SourceData.Fertiliser_Products_Data4(),FertiliserProducts[[#Headers],[Company]], 91)</f>
        <v/>
      </c>
      <c r="X207" s="170" t="str" cm="1">
        <f t="array" ref="X207">Common_InputFunctions.Utility_DisplayArrayInTable(Fertiliser_SourceData.Fertiliser_Products_Data4(),FertiliserProducts[[#Headers],[Company]], 91)</f>
        <v/>
      </c>
      <c r="Y207" s="170" t="str" cm="1">
        <f t="array" ref="Y207">Common_InputFunctions.Utility_DisplayArrayInTable(Fertiliser_SourceData.Fertiliser_Products_Data4(),FertiliserProducts[[#Headers],[Company]], 91)</f>
        <v/>
      </c>
      <c r="Z207" s="170" t="str" cm="1">
        <f t="array" ref="Z207">Common_InputFunctions.Utility_DisplayArrayInTable(Fertiliser_SourceData.Fertiliser_Products_Data4(),FertiliserProducts[[#Headers],[Company]], 91)</f>
        <v/>
      </c>
      <c r="AA207" s="170" t="str" cm="1">
        <f t="array" ref="AA207">Common_InputFunctions.Utility_DisplayArrayInTable(Fertiliser_SourceData.Fertiliser_Products_Data4(),FertiliserProducts[[#Headers],[Company]], 91)</f>
        <v/>
      </c>
      <c r="AB207" s="170" t="str" cm="1">
        <f t="array" ref="AB207">Common_InputFunctions.Utility_DisplayArrayInTable(Fertiliser_SourceData.Fertiliser_Products_Data4(),FertiliserProducts[[#Headers],[Company]], 91)</f>
        <v/>
      </c>
      <c r="AC207" s="170" t="str" cm="1">
        <f t="array" ref="AC207">Common_InputFunctions.Utility_DisplayArrayInTable(Fertiliser_SourceData.Fertiliser_Products_Data4(),FertiliserProducts[[#Headers],[Company]], 91)</f>
        <v/>
      </c>
      <c r="AD207" s="170" t="str" cm="1">
        <f t="array" ref="AD207">Common_InputFunctions.Utility_DisplayArrayInTable(Fertiliser_SourceData.Fertiliser_Products_Data4(),FertiliserProducts[[#Headers],[Company]], 91)</f>
        <v/>
      </c>
      <c r="AE207" s="170" t="str" cm="1">
        <f t="array" ref="AE207">Common_InputFunctions.Utility_DisplayArrayInTable(Fertiliser_SourceData.Fertiliser_Products_Data4(),FertiliserProducts[[#Headers],[Company]], 91)</f>
        <v/>
      </c>
      <c r="AF207" s="170" t="str" cm="1">
        <f t="array" ref="AF207">Common_InputFunctions.Utility_DisplayArrayInTable(Fertiliser_SourceData.Fertiliser_Products_Data4(),FertiliserProducts[[#Headers],[Company]], 91)</f>
        <v/>
      </c>
      <c r="AG207" s="170" t="str" cm="1">
        <f t="array" ref="AG207">Common_InputFunctions.Utility_DisplayArrayInTable(Fertiliser_SourceData.Fertiliser_Products_Data4(),FertiliserProducts[[#Headers],[Company]], 91)</f>
        <v/>
      </c>
      <c r="AH207" s="170" t="str" cm="1">
        <f t="array" ref="AH207">Common_InputFunctions.Utility_DisplayArrayInTable(Fertiliser_SourceData.Fertiliser_Products_Data4(),FertiliserProducts[[#Headers],[Company]], 91)</f>
        <v/>
      </c>
    </row>
    <row r="208" spans="1:34" ht="20.100000000000001" customHeight="1" x14ac:dyDescent="0.2">
      <c r="A208" s="81" t="str">
        <f>HYPERLINK("#A1", "▲ Back to top")</f>
        <v>▲ Back to top</v>
      </c>
      <c r="D208" s="170" t="str" cm="1">
        <f t="array" ref="D208">Common_InputFunctions.Utility_DisplayArrayInTable(Fertiliser_SourceData.Fertiliser_Products_Data4(),FertiliserProducts[[#Headers],[Company]], 91)</f>
        <v>Wengfu Australia</v>
      </c>
      <c r="E208" s="170" t="str" cm="1">
        <f t="array" ref="E208">Common_InputFunctions.Utility_DisplayArrayInTable(Fertiliser_SourceData.Fertiliser_Products_Data4(),FertiliserProducts[[#Headers],[Company]], 91)</f>
        <v>Wengfu 12-18-0-6 PrimeZinc</v>
      </c>
      <c r="F208" s="170" t="str" cm="1">
        <f t="array" ref="F208">Common_InputFunctions.Utility_DisplayArrayInTable(Fertiliser_SourceData.Fertiliser_Products_Data4(),FertiliserProducts[[#Headers],[Company]], 91)</f>
        <v>kg</v>
      </c>
      <c r="G208" s="170" cm="1">
        <f t="array" ref="G208">Common_InputFunctions.Utility_DisplayArrayInTable(Fertiliser_SourceData.Fertiliser_Products_Data4(),FertiliserProducts[[#Headers],[Company]], 91)</f>
        <v>1</v>
      </c>
      <c r="H208" s="170" t="str" cm="1">
        <f t="array" ref="H208">Common_InputFunctions.Utility_DisplayArrayInTable(Fertiliser_SourceData.Fertiliser_Products_Data4(),FertiliserProducts[[#Headers],[Company]], 91)</f>
        <v/>
      </c>
      <c r="I208" s="170" t="str" cm="1">
        <f t="array" ref="I208">Common_InputFunctions.Utility_DisplayArrayInTable(Fertiliser_SourceData.Fertiliser_Products_Data4(),FertiliserProducts[[#Headers],[Company]], 91)</f>
        <v/>
      </c>
      <c r="J208" s="170" t="str" cm="1">
        <f t="array" ref="J208">Common_InputFunctions.Utility_DisplayArrayInTable(Fertiliser_SourceData.Fertiliser_Products_Data4(),FertiliserProducts[[#Headers],[Company]], 91)</f>
        <v/>
      </c>
      <c r="K208" s="170" cm="1">
        <f t="array" ref="K208">Common_InputFunctions.Utility_DisplayArrayInTable(Fertiliser_SourceData.Fertiliser_Products_Data4(),FertiliserProducts[[#Headers],[Company]], 91)</f>
        <v>11.9</v>
      </c>
      <c r="L208" s="170" cm="1">
        <f t="array" ref="L208">Common_InputFunctions.Utility_DisplayArrayInTable(Fertiliser_SourceData.Fertiliser_Products_Data4(),FertiliserProducts[[#Headers],[Company]], 91)</f>
        <v>17.600000000000001</v>
      </c>
      <c r="M208" s="170" cm="1">
        <f t="array" ref="M208">Common_InputFunctions.Utility_DisplayArrayInTable(Fertiliser_SourceData.Fertiliser_Products_Data4(),FertiliserProducts[[#Headers],[Company]], 91)</f>
        <v>0</v>
      </c>
      <c r="N208" s="170" cm="1">
        <f t="array" ref="N208">Common_InputFunctions.Utility_DisplayArrayInTable(Fertiliser_SourceData.Fertiliser_Products_Data4(),FertiliserProducts[[#Headers],[Company]], 91)</f>
        <v>5.9</v>
      </c>
      <c r="O208" s="170" t="str" cm="1">
        <f t="array" ref="O208">Common_InputFunctions.Utility_DisplayArrayInTable(Fertiliser_SourceData.Fertiliser_Products_Data4(),FertiliserProducts[[#Headers],[Company]], 91)</f>
        <v>Nitrogen - Generic</v>
      </c>
      <c r="P208" s="170" cm="1">
        <f t="array" ref="P208">Common_InputFunctions.Utility_DisplayArrayInTable(Fertiliser_SourceData.Fertiliser_Products_Data4(),FertiliserProducts[[#Headers],[Company]], 91)</f>
        <v>0.11899999999999999</v>
      </c>
      <c r="Q208" s="170" t="str" cm="1">
        <f t="array" ref="Q208">Common_InputFunctions.Utility_DisplayArrayInTable(Fertiliser_SourceData.Fertiliser_Products_Data4(),FertiliserProducts[[#Headers],[Company]], 91)</f>
        <v>Phosphorus - Generic</v>
      </c>
      <c r="R208" s="170" cm="1">
        <f t="array" ref="R208">Common_InputFunctions.Utility_DisplayArrayInTable(Fertiliser_SourceData.Fertiliser_Products_Data4(),FertiliserProducts[[#Headers],[Company]], 91)</f>
        <v>0.17599999999999999</v>
      </c>
      <c r="S208" s="170" t="str" cm="1">
        <f t="array" ref="S208">Common_InputFunctions.Utility_DisplayArrayInTable(Fertiliser_SourceData.Fertiliser_Products_Data4(),FertiliserProducts[[#Headers],[Company]], 91)</f>
        <v>Sulfur - Generic</v>
      </c>
      <c r="T208" s="170" cm="1">
        <f t="array" ref="T208">Common_InputFunctions.Utility_DisplayArrayInTable(Fertiliser_SourceData.Fertiliser_Products_Data4(),FertiliserProducts[[#Headers],[Company]], 91)</f>
        <v>5.8999999999999997E-2</v>
      </c>
      <c r="U208" s="170" t="str" cm="1">
        <f t="array" ref="U208">Common_InputFunctions.Utility_DisplayArrayInTable(Fertiliser_SourceData.Fertiliser_Products_Data4(),FertiliserProducts[[#Headers],[Company]], 91)</f>
        <v>Zinc</v>
      </c>
      <c r="V208" s="170" cm="1">
        <f t="array" ref="V208">Common_InputFunctions.Utility_DisplayArrayInTable(Fertiliser_SourceData.Fertiliser_Products_Data4(),FertiliserProducts[[#Headers],[Company]], 91)</f>
        <v>8.0000000000000002E-3</v>
      </c>
      <c r="W208" s="170" t="str" cm="1">
        <f t="array" ref="W208">Common_InputFunctions.Utility_DisplayArrayInTable(Fertiliser_SourceData.Fertiliser_Products_Data4(),FertiliserProducts[[#Headers],[Company]], 91)</f>
        <v/>
      </c>
      <c r="X208" s="170" t="str" cm="1">
        <f t="array" ref="X208">Common_InputFunctions.Utility_DisplayArrayInTable(Fertiliser_SourceData.Fertiliser_Products_Data4(),FertiliserProducts[[#Headers],[Company]], 91)</f>
        <v/>
      </c>
      <c r="Y208" s="170" t="str" cm="1">
        <f t="array" ref="Y208">Common_InputFunctions.Utility_DisplayArrayInTable(Fertiliser_SourceData.Fertiliser_Products_Data4(),FertiliserProducts[[#Headers],[Company]], 91)</f>
        <v/>
      </c>
      <c r="Z208" s="170" t="str" cm="1">
        <f t="array" ref="Z208">Common_InputFunctions.Utility_DisplayArrayInTable(Fertiliser_SourceData.Fertiliser_Products_Data4(),FertiliserProducts[[#Headers],[Company]], 91)</f>
        <v/>
      </c>
      <c r="AA208" s="170" t="str" cm="1">
        <f t="array" ref="AA208">Common_InputFunctions.Utility_DisplayArrayInTable(Fertiliser_SourceData.Fertiliser_Products_Data4(),FertiliserProducts[[#Headers],[Company]], 91)</f>
        <v/>
      </c>
      <c r="AB208" s="170" t="str" cm="1">
        <f t="array" ref="AB208">Common_InputFunctions.Utility_DisplayArrayInTable(Fertiliser_SourceData.Fertiliser_Products_Data4(),FertiliserProducts[[#Headers],[Company]], 91)</f>
        <v/>
      </c>
      <c r="AC208" s="170" t="str" cm="1">
        <f t="array" ref="AC208">Common_InputFunctions.Utility_DisplayArrayInTable(Fertiliser_SourceData.Fertiliser_Products_Data4(),FertiliserProducts[[#Headers],[Company]], 91)</f>
        <v/>
      </c>
      <c r="AD208" s="170" t="str" cm="1">
        <f t="array" ref="AD208">Common_InputFunctions.Utility_DisplayArrayInTable(Fertiliser_SourceData.Fertiliser_Products_Data4(),FertiliserProducts[[#Headers],[Company]], 91)</f>
        <v/>
      </c>
      <c r="AE208" s="170" t="str" cm="1">
        <f t="array" ref="AE208">Common_InputFunctions.Utility_DisplayArrayInTable(Fertiliser_SourceData.Fertiliser_Products_Data4(),FertiliserProducts[[#Headers],[Company]], 91)</f>
        <v/>
      </c>
      <c r="AF208" s="170" t="str" cm="1">
        <f t="array" ref="AF208">Common_InputFunctions.Utility_DisplayArrayInTable(Fertiliser_SourceData.Fertiliser_Products_Data4(),FertiliserProducts[[#Headers],[Company]], 91)</f>
        <v/>
      </c>
      <c r="AG208" s="170" t="str" cm="1">
        <f t="array" ref="AG208">Common_InputFunctions.Utility_DisplayArrayInTable(Fertiliser_SourceData.Fertiliser_Products_Data4(),FertiliserProducts[[#Headers],[Company]], 91)</f>
        <v/>
      </c>
      <c r="AH208" s="170" t="str" cm="1">
        <f t="array" ref="AH208">Common_InputFunctions.Utility_DisplayArrayInTable(Fertiliser_SourceData.Fertiliser_Products_Data4(),FertiliserProducts[[#Headers],[Company]], 91)</f>
        <v/>
      </c>
    </row>
    <row r="209" spans="4:34" ht="20.100000000000001" customHeight="1" x14ac:dyDescent="0.2">
      <c r="D209" s="170" t="str" cm="1">
        <f t="array" ref="D209">Common_InputFunctions.Utility_DisplayArrayInTable(Fertiliser_SourceData.Fertiliser_Products_Data4(),FertiliserProducts[[#Headers],[Company]], 91)</f>
        <v>Wengfu Australia</v>
      </c>
      <c r="E209" s="170" t="str" cm="1">
        <f t="array" ref="E209">Common_InputFunctions.Utility_DisplayArrayInTable(Fertiliser_SourceData.Fertiliser_Products_Data4(),FertiliserProducts[[#Headers],[Company]], 91)</f>
        <v>Wengfu 14-13-0-11 PrimeZinc</v>
      </c>
      <c r="F209" s="170" t="str" cm="1">
        <f t="array" ref="F209">Common_InputFunctions.Utility_DisplayArrayInTable(Fertiliser_SourceData.Fertiliser_Products_Data4(),FertiliserProducts[[#Headers],[Company]], 91)</f>
        <v>kg</v>
      </c>
      <c r="G209" s="170" cm="1">
        <f t="array" ref="G209">Common_InputFunctions.Utility_DisplayArrayInTable(Fertiliser_SourceData.Fertiliser_Products_Data4(),FertiliserProducts[[#Headers],[Company]], 91)</f>
        <v>1</v>
      </c>
      <c r="H209" s="170" t="str" cm="1">
        <f t="array" ref="H209">Common_InputFunctions.Utility_DisplayArrayInTable(Fertiliser_SourceData.Fertiliser_Products_Data4(),FertiliserProducts[[#Headers],[Company]], 91)</f>
        <v/>
      </c>
      <c r="I209" s="170" t="str" cm="1">
        <f t="array" ref="I209">Common_InputFunctions.Utility_DisplayArrayInTable(Fertiliser_SourceData.Fertiliser_Products_Data4(),FertiliserProducts[[#Headers],[Company]], 91)</f>
        <v/>
      </c>
      <c r="J209" s="170" t="str" cm="1">
        <f t="array" ref="J209">Common_InputFunctions.Utility_DisplayArrayInTable(Fertiliser_SourceData.Fertiliser_Products_Data4(),FertiliserProducts[[#Headers],[Company]], 91)</f>
        <v/>
      </c>
      <c r="K209" s="170" cm="1">
        <f t="array" ref="K209">Common_InputFunctions.Utility_DisplayArrayInTable(Fertiliser_SourceData.Fertiliser_Products_Data4(),FertiliserProducts[[#Headers],[Company]], 91)</f>
        <v>14.1</v>
      </c>
      <c r="L209" s="170" cm="1">
        <f t="array" ref="L209">Common_InputFunctions.Utility_DisplayArrayInTable(Fertiliser_SourceData.Fertiliser_Products_Data4(),FertiliserProducts[[#Headers],[Company]], 91)</f>
        <v>12.8</v>
      </c>
      <c r="M209" s="170" cm="1">
        <f t="array" ref="M209">Common_InputFunctions.Utility_DisplayArrayInTable(Fertiliser_SourceData.Fertiliser_Products_Data4(),FertiliserProducts[[#Headers],[Company]], 91)</f>
        <v>0</v>
      </c>
      <c r="N209" s="170" cm="1">
        <f t="array" ref="N209">Common_InputFunctions.Utility_DisplayArrayInTable(Fertiliser_SourceData.Fertiliser_Products_Data4(),FertiliserProducts[[#Headers],[Company]], 91)</f>
        <v>10.7</v>
      </c>
      <c r="O209" s="170" t="str" cm="1">
        <f t="array" ref="O209">Common_InputFunctions.Utility_DisplayArrayInTable(Fertiliser_SourceData.Fertiliser_Products_Data4(),FertiliserProducts[[#Headers],[Company]], 91)</f>
        <v>Nitrogen - Generic</v>
      </c>
      <c r="P209" s="170" cm="1">
        <f t="array" ref="P209">Common_InputFunctions.Utility_DisplayArrayInTable(Fertiliser_SourceData.Fertiliser_Products_Data4(),FertiliserProducts[[#Headers],[Company]], 91)</f>
        <v>0.14099999999999999</v>
      </c>
      <c r="Q209" s="170" t="str" cm="1">
        <f t="array" ref="Q209">Common_InputFunctions.Utility_DisplayArrayInTable(Fertiliser_SourceData.Fertiliser_Products_Data4(),FertiliserProducts[[#Headers],[Company]], 91)</f>
        <v>Phosphorus - Generic</v>
      </c>
      <c r="R209" s="170" cm="1">
        <f t="array" ref="R209">Common_InputFunctions.Utility_DisplayArrayInTable(Fertiliser_SourceData.Fertiliser_Products_Data4(),FertiliserProducts[[#Headers],[Company]], 91)</f>
        <v>0.128</v>
      </c>
      <c r="S209" s="170" t="str" cm="1">
        <f t="array" ref="S209">Common_InputFunctions.Utility_DisplayArrayInTable(Fertiliser_SourceData.Fertiliser_Products_Data4(),FertiliserProducts[[#Headers],[Company]], 91)</f>
        <v>Sulfur - Generic</v>
      </c>
      <c r="T209" s="170" cm="1">
        <f t="array" ref="T209">Common_InputFunctions.Utility_DisplayArrayInTable(Fertiliser_SourceData.Fertiliser_Products_Data4(),FertiliserProducts[[#Headers],[Company]], 91)</f>
        <v>0.107</v>
      </c>
      <c r="U209" s="170" t="str" cm="1">
        <f t="array" ref="U209">Common_InputFunctions.Utility_DisplayArrayInTable(Fertiliser_SourceData.Fertiliser_Products_Data4(),FertiliserProducts[[#Headers],[Company]], 91)</f>
        <v>Zinc</v>
      </c>
      <c r="V209" s="170" cm="1">
        <f t="array" ref="V209">Common_InputFunctions.Utility_DisplayArrayInTable(Fertiliser_SourceData.Fertiliser_Products_Data4(),FertiliserProducts[[#Headers],[Company]], 91)</f>
        <v>6.0000000000000001E-3</v>
      </c>
      <c r="W209" s="170" t="str" cm="1">
        <f t="array" ref="W209">Common_InputFunctions.Utility_DisplayArrayInTable(Fertiliser_SourceData.Fertiliser_Products_Data4(),FertiliserProducts[[#Headers],[Company]], 91)</f>
        <v/>
      </c>
      <c r="X209" s="170" t="str" cm="1">
        <f t="array" ref="X209">Common_InputFunctions.Utility_DisplayArrayInTable(Fertiliser_SourceData.Fertiliser_Products_Data4(),FertiliserProducts[[#Headers],[Company]], 91)</f>
        <v/>
      </c>
      <c r="Y209" s="170" t="str" cm="1">
        <f t="array" ref="Y209">Common_InputFunctions.Utility_DisplayArrayInTable(Fertiliser_SourceData.Fertiliser_Products_Data4(),FertiliserProducts[[#Headers],[Company]], 91)</f>
        <v/>
      </c>
      <c r="Z209" s="170" t="str" cm="1">
        <f t="array" ref="Z209">Common_InputFunctions.Utility_DisplayArrayInTable(Fertiliser_SourceData.Fertiliser_Products_Data4(),FertiliserProducts[[#Headers],[Company]], 91)</f>
        <v/>
      </c>
      <c r="AA209" s="170" t="str" cm="1">
        <f t="array" ref="AA209">Common_InputFunctions.Utility_DisplayArrayInTable(Fertiliser_SourceData.Fertiliser_Products_Data4(),FertiliserProducts[[#Headers],[Company]], 91)</f>
        <v/>
      </c>
      <c r="AB209" s="170" t="str" cm="1">
        <f t="array" ref="AB209">Common_InputFunctions.Utility_DisplayArrayInTable(Fertiliser_SourceData.Fertiliser_Products_Data4(),FertiliserProducts[[#Headers],[Company]], 91)</f>
        <v/>
      </c>
      <c r="AC209" s="170" t="str" cm="1">
        <f t="array" ref="AC209">Common_InputFunctions.Utility_DisplayArrayInTable(Fertiliser_SourceData.Fertiliser_Products_Data4(),FertiliserProducts[[#Headers],[Company]], 91)</f>
        <v/>
      </c>
      <c r="AD209" s="170" t="str" cm="1">
        <f t="array" ref="AD209">Common_InputFunctions.Utility_DisplayArrayInTable(Fertiliser_SourceData.Fertiliser_Products_Data4(),FertiliserProducts[[#Headers],[Company]], 91)</f>
        <v/>
      </c>
      <c r="AE209" s="170" t="str" cm="1">
        <f t="array" ref="AE209">Common_InputFunctions.Utility_DisplayArrayInTable(Fertiliser_SourceData.Fertiliser_Products_Data4(),FertiliserProducts[[#Headers],[Company]], 91)</f>
        <v/>
      </c>
      <c r="AF209" s="170" t="str" cm="1">
        <f t="array" ref="AF209">Common_InputFunctions.Utility_DisplayArrayInTable(Fertiliser_SourceData.Fertiliser_Products_Data4(),FertiliserProducts[[#Headers],[Company]], 91)</f>
        <v/>
      </c>
      <c r="AG209" s="170" t="str" cm="1">
        <f t="array" ref="AG209">Common_InputFunctions.Utility_DisplayArrayInTable(Fertiliser_SourceData.Fertiliser_Products_Data4(),FertiliserProducts[[#Headers],[Company]], 91)</f>
        <v/>
      </c>
      <c r="AH209" s="170" t="str" cm="1">
        <f t="array" ref="AH209">Common_InputFunctions.Utility_DisplayArrayInTable(Fertiliser_SourceData.Fertiliser_Products_Data4(),FertiliserProducts[[#Headers],[Company]], 91)</f>
        <v/>
      </c>
    </row>
    <row r="210" spans="4:34" ht="20.100000000000001" customHeight="1" x14ac:dyDescent="0.2">
      <c r="D210" s="170" t="str" cm="1">
        <f t="array" ref="D210">Common_InputFunctions.Utility_DisplayArrayInTable(Fertiliser_SourceData.Fertiliser_Products_Data5(),FertiliserProducts[[#Headers],[Company]], 121)</f>
        <v>Wengfu Australia</v>
      </c>
      <c r="E210" s="170" t="str" cm="1">
        <f t="array" ref="E210">Common_InputFunctions.Utility_DisplayArrayInTable(Fertiliser_SourceData.Fertiliser_Products_Data5(),FertiliserProducts[[#Headers],[Company]], 121)</f>
        <v>Wengfu 19-13-0-7 PrimeZinc</v>
      </c>
      <c r="F210" s="170" t="str" cm="1">
        <f t="array" ref="F210">Common_InputFunctions.Utility_DisplayArrayInTable(Fertiliser_SourceData.Fertiliser_Products_Data5(),FertiliserProducts[[#Headers],[Company]], 121)</f>
        <v>kg</v>
      </c>
      <c r="G210" s="170" cm="1">
        <f t="array" ref="G210">Common_InputFunctions.Utility_DisplayArrayInTable(Fertiliser_SourceData.Fertiliser_Products_Data5(),FertiliserProducts[[#Headers],[Company]], 121)</f>
        <v>1</v>
      </c>
      <c r="H210" s="170" t="str" cm="1">
        <f t="array" ref="H210">Common_InputFunctions.Utility_DisplayArrayInTable(Fertiliser_SourceData.Fertiliser_Products_Data5(),FertiliserProducts[[#Headers],[Company]], 121)</f>
        <v/>
      </c>
      <c r="I210" s="170" t="str" cm="1">
        <f t="array" ref="I210">Common_InputFunctions.Utility_DisplayArrayInTable(Fertiliser_SourceData.Fertiliser_Products_Data5(),FertiliserProducts[[#Headers],[Company]], 121)</f>
        <v/>
      </c>
      <c r="J210" s="170" t="str" cm="1">
        <f t="array" ref="J210">Common_InputFunctions.Utility_DisplayArrayInTable(Fertiliser_SourceData.Fertiliser_Products_Data5(),FertiliserProducts[[#Headers],[Company]], 121)</f>
        <v/>
      </c>
      <c r="K210" s="170" cm="1">
        <f t="array" ref="K210">Common_InputFunctions.Utility_DisplayArrayInTable(Fertiliser_SourceData.Fertiliser_Products_Data5(),FertiliserProducts[[#Headers],[Company]], 121)</f>
        <v>18.600000000000001</v>
      </c>
      <c r="L210" s="170" cm="1">
        <f t="array" ref="L210">Common_InputFunctions.Utility_DisplayArrayInTable(Fertiliser_SourceData.Fertiliser_Products_Data5(),FertiliserProducts[[#Headers],[Company]], 121)</f>
        <v>12.7</v>
      </c>
      <c r="M210" s="170" cm="1">
        <f t="array" ref="M210">Common_InputFunctions.Utility_DisplayArrayInTable(Fertiliser_SourceData.Fertiliser_Products_Data5(),FertiliserProducts[[#Headers],[Company]], 121)</f>
        <v>0</v>
      </c>
      <c r="N210" s="170" cm="1">
        <f t="array" ref="N210">Common_InputFunctions.Utility_DisplayArrayInTable(Fertiliser_SourceData.Fertiliser_Products_Data5(),FertiliserProducts[[#Headers],[Company]], 121)</f>
        <v>6.8</v>
      </c>
      <c r="O210" s="170" t="str" cm="1">
        <f t="array" ref="O210">Common_InputFunctions.Utility_DisplayArrayInTable(Fertiliser_SourceData.Fertiliser_Products_Data5(),FertiliserProducts[[#Headers],[Company]], 121)</f>
        <v>Nitrogen - Generic</v>
      </c>
      <c r="P210" s="170" cm="1">
        <f t="array" ref="P210">Common_InputFunctions.Utility_DisplayArrayInTable(Fertiliser_SourceData.Fertiliser_Products_Data5(),FertiliserProducts[[#Headers],[Company]], 121)</f>
        <v>0.186</v>
      </c>
      <c r="Q210" s="170" t="str" cm="1">
        <f t="array" ref="Q210">Common_InputFunctions.Utility_DisplayArrayInTable(Fertiliser_SourceData.Fertiliser_Products_Data5(),FertiliserProducts[[#Headers],[Company]], 121)</f>
        <v>Phosphorus - Generic</v>
      </c>
      <c r="R210" s="170" cm="1">
        <f t="array" ref="R210">Common_InputFunctions.Utility_DisplayArrayInTable(Fertiliser_SourceData.Fertiliser_Products_Data5(),FertiliserProducts[[#Headers],[Company]], 121)</f>
        <v>0.127</v>
      </c>
      <c r="S210" s="170" t="str" cm="1">
        <f t="array" ref="S210">Common_InputFunctions.Utility_DisplayArrayInTable(Fertiliser_SourceData.Fertiliser_Products_Data5(),FertiliserProducts[[#Headers],[Company]], 121)</f>
        <v>Sulfur - Generic</v>
      </c>
      <c r="T210" s="170" cm="1">
        <f t="array" ref="T210">Common_InputFunctions.Utility_DisplayArrayInTable(Fertiliser_SourceData.Fertiliser_Products_Data5(),FertiliserProducts[[#Headers],[Company]], 121)</f>
        <v>6.8000000000000005E-2</v>
      </c>
      <c r="U210" s="170" t="str" cm="1">
        <f t="array" ref="U210">Common_InputFunctions.Utility_DisplayArrayInTable(Fertiliser_SourceData.Fertiliser_Products_Data5(),FertiliserProducts[[#Headers],[Company]], 121)</f>
        <v>Zinc</v>
      </c>
      <c r="V210" s="170" cm="1">
        <f t="array" ref="V210">Common_InputFunctions.Utility_DisplayArrayInTable(Fertiliser_SourceData.Fertiliser_Products_Data5(),FertiliserProducts[[#Headers],[Company]], 121)</f>
        <v>6.0000000000000001E-3</v>
      </c>
      <c r="W210" s="170" t="str" cm="1">
        <f t="array" ref="W210">Common_InputFunctions.Utility_DisplayArrayInTable(Fertiliser_SourceData.Fertiliser_Products_Data5(),FertiliserProducts[[#Headers],[Company]], 121)</f>
        <v/>
      </c>
      <c r="X210" s="170" t="str" cm="1">
        <f t="array" ref="X210">Common_InputFunctions.Utility_DisplayArrayInTable(Fertiliser_SourceData.Fertiliser_Products_Data5(),FertiliserProducts[[#Headers],[Company]], 121)</f>
        <v/>
      </c>
      <c r="Y210" s="170" t="str" cm="1">
        <f t="array" ref="Y210">Common_InputFunctions.Utility_DisplayArrayInTable(Fertiliser_SourceData.Fertiliser_Products_Data5(),FertiliserProducts[[#Headers],[Company]], 121)</f>
        <v/>
      </c>
      <c r="Z210" s="170" t="str" cm="1">
        <f t="array" ref="Z210">Common_InputFunctions.Utility_DisplayArrayInTable(Fertiliser_SourceData.Fertiliser_Products_Data5(),FertiliserProducts[[#Headers],[Company]], 121)</f>
        <v/>
      </c>
      <c r="AA210" s="170" t="str" cm="1">
        <f t="array" ref="AA210">Common_InputFunctions.Utility_DisplayArrayInTable(Fertiliser_SourceData.Fertiliser_Products_Data5(),FertiliserProducts[[#Headers],[Company]], 121)</f>
        <v/>
      </c>
      <c r="AB210" s="170" t="str" cm="1">
        <f t="array" ref="AB210">Common_InputFunctions.Utility_DisplayArrayInTable(Fertiliser_SourceData.Fertiliser_Products_Data5(),FertiliserProducts[[#Headers],[Company]], 121)</f>
        <v/>
      </c>
      <c r="AC210" s="170" t="str" cm="1">
        <f t="array" ref="AC210">Common_InputFunctions.Utility_DisplayArrayInTable(Fertiliser_SourceData.Fertiliser_Products_Data5(),FertiliserProducts[[#Headers],[Company]], 121)</f>
        <v/>
      </c>
      <c r="AD210" s="170" t="str" cm="1">
        <f t="array" ref="AD210">Common_InputFunctions.Utility_DisplayArrayInTable(Fertiliser_SourceData.Fertiliser_Products_Data5(),FertiliserProducts[[#Headers],[Company]], 121)</f>
        <v/>
      </c>
      <c r="AE210" s="170" t="str" cm="1">
        <f t="array" ref="AE210">Common_InputFunctions.Utility_DisplayArrayInTable(Fertiliser_SourceData.Fertiliser_Products_Data5(),FertiliserProducts[[#Headers],[Company]], 121)</f>
        <v/>
      </c>
      <c r="AF210" s="170" t="str" cm="1">
        <f t="array" ref="AF210">Common_InputFunctions.Utility_DisplayArrayInTable(Fertiliser_SourceData.Fertiliser_Products_Data5(),FertiliserProducts[[#Headers],[Company]], 121)</f>
        <v/>
      </c>
      <c r="AG210" s="170" t="str" cm="1">
        <f t="array" ref="AG210">Common_InputFunctions.Utility_DisplayArrayInTable(Fertiliser_SourceData.Fertiliser_Products_Data5(),FertiliserProducts[[#Headers],[Company]], 121)</f>
        <v/>
      </c>
      <c r="AH210" s="170" t="str" cm="1">
        <f t="array" ref="AH210">Common_InputFunctions.Utility_DisplayArrayInTable(Fertiliser_SourceData.Fertiliser_Products_Data5(),FertiliserProducts[[#Headers],[Company]], 121)</f>
        <v/>
      </c>
    </row>
    <row r="211" spans="4:34" ht="20.100000000000001" customHeight="1" x14ac:dyDescent="0.2">
      <c r="D211" s="170" t="str" cm="1">
        <f t="array" ref="D211">Common_InputFunctions.Utility_DisplayArrayInTable(Fertiliser_SourceData.Fertiliser_Products_Data5(),FertiliserProducts[[#Headers],[Company]], 121)</f>
        <v>Wengfu Australia</v>
      </c>
      <c r="E211" s="170" t="str" cm="1">
        <f t="array" ref="E211">Common_InputFunctions.Utility_DisplayArrayInTable(Fertiliser_SourceData.Fertiliser_Products_Data5(),FertiliserProducts[[#Headers],[Company]], 121)</f>
        <v>Wengfu Booster K</v>
      </c>
      <c r="F211" s="170" t="str" cm="1">
        <f t="array" ref="F211">Common_InputFunctions.Utility_DisplayArrayInTable(Fertiliser_SourceData.Fertiliser_Products_Data5(),FertiliserProducts[[#Headers],[Company]], 121)</f>
        <v>kg</v>
      </c>
      <c r="G211" s="170" cm="1">
        <f t="array" ref="G211">Common_InputFunctions.Utility_DisplayArrayInTable(Fertiliser_SourceData.Fertiliser_Products_Data5(),FertiliserProducts[[#Headers],[Company]], 121)</f>
        <v>1</v>
      </c>
      <c r="H211" s="170" t="str" cm="1">
        <f t="array" ref="H211">Common_InputFunctions.Utility_DisplayArrayInTable(Fertiliser_SourceData.Fertiliser_Products_Data5(),FertiliserProducts[[#Headers],[Company]], 121)</f>
        <v/>
      </c>
      <c r="I211" s="170" t="str" cm="1">
        <f t="array" ref="I211">Common_InputFunctions.Utility_DisplayArrayInTable(Fertiliser_SourceData.Fertiliser_Products_Data5(),FertiliserProducts[[#Headers],[Company]], 121)</f>
        <v/>
      </c>
      <c r="J211" s="170" t="str" cm="1">
        <f t="array" ref="J211">Common_InputFunctions.Utility_DisplayArrayInTable(Fertiliser_SourceData.Fertiliser_Products_Data5(),FertiliserProducts[[#Headers],[Company]], 121)</f>
        <v/>
      </c>
      <c r="K211" s="170" cm="1">
        <f t="array" ref="K211">Common_InputFunctions.Utility_DisplayArrayInTable(Fertiliser_SourceData.Fertiliser_Products_Data5(),FertiliserProducts[[#Headers],[Company]], 121)</f>
        <v>32</v>
      </c>
      <c r="L211" s="170" cm="1">
        <f t="array" ref="L211">Common_InputFunctions.Utility_DisplayArrayInTable(Fertiliser_SourceData.Fertiliser_Products_Data5(),FertiliserProducts[[#Headers],[Company]], 121)</f>
        <v>0</v>
      </c>
      <c r="M211" s="170" cm="1">
        <f t="array" ref="M211">Common_InputFunctions.Utility_DisplayArrayInTable(Fertiliser_SourceData.Fertiliser_Products_Data5(),FertiliserProducts[[#Headers],[Company]], 121)</f>
        <v>11</v>
      </c>
      <c r="N211" s="170" cm="1">
        <f t="array" ref="N211">Common_InputFunctions.Utility_DisplayArrayInTable(Fertiliser_SourceData.Fertiliser_Products_Data5(),FertiliserProducts[[#Headers],[Company]], 121)</f>
        <v>3</v>
      </c>
      <c r="O211" s="170" t="str" cm="1">
        <f t="array" ref="O211">Common_InputFunctions.Utility_DisplayArrayInTable(Fertiliser_SourceData.Fertiliser_Products_Data5(),FertiliserProducts[[#Headers],[Company]], 121)</f>
        <v>Nitrogen - Generic</v>
      </c>
      <c r="P211" s="170" cm="1">
        <f t="array" ref="P211">Common_InputFunctions.Utility_DisplayArrayInTable(Fertiliser_SourceData.Fertiliser_Products_Data5(),FertiliserProducts[[#Headers],[Company]], 121)</f>
        <v>0.32</v>
      </c>
      <c r="Q211" s="170" t="str" cm="1">
        <f t="array" ref="Q211">Common_InputFunctions.Utility_DisplayArrayInTable(Fertiliser_SourceData.Fertiliser_Products_Data5(),FertiliserProducts[[#Headers],[Company]], 121)</f>
        <v>Potassium - Generic</v>
      </c>
      <c r="R211" s="170" cm="1">
        <f t="array" ref="R211">Common_InputFunctions.Utility_DisplayArrayInTable(Fertiliser_SourceData.Fertiliser_Products_Data5(),FertiliserProducts[[#Headers],[Company]], 121)</f>
        <v>0.11</v>
      </c>
      <c r="S211" s="170" t="str" cm="1">
        <f t="array" ref="S211">Common_InputFunctions.Utility_DisplayArrayInTable(Fertiliser_SourceData.Fertiliser_Products_Data5(),FertiliserProducts[[#Headers],[Company]], 121)</f>
        <v>Sulfur - Generic</v>
      </c>
      <c r="T211" s="170" cm="1">
        <f t="array" ref="T211">Common_InputFunctions.Utility_DisplayArrayInTable(Fertiliser_SourceData.Fertiliser_Products_Data5(),FertiliserProducts[[#Headers],[Company]], 121)</f>
        <v>0.03</v>
      </c>
      <c r="U211" s="170" t="str" cm="1">
        <f t="array" ref="U211">Common_InputFunctions.Utility_DisplayArrayInTable(Fertiliser_SourceData.Fertiliser_Products_Data5(),FertiliserProducts[[#Headers],[Company]], 121)</f>
        <v/>
      </c>
      <c r="V211" s="170" t="str" cm="1">
        <f t="array" ref="V211">Common_InputFunctions.Utility_DisplayArrayInTable(Fertiliser_SourceData.Fertiliser_Products_Data5(),FertiliserProducts[[#Headers],[Company]], 121)</f>
        <v/>
      </c>
      <c r="W211" s="170" t="str" cm="1">
        <f t="array" ref="W211">Common_InputFunctions.Utility_DisplayArrayInTable(Fertiliser_SourceData.Fertiliser_Products_Data5(),FertiliserProducts[[#Headers],[Company]], 121)</f>
        <v/>
      </c>
      <c r="X211" s="170" t="str" cm="1">
        <f t="array" ref="X211">Common_InputFunctions.Utility_DisplayArrayInTable(Fertiliser_SourceData.Fertiliser_Products_Data5(),FertiliserProducts[[#Headers],[Company]], 121)</f>
        <v/>
      </c>
      <c r="Y211" s="170" t="str" cm="1">
        <f t="array" ref="Y211">Common_InputFunctions.Utility_DisplayArrayInTable(Fertiliser_SourceData.Fertiliser_Products_Data5(),FertiliserProducts[[#Headers],[Company]], 121)</f>
        <v/>
      </c>
      <c r="Z211" s="170" t="str" cm="1">
        <f t="array" ref="Z211">Common_InputFunctions.Utility_DisplayArrayInTable(Fertiliser_SourceData.Fertiliser_Products_Data5(),FertiliserProducts[[#Headers],[Company]], 121)</f>
        <v/>
      </c>
      <c r="AA211" s="170" t="str" cm="1">
        <f t="array" ref="AA211">Common_InputFunctions.Utility_DisplayArrayInTable(Fertiliser_SourceData.Fertiliser_Products_Data5(),FertiliserProducts[[#Headers],[Company]], 121)</f>
        <v/>
      </c>
      <c r="AB211" s="170" t="str" cm="1">
        <f t="array" ref="AB211">Common_InputFunctions.Utility_DisplayArrayInTable(Fertiliser_SourceData.Fertiliser_Products_Data5(),FertiliserProducts[[#Headers],[Company]], 121)</f>
        <v/>
      </c>
      <c r="AC211" s="170" t="str" cm="1">
        <f t="array" ref="AC211">Common_InputFunctions.Utility_DisplayArrayInTable(Fertiliser_SourceData.Fertiliser_Products_Data5(),FertiliserProducts[[#Headers],[Company]], 121)</f>
        <v/>
      </c>
      <c r="AD211" s="170" t="str" cm="1">
        <f t="array" ref="AD211">Common_InputFunctions.Utility_DisplayArrayInTable(Fertiliser_SourceData.Fertiliser_Products_Data5(),FertiliserProducts[[#Headers],[Company]], 121)</f>
        <v/>
      </c>
      <c r="AE211" s="170" t="str" cm="1">
        <f t="array" ref="AE211">Common_InputFunctions.Utility_DisplayArrayInTable(Fertiliser_SourceData.Fertiliser_Products_Data5(),FertiliserProducts[[#Headers],[Company]], 121)</f>
        <v/>
      </c>
      <c r="AF211" s="170" t="str" cm="1">
        <f t="array" ref="AF211">Common_InputFunctions.Utility_DisplayArrayInTable(Fertiliser_SourceData.Fertiliser_Products_Data5(),FertiliserProducts[[#Headers],[Company]], 121)</f>
        <v/>
      </c>
      <c r="AG211" s="170" t="str" cm="1">
        <f t="array" ref="AG211">Common_InputFunctions.Utility_DisplayArrayInTable(Fertiliser_SourceData.Fertiliser_Products_Data5(),FertiliserProducts[[#Headers],[Company]], 121)</f>
        <v/>
      </c>
      <c r="AH211" s="170" t="str" cm="1">
        <f t="array" ref="AH211">Common_InputFunctions.Utility_DisplayArrayInTable(Fertiliser_SourceData.Fertiliser_Products_Data5(),FertiliserProducts[[#Headers],[Company]], 121)</f>
        <v/>
      </c>
    </row>
    <row r="212" spans="4:34" ht="20.100000000000001" customHeight="1" x14ac:dyDescent="0.2">
      <c r="D212" s="170" t="str" cm="1">
        <f t="array" ref="D212">Common_InputFunctions.Utility_DisplayArrayInTable(Fertiliser_SourceData.Fertiliser_Products_Data5(),FertiliserProducts[[#Headers],[Company]], 121)</f>
        <v>Wengfu Australia</v>
      </c>
      <c r="E212" s="170" t="str" cm="1">
        <f t="array" ref="E212">Common_InputFunctions.Utility_DisplayArrayInTable(Fertiliser_SourceData.Fertiliser_Products_Data5(),FertiliserProducts[[#Headers],[Company]], 121)</f>
        <v>Wengfu Booster Rich 1</v>
      </c>
      <c r="F212" s="170" t="str" cm="1">
        <f t="array" ref="F212">Common_InputFunctions.Utility_DisplayArrayInTable(Fertiliser_SourceData.Fertiliser_Products_Data5(),FertiliserProducts[[#Headers],[Company]], 121)</f>
        <v>kg</v>
      </c>
      <c r="G212" s="170" cm="1">
        <f t="array" ref="G212">Common_InputFunctions.Utility_DisplayArrayInTable(Fertiliser_SourceData.Fertiliser_Products_Data5(),FertiliserProducts[[#Headers],[Company]], 121)</f>
        <v>1</v>
      </c>
      <c r="H212" s="170" t="str" cm="1">
        <f t="array" ref="H212">Common_InputFunctions.Utility_DisplayArrayInTable(Fertiliser_SourceData.Fertiliser_Products_Data5(),FertiliserProducts[[#Headers],[Company]], 121)</f>
        <v/>
      </c>
      <c r="I212" s="170" t="str" cm="1">
        <f t="array" ref="I212">Common_InputFunctions.Utility_DisplayArrayInTable(Fertiliser_SourceData.Fertiliser_Products_Data5(),FertiliserProducts[[#Headers],[Company]], 121)</f>
        <v/>
      </c>
      <c r="J212" s="170" t="str" cm="1">
        <f t="array" ref="J212">Common_InputFunctions.Utility_DisplayArrayInTable(Fertiliser_SourceData.Fertiliser_Products_Data5(),FertiliserProducts[[#Headers],[Company]], 121)</f>
        <v/>
      </c>
      <c r="K212" s="170" cm="1">
        <f t="array" ref="K212">Common_InputFunctions.Utility_DisplayArrayInTable(Fertiliser_SourceData.Fertiliser_Products_Data5(),FertiliserProducts[[#Headers],[Company]], 121)</f>
        <v>31</v>
      </c>
      <c r="L212" s="170" cm="1">
        <f t="array" ref="L212">Common_InputFunctions.Utility_DisplayArrayInTable(Fertiliser_SourceData.Fertiliser_Products_Data5(),FertiliserProducts[[#Headers],[Company]], 121)</f>
        <v>6</v>
      </c>
      <c r="M212" s="170" cm="1">
        <f t="array" ref="M212">Common_InputFunctions.Utility_DisplayArrayInTable(Fertiliser_SourceData.Fertiliser_Products_Data5(),FertiliserProducts[[#Headers],[Company]], 121)</f>
        <v>0</v>
      </c>
      <c r="N212" s="170" cm="1">
        <f t="array" ref="N212">Common_InputFunctions.Utility_DisplayArrayInTable(Fertiliser_SourceData.Fertiliser_Products_Data5(),FertiliserProducts[[#Headers],[Company]], 121)</f>
        <v>6</v>
      </c>
      <c r="O212" s="170" t="str" cm="1">
        <f t="array" ref="O212">Common_InputFunctions.Utility_DisplayArrayInTable(Fertiliser_SourceData.Fertiliser_Products_Data5(),FertiliserProducts[[#Headers],[Company]], 121)</f>
        <v>Nitrogen - Generic</v>
      </c>
      <c r="P212" s="170" cm="1">
        <f t="array" ref="P212">Common_InputFunctions.Utility_DisplayArrayInTable(Fertiliser_SourceData.Fertiliser_Products_Data5(),FertiliserProducts[[#Headers],[Company]], 121)</f>
        <v>0.31</v>
      </c>
      <c r="Q212" s="170" t="str" cm="1">
        <f t="array" ref="Q212">Common_InputFunctions.Utility_DisplayArrayInTable(Fertiliser_SourceData.Fertiliser_Products_Data5(),FertiliserProducts[[#Headers],[Company]], 121)</f>
        <v>Phosphorus - Generic</v>
      </c>
      <c r="R212" s="170" cm="1">
        <f t="array" ref="R212">Common_InputFunctions.Utility_DisplayArrayInTable(Fertiliser_SourceData.Fertiliser_Products_Data5(),FertiliserProducts[[#Headers],[Company]], 121)</f>
        <v>0.06</v>
      </c>
      <c r="S212" s="170" t="str" cm="1">
        <f t="array" ref="S212">Common_InputFunctions.Utility_DisplayArrayInTable(Fertiliser_SourceData.Fertiliser_Products_Data5(),FertiliserProducts[[#Headers],[Company]], 121)</f>
        <v>Sulfur - Generic</v>
      </c>
      <c r="T212" s="170" cm="1">
        <f t="array" ref="T212">Common_InputFunctions.Utility_DisplayArrayInTable(Fertiliser_SourceData.Fertiliser_Products_Data5(),FertiliserProducts[[#Headers],[Company]], 121)</f>
        <v>0.06</v>
      </c>
      <c r="U212" s="170" t="str" cm="1">
        <f t="array" ref="U212">Common_InputFunctions.Utility_DisplayArrayInTable(Fertiliser_SourceData.Fertiliser_Products_Data5(),FertiliserProducts[[#Headers],[Company]], 121)</f>
        <v/>
      </c>
      <c r="V212" s="170" t="str" cm="1">
        <f t="array" ref="V212">Common_InputFunctions.Utility_DisplayArrayInTable(Fertiliser_SourceData.Fertiliser_Products_Data5(),FertiliserProducts[[#Headers],[Company]], 121)</f>
        <v/>
      </c>
      <c r="W212" s="170" t="str" cm="1">
        <f t="array" ref="W212">Common_InputFunctions.Utility_DisplayArrayInTable(Fertiliser_SourceData.Fertiliser_Products_Data5(),FertiliserProducts[[#Headers],[Company]], 121)</f>
        <v/>
      </c>
      <c r="X212" s="170" t="str" cm="1">
        <f t="array" ref="X212">Common_InputFunctions.Utility_DisplayArrayInTable(Fertiliser_SourceData.Fertiliser_Products_Data5(),FertiliserProducts[[#Headers],[Company]], 121)</f>
        <v/>
      </c>
      <c r="Y212" s="170" t="str" cm="1">
        <f t="array" ref="Y212">Common_InputFunctions.Utility_DisplayArrayInTable(Fertiliser_SourceData.Fertiliser_Products_Data5(),FertiliserProducts[[#Headers],[Company]], 121)</f>
        <v/>
      </c>
      <c r="Z212" s="170" t="str" cm="1">
        <f t="array" ref="Z212">Common_InputFunctions.Utility_DisplayArrayInTable(Fertiliser_SourceData.Fertiliser_Products_Data5(),FertiliserProducts[[#Headers],[Company]], 121)</f>
        <v/>
      </c>
      <c r="AA212" s="170" t="str" cm="1">
        <f t="array" ref="AA212">Common_InputFunctions.Utility_DisplayArrayInTable(Fertiliser_SourceData.Fertiliser_Products_Data5(),FertiliserProducts[[#Headers],[Company]], 121)</f>
        <v/>
      </c>
      <c r="AB212" s="170" t="str" cm="1">
        <f t="array" ref="AB212">Common_InputFunctions.Utility_DisplayArrayInTable(Fertiliser_SourceData.Fertiliser_Products_Data5(),FertiliserProducts[[#Headers],[Company]], 121)</f>
        <v/>
      </c>
      <c r="AC212" s="170" t="str" cm="1">
        <f t="array" ref="AC212">Common_InputFunctions.Utility_DisplayArrayInTable(Fertiliser_SourceData.Fertiliser_Products_Data5(),FertiliserProducts[[#Headers],[Company]], 121)</f>
        <v/>
      </c>
      <c r="AD212" s="170" t="str" cm="1">
        <f t="array" ref="AD212">Common_InputFunctions.Utility_DisplayArrayInTable(Fertiliser_SourceData.Fertiliser_Products_Data5(),FertiliserProducts[[#Headers],[Company]], 121)</f>
        <v/>
      </c>
      <c r="AE212" s="170" t="str" cm="1">
        <f t="array" ref="AE212">Common_InputFunctions.Utility_DisplayArrayInTable(Fertiliser_SourceData.Fertiliser_Products_Data5(),FertiliserProducts[[#Headers],[Company]], 121)</f>
        <v/>
      </c>
      <c r="AF212" s="170" t="str" cm="1">
        <f t="array" ref="AF212">Common_InputFunctions.Utility_DisplayArrayInTable(Fertiliser_SourceData.Fertiliser_Products_Data5(),FertiliserProducts[[#Headers],[Company]], 121)</f>
        <v/>
      </c>
      <c r="AG212" s="170" t="str" cm="1">
        <f t="array" ref="AG212">Common_InputFunctions.Utility_DisplayArrayInTable(Fertiliser_SourceData.Fertiliser_Products_Data5(),FertiliserProducts[[#Headers],[Company]], 121)</f>
        <v/>
      </c>
      <c r="AH212" s="170" t="str" cm="1">
        <f t="array" ref="AH212">Common_InputFunctions.Utility_DisplayArrayInTable(Fertiliser_SourceData.Fertiliser_Products_Data5(),FertiliserProducts[[#Headers],[Company]], 121)</f>
        <v/>
      </c>
    </row>
    <row r="213" spans="4:34" ht="20.100000000000001" customHeight="1" x14ac:dyDescent="0.2">
      <c r="D213" s="170" t="str" cm="1">
        <f t="array" ref="D213">Common_InputFunctions.Utility_DisplayArrayInTable(Fertiliser_SourceData.Fertiliser_Products_Data5(),FertiliserProducts[[#Headers],[Company]], 121)</f>
        <v>Wengfu Australia</v>
      </c>
      <c r="E213" s="170" t="str" cm="1">
        <f t="array" ref="E213">Common_InputFunctions.Utility_DisplayArrayInTable(Fertiliser_SourceData.Fertiliser_Products_Data5(),FertiliserProducts[[#Headers],[Company]], 121)</f>
        <v>Wengfu Booster Grass DAP</v>
      </c>
      <c r="F213" s="170" t="str" cm="1">
        <f t="array" ref="F213">Common_InputFunctions.Utility_DisplayArrayInTable(Fertiliser_SourceData.Fertiliser_Products_Data5(),FertiliserProducts[[#Headers],[Company]], 121)</f>
        <v>kg</v>
      </c>
      <c r="G213" s="170" cm="1">
        <f t="array" ref="G213">Common_InputFunctions.Utility_DisplayArrayInTable(Fertiliser_SourceData.Fertiliser_Products_Data5(),FertiliserProducts[[#Headers],[Company]], 121)</f>
        <v>1</v>
      </c>
      <c r="H213" s="170" t="str" cm="1">
        <f t="array" ref="H213">Common_InputFunctions.Utility_DisplayArrayInTable(Fertiliser_SourceData.Fertiliser_Products_Data5(),FertiliserProducts[[#Headers],[Company]], 121)</f>
        <v/>
      </c>
      <c r="I213" s="170" t="str" cm="1">
        <f t="array" ref="I213">Common_InputFunctions.Utility_DisplayArrayInTable(Fertiliser_SourceData.Fertiliser_Products_Data5(),FertiliserProducts[[#Headers],[Company]], 121)</f>
        <v/>
      </c>
      <c r="J213" s="170" t="str" cm="1">
        <f t="array" ref="J213">Common_InputFunctions.Utility_DisplayArrayInTable(Fertiliser_SourceData.Fertiliser_Products_Data5(),FertiliserProducts[[#Headers],[Company]], 121)</f>
        <v/>
      </c>
      <c r="K213" s="170" cm="1">
        <f t="array" ref="K213">Common_InputFunctions.Utility_DisplayArrayInTable(Fertiliser_SourceData.Fertiliser_Products_Data5(),FertiliserProducts[[#Headers],[Company]], 121)</f>
        <v>21</v>
      </c>
      <c r="L213" s="170" cm="1">
        <f t="array" ref="L213">Common_InputFunctions.Utility_DisplayArrayInTable(Fertiliser_SourceData.Fertiliser_Products_Data5(),FertiliserProducts[[#Headers],[Company]], 121)</f>
        <v>4</v>
      </c>
      <c r="M213" s="170" cm="1">
        <f t="array" ref="M213">Common_InputFunctions.Utility_DisplayArrayInTable(Fertiliser_SourceData.Fertiliser_Products_Data5(),FertiliserProducts[[#Headers],[Company]], 121)</f>
        <v>8</v>
      </c>
      <c r="N213" s="170" cm="1">
        <f t="array" ref="N213">Common_InputFunctions.Utility_DisplayArrayInTable(Fertiliser_SourceData.Fertiliser_Products_Data5(),FertiliserProducts[[#Headers],[Company]], 121)</f>
        <v>7</v>
      </c>
      <c r="O213" s="170" t="str" cm="1">
        <f t="array" ref="O213">Common_InputFunctions.Utility_DisplayArrayInTable(Fertiliser_SourceData.Fertiliser_Products_Data5(),FertiliserProducts[[#Headers],[Company]], 121)</f>
        <v>Nitrogen - Generic</v>
      </c>
      <c r="P213" s="170" cm="1">
        <f t="array" ref="P213">Common_InputFunctions.Utility_DisplayArrayInTable(Fertiliser_SourceData.Fertiliser_Products_Data5(),FertiliserProducts[[#Headers],[Company]], 121)</f>
        <v>0.21</v>
      </c>
      <c r="Q213" s="170" t="str" cm="1">
        <f t="array" ref="Q213">Common_InputFunctions.Utility_DisplayArrayInTable(Fertiliser_SourceData.Fertiliser_Products_Data5(),FertiliserProducts[[#Headers],[Company]], 121)</f>
        <v>Phosphorus - Generic</v>
      </c>
      <c r="R213" s="170" cm="1">
        <f t="array" ref="R213">Common_InputFunctions.Utility_DisplayArrayInTable(Fertiliser_SourceData.Fertiliser_Products_Data5(),FertiliserProducts[[#Headers],[Company]], 121)</f>
        <v>0.04</v>
      </c>
      <c r="S213" s="170" t="str" cm="1">
        <f t="array" ref="S213">Common_InputFunctions.Utility_DisplayArrayInTable(Fertiliser_SourceData.Fertiliser_Products_Data5(),FertiliserProducts[[#Headers],[Company]], 121)</f>
        <v>Potassium - Generic</v>
      </c>
      <c r="T213" s="170" cm="1">
        <f t="array" ref="T213">Common_InputFunctions.Utility_DisplayArrayInTable(Fertiliser_SourceData.Fertiliser_Products_Data5(),FertiliserProducts[[#Headers],[Company]], 121)</f>
        <v>0.08</v>
      </c>
      <c r="U213" s="170" t="str" cm="1">
        <f t="array" ref="U213">Common_InputFunctions.Utility_DisplayArrayInTable(Fertiliser_SourceData.Fertiliser_Products_Data5(),FertiliserProducts[[#Headers],[Company]], 121)</f>
        <v>Sulfur - Generic</v>
      </c>
      <c r="V213" s="170" cm="1">
        <f t="array" ref="V213">Common_InputFunctions.Utility_DisplayArrayInTable(Fertiliser_SourceData.Fertiliser_Products_Data5(),FertiliserProducts[[#Headers],[Company]], 121)</f>
        <v>7.0000000000000007E-2</v>
      </c>
      <c r="W213" s="170" t="str" cm="1">
        <f t="array" ref="W213">Common_InputFunctions.Utility_DisplayArrayInTable(Fertiliser_SourceData.Fertiliser_Products_Data5(),FertiliserProducts[[#Headers],[Company]], 121)</f>
        <v/>
      </c>
      <c r="X213" s="170" t="str" cm="1">
        <f t="array" ref="X213">Common_InputFunctions.Utility_DisplayArrayInTable(Fertiliser_SourceData.Fertiliser_Products_Data5(),FertiliserProducts[[#Headers],[Company]], 121)</f>
        <v/>
      </c>
      <c r="Y213" s="170" t="str" cm="1">
        <f t="array" ref="Y213">Common_InputFunctions.Utility_DisplayArrayInTable(Fertiliser_SourceData.Fertiliser_Products_Data5(),FertiliserProducts[[#Headers],[Company]], 121)</f>
        <v/>
      </c>
      <c r="Z213" s="170" t="str" cm="1">
        <f t="array" ref="Z213">Common_InputFunctions.Utility_DisplayArrayInTable(Fertiliser_SourceData.Fertiliser_Products_Data5(),FertiliserProducts[[#Headers],[Company]], 121)</f>
        <v/>
      </c>
      <c r="AA213" s="170" t="str" cm="1">
        <f t="array" ref="AA213">Common_InputFunctions.Utility_DisplayArrayInTable(Fertiliser_SourceData.Fertiliser_Products_Data5(),FertiliserProducts[[#Headers],[Company]], 121)</f>
        <v/>
      </c>
      <c r="AB213" s="170" t="str" cm="1">
        <f t="array" ref="AB213">Common_InputFunctions.Utility_DisplayArrayInTable(Fertiliser_SourceData.Fertiliser_Products_Data5(),FertiliserProducts[[#Headers],[Company]], 121)</f>
        <v/>
      </c>
      <c r="AC213" s="170" t="str" cm="1">
        <f t="array" ref="AC213">Common_InputFunctions.Utility_DisplayArrayInTable(Fertiliser_SourceData.Fertiliser_Products_Data5(),FertiliserProducts[[#Headers],[Company]], 121)</f>
        <v/>
      </c>
      <c r="AD213" s="170" t="str" cm="1">
        <f t="array" ref="AD213">Common_InputFunctions.Utility_DisplayArrayInTable(Fertiliser_SourceData.Fertiliser_Products_Data5(),FertiliserProducts[[#Headers],[Company]], 121)</f>
        <v/>
      </c>
      <c r="AE213" s="170" t="str" cm="1">
        <f t="array" ref="AE213">Common_InputFunctions.Utility_DisplayArrayInTable(Fertiliser_SourceData.Fertiliser_Products_Data5(),FertiliserProducts[[#Headers],[Company]], 121)</f>
        <v/>
      </c>
      <c r="AF213" s="170" t="str" cm="1">
        <f t="array" ref="AF213">Common_InputFunctions.Utility_DisplayArrayInTable(Fertiliser_SourceData.Fertiliser_Products_Data5(),FertiliserProducts[[#Headers],[Company]], 121)</f>
        <v/>
      </c>
      <c r="AG213" s="170" t="str" cm="1">
        <f t="array" ref="AG213">Common_InputFunctions.Utility_DisplayArrayInTable(Fertiliser_SourceData.Fertiliser_Products_Data5(),FertiliserProducts[[#Headers],[Company]], 121)</f>
        <v/>
      </c>
      <c r="AH213" s="170" t="str" cm="1">
        <f t="array" ref="AH213">Common_InputFunctions.Utility_DisplayArrayInTable(Fertiliser_SourceData.Fertiliser_Products_Data5(),FertiliserProducts[[#Headers],[Company]], 121)</f>
        <v/>
      </c>
    </row>
    <row r="214" spans="4:34" ht="20.100000000000001" customHeight="1" x14ac:dyDescent="0.2">
      <c r="D214" s="170" t="str" cm="1">
        <f t="array" ref="D214">Common_InputFunctions.Utility_DisplayArrayInTable(Fertiliser_SourceData.Fertiliser_Products_Data5(),FertiliserProducts[[#Headers],[Company]], 121)</f>
        <v>Wengfu Australia</v>
      </c>
      <c r="E214" s="170" t="str" cm="1">
        <f t="array" ref="E214">Common_InputFunctions.Utility_DisplayArrayInTable(Fertiliser_SourceData.Fertiliser_Products_Data5(),FertiliserProducts[[#Headers],[Company]], 121)</f>
        <v>Wengfu Aftergraze</v>
      </c>
      <c r="F214" s="170" t="str" cm="1">
        <f t="array" ref="F214">Common_InputFunctions.Utility_DisplayArrayInTable(Fertiliser_SourceData.Fertiliser_Products_Data5(),FertiliserProducts[[#Headers],[Company]], 121)</f>
        <v>kg</v>
      </c>
      <c r="G214" s="170" cm="1">
        <f t="array" ref="G214">Common_InputFunctions.Utility_DisplayArrayInTable(Fertiliser_SourceData.Fertiliser_Products_Data5(),FertiliserProducts[[#Headers],[Company]], 121)</f>
        <v>1</v>
      </c>
      <c r="H214" s="170" t="str" cm="1">
        <f t="array" ref="H214">Common_InputFunctions.Utility_DisplayArrayInTable(Fertiliser_SourceData.Fertiliser_Products_Data5(),FertiliserProducts[[#Headers],[Company]], 121)</f>
        <v/>
      </c>
      <c r="I214" s="170" t="str" cm="1">
        <f t="array" ref="I214">Common_InputFunctions.Utility_DisplayArrayInTable(Fertiliser_SourceData.Fertiliser_Products_Data5(),FertiliserProducts[[#Headers],[Company]], 121)</f>
        <v/>
      </c>
      <c r="J214" s="170" t="str" cm="1">
        <f t="array" ref="J214">Common_InputFunctions.Utility_DisplayArrayInTable(Fertiliser_SourceData.Fertiliser_Products_Data5(),FertiliserProducts[[#Headers],[Company]], 121)</f>
        <v/>
      </c>
      <c r="K214" s="170" cm="1">
        <f t="array" ref="K214">Common_InputFunctions.Utility_DisplayArrayInTable(Fertiliser_SourceData.Fertiliser_Products_Data5(),FertiliserProducts[[#Headers],[Company]], 121)</f>
        <v>23</v>
      </c>
      <c r="L214" s="170" cm="1">
        <f t="array" ref="L214">Common_InputFunctions.Utility_DisplayArrayInTable(Fertiliser_SourceData.Fertiliser_Products_Data5(),FertiliserProducts[[#Headers],[Company]], 121)</f>
        <v>0</v>
      </c>
      <c r="M214" s="170" cm="1">
        <f t="array" ref="M214">Common_InputFunctions.Utility_DisplayArrayInTable(Fertiliser_SourceData.Fertiliser_Products_Data5(),FertiliserProducts[[#Headers],[Company]], 121)</f>
        <v>25</v>
      </c>
      <c r="N214" s="170" cm="1">
        <f t="array" ref="N214">Common_InputFunctions.Utility_DisplayArrayInTable(Fertiliser_SourceData.Fertiliser_Products_Data5(),FertiliserProducts[[#Headers],[Company]], 121)</f>
        <v>0</v>
      </c>
      <c r="O214" s="170" t="str" cm="1">
        <f t="array" ref="O214">Common_InputFunctions.Utility_DisplayArrayInTable(Fertiliser_SourceData.Fertiliser_Products_Data5(),FertiliserProducts[[#Headers],[Company]], 121)</f>
        <v>Nitrogen - Generic</v>
      </c>
      <c r="P214" s="170" cm="1">
        <f t="array" ref="P214">Common_InputFunctions.Utility_DisplayArrayInTable(Fertiliser_SourceData.Fertiliser_Products_Data5(),FertiliserProducts[[#Headers],[Company]], 121)</f>
        <v>0.23</v>
      </c>
      <c r="Q214" s="170" t="str" cm="1">
        <f t="array" ref="Q214">Common_InputFunctions.Utility_DisplayArrayInTable(Fertiliser_SourceData.Fertiliser_Products_Data5(),FertiliserProducts[[#Headers],[Company]], 121)</f>
        <v>Potassium - Generic</v>
      </c>
      <c r="R214" s="170" cm="1">
        <f t="array" ref="R214">Common_InputFunctions.Utility_DisplayArrayInTable(Fertiliser_SourceData.Fertiliser_Products_Data5(),FertiliserProducts[[#Headers],[Company]], 121)</f>
        <v>0.25</v>
      </c>
      <c r="S214" s="170" t="str" cm="1">
        <f t="array" ref="S214">Common_InputFunctions.Utility_DisplayArrayInTable(Fertiliser_SourceData.Fertiliser_Products_Data5(),FertiliserProducts[[#Headers],[Company]], 121)</f>
        <v/>
      </c>
      <c r="T214" s="170" t="str" cm="1">
        <f t="array" ref="T214">Common_InputFunctions.Utility_DisplayArrayInTable(Fertiliser_SourceData.Fertiliser_Products_Data5(),FertiliserProducts[[#Headers],[Company]], 121)</f>
        <v/>
      </c>
      <c r="U214" s="170" t="str" cm="1">
        <f t="array" ref="U214">Common_InputFunctions.Utility_DisplayArrayInTable(Fertiliser_SourceData.Fertiliser_Products_Data5(),FertiliserProducts[[#Headers],[Company]], 121)</f>
        <v/>
      </c>
      <c r="V214" s="170" t="str" cm="1">
        <f t="array" ref="V214">Common_InputFunctions.Utility_DisplayArrayInTable(Fertiliser_SourceData.Fertiliser_Products_Data5(),FertiliserProducts[[#Headers],[Company]], 121)</f>
        <v/>
      </c>
      <c r="W214" s="170" t="str" cm="1">
        <f t="array" ref="W214">Common_InputFunctions.Utility_DisplayArrayInTable(Fertiliser_SourceData.Fertiliser_Products_Data5(),FertiliserProducts[[#Headers],[Company]], 121)</f>
        <v/>
      </c>
      <c r="X214" s="170" t="str" cm="1">
        <f t="array" ref="X214">Common_InputFunctions.Utility_DisplayArrayInTable(Fertiliser_SourceData.Fertiliser_Products_Data5(),FertiliserProducts[[#Headers],[Company]], 121)</f>
        <v/>
      </c>
      <c r="Y214" s="170" t="str" cm="1">
        <f t="array" ref="Y214">Common_InputFunctions.Utility_DisplayArrayInTable(Fertiliser_SourceData.Fertiliser_Products_Data5(),FertiliserProducts[[#Headers],[Company]], 121)</f>
        <v/>
      </c>
      <c r="Z214" s="170" t="str" cm="1">
        <f t="array" ref="Z214">Common_InputFunctions.Utility_DisplayArrayInTable(Fertiliser_SourceData.Fertiliser_Products_Data5(),FertiliserProducts[[#Headers],[Company]], 121)</f>
        <v/>
      </c>
      <c r="AA214" s="170" t="str" cm="1">
        <f t="array" ref="AA214">Common_InputFunctions.Utility_DisplayArrayInTable(Fertiliser_SourceData.Fertiliser_Products_Data5(),FertiliserProducts[[#Headers],[Company]], 121)</f>
        <v/>
      </c>
      <c r="AB214" s="170" t="str" cm="1">
        <f t="array" ref="AB214">Common_InputFunctions.Utility_DisplayArrayInTable(Fertiliser_SourceData.Fertiliser_Products_Data5(),FertiliserProducts[[#Headers],[Company]], 121)</f>
        <v/>
      </c>
      <c r="AC214" s="170" t="str" cm="1">
        <f t="array" ref="AC214">Common_InputFunctions.Utility_DisplayArrayInTable(Fertiliser_SourceData.Fertiliser_Products_Data5(),FertiliserProducts[[#Headers],[Company]], 121)</f>
        <v/>
      </c>
      <c r="AD214" s="170" t="str" cm="1">
        <f t="array" ref="AD214">Common_InputFunctions.Utility_DisplayArrayInTable(Fertiliser_SourceData.Fertiliser_Products_Data5(),FertiliserProducts[[#Headers],[Company]], 121)</f>
        <v/>
      </c>
      <c r="AE214" s="170" t="str" cm="1">
        <f t="array" ref="AE214">Common_InputFunctions.Utility_DisplayArrayInTable(Fertiliser_SourceData.Fertiliser_Products_Data5(),FertiliserProducts[[#Headers],[Company]], 121)</f>
        <v/>
      </c>
      <c r="AF214" s="170" t="str" cm="1">
        <f t="array" ref="AF214">Common_InputFunctions.Utility_DisplayArrayInTable(Fertiliser_SourceData.Fertiliser_Products_Data5(),FertiliserProducts[[#Headers],[Company]], 121)</f>
        <v/>
      </c>
      <c r="AG214" s="170" t="str" cm="1">
        <f t="array" ref="AG214">Common_InputFunctions.Utility_DisplayArrayInTable(Fertiliser_SourceData.Fertiliser_Products_Data5(),FertiliserProducts[[#Headers],[Company]], 121)</f>
        <v/>
      </c>
      <c r="AH214" s="170" t="str" cm="1">
        <f t="array" ref="AH214">Common_InputFunctions.Utility_DisplayArrayInTable(Fertiliser_SourceData.Fertiliser_Products_Data5(),FertiliserProducts[[#Headers],[Company]], 121)</f>
        <v/>
      </c>
    </row>
    <row r="215" spans="4:34" ht="20.100000000000001" customHeight="1" x14ac:dyDescent="0.2">
      <c r="D215" s="170" t="str" cm="1">
        <f t="array" ref="D215">Common_InputFunctions.Utility_DisplayArrayInTable(Fertiliser_SourceData.Fertiliser_Products_Data5(),FertiliserProducts[[#Headers],[Company]], 121)</f>
        <v>Wengfu Australia</v>
      </c>
      <c r="E215" s="170" t="str" cm="1">
        <f t="array" ref="E215">Common_InputFunctions.Utility_DisplayArrayInTable(Fertiliser_SourceData.Fertiliser_Products_Data5(),FertiliserProducts[[#Headers],[Company]], 121)</f>
        <v>Wengfu Sidedress</v>
      </c>
      <c r="F215" s="170" t="str" cm="1">
        <f t="array" ref="F215">Common_InputFunctions.Utility_DisplayArrayInTable(Fertiliser_SourceData.Fertiliser_Products_Data5(),FertiliserProducts[[#Headers],[Company]], 121)</f>
        <v>kg</v>
      </c>
      <c r="G215" s="170" cm="1">
        <f t="array" ref="G215">Common_InputFunctions.Utility_DisplayArrayInTable(Fertiliser_SourceData.Fertiliser_Products_Data5(),FertiliserProducts[[#Headers],[Company]], 121)</f>
        <v>1</v>
      </c>
      <c r="H215" s="170" t="str" cm="1">
        <f t="array" ref="H215">Common_InputFunctions.Utility_DisplayArrayInTable(Fertiliser_SourceData.Fertiliser_Products_Data5(),FertiliserProducts[[#Headers],[Company]], 121)</f>
        <v/>
      </c>
      <c r="I215" s="170" t="str" cm="1">
        <f t="array" ref="I215">Common_InputFunctions.Utility_DisplayArrayInTable(Fertiliser_SourceData.Fertiliser_Products_Data5(),FertiliserProducts[[#Headers],[Company]], 121)</f>
        <v/>
      </c>
      <c r="J215" s="170" t="str" cm="1">
        <f t="array" ref="J215">Common_InputFunctions.Utility_DisplayArrayInTable(Fertiliser_SourceData.Fertiliser_Products_Data5(),FertiliserProducts[[#Headers],[Company]], 121)</f>
        <v/>
      </c>
      <c r="K215" s="170" cm="1">
        <f t="array" ref="K215">Common_InputFunctions.Utility_DisplayArrayInTable(Fertiliser_SourceData.Fertiliser_Products_Data5(),FertiliserProducts[[#Headers],[Company]], 121)</f>
        <v>25</v>
      </c>
      <c r="L215" s="170" cm="1">
        <f t="array" ref="L215">Common_InputFunctions.Utility_DisplayArrayInTable(Fertiliser_SourceData.Fertiliser_Products_Data5(),FertiliserProducts[[#Headers],[Company]], 121)</f>
        <v>4</v>
      </c>
      <c r="M215" s="170" cm="1">
        <f t="array" ref="M215">Common_InputFunctions.Utility_DisplayArrayInTable(Fertiliser_SourceData.Fertiliser_Products_Data5(),FertiliserProducts[[#Headers],[Company]], 121)</f>
        <v>13</v>
      </c>
      <c r="N215" s="170" cm="1">
        <f t="array" ref="N215">Common_InputFunctions.Utility_DisplayArrayInTable(Fertiliser_SourceData.Fertiliser_Products_Data5(),FertiliserProducts[[#Headers],[Company]], 121)</f>
        <v>4</v>
      </c>
      <c r="O215" s="170" t="str" cm="1">
        <f t="array" ref="O215">Common_InputFunctions.Utility_DisplayArrayInTable(Fertiliser_SourceData.Fertiliser_Products_Data5(),FertiliserProducts[[#Headers],[Company]], 121)</f>
        <v>Nitrogen - Generic</v>
      </c>
      <c r="P215" s="170" cm="1">
        <f t="array" ref="P215">Common_InputFunctions.Utility_DisplayArrayInTable(Fertiliser_SourceData.Fertiliser_Products_Data5(),FertiliserProducts[[#Headers],[Company]], 121)</f>
        <v>0.25</v>
      </c>
      <c r="Q215" s="170" t="str" cm="1">
        <f t="array" ref="Q215">Common_InputFunctions.Utility_DisplayArrayInTable(Fertiliser_SourceData.Fertiliser_Products_Data5(),FertiliserProducts[[#Headers],[Company]], 121)</f>
        <v>Phosphorus - Generic</v>
      </c>
      <c r="R215" s="170" cm="1">
        <f t="array" ref="R215">Common_InputFunctions.Utility_DisplayArrayInTable(Fertiliser_SourceData.Fertiliser_Products_Data5(),FertiliserProducts[[#Headers],[Company]], 121)</f>
        <v>0.04</v>
      </c>
      <c r="S215" s="170" t="str" cm="1">
        <f t="array" ref="S215">Common_InputFunctions.Utility_DisplayArrayInTable(Fertiliser_SourceData.Fertiliser_Products_Data5(),FertiliserProducts[[#Headers],[Company]], 121)</f>
        <v>Potassium - Generic</v>
      </c>
      <c r="T215" s="170" cm="1">
        <f t="array" ref="T215">Common_InputFunctions.Utility_DisplayArrayInTable(Fertiliser_SourceData.Fertiliser_Products_Data5(),FertiliserProducts[[#Headers],[Company]], 121)</f>
        <v>0.13</v>
      </c>
      <c r="U215" s="170" t="str" cm="1">
        <f t="array" ref="U215">Common_InputFunctions.Utility_DisplayArrayInTable(Fertiliser_SourceData.Fertiliser_Products_Data5(),FertiliserProducts[[#Headers],[Company]], 121)</f>
        <v>Sulfur - Generic</v>
      </c>
      <c r="V215" s="170" cm="1">
        <f t="array" ref="V215">Common_InputFunctions.Utility_DisplayArrayInTable(Fertiliser_SourceData.Fertiliser_Products_Data5(),FertiliserProducts[[#Headers],[Company]], 121)</f>
        <v>0.04</v>
      </c>
      <c r="W215" s="170" t="str" cm="1">
        <f t="array" ref="W215">Common_InputFunctions.Utility_DisplayArrayInTable(Fertiliser_SourceData.Fertiliser_Products_Data5(),FertiliserProducts[[#Headers],[Company]], 121)</f>
        <v/>
      </c>
      <c r="X215" s="170" t="str" cm="1">
        <f t="array" ref="X215">Common_InputFunctions.Utility_DisplayArrayInTable(Fertiliser_SourceData.Fertiliser_Products_Data5(),FertiliserProducts[[#Headers],[Company]], 121)</f>
        <v/>
      </c>
      <c r="Y215" s="170" t="str" cm="1">
        <f t="array" ref="Y215">Common_InputFunctions.Utility_DisplayArrayInTable(Fertiliser_SourceData.Fertiliser_Products_Data5(),FertiliserProducts[[#Headers],[Company]], 121)</f>
        <v/>
      </c>
      <c r="Z215" s="170" t="str" cm="1">
        <f t="array" ref="Z215">Common_InputFunctions.Utility_DisplayArrayInTable(Fertiliser_SourceData.Fertiliser_Products_Data5(),FertiliserProducts[[#Headers],[Company]], 121)</f>
        <v/>
      </c>
      <c r="AA215" s="170" t="str" cm="1">
        <f t="array" ref="AA215">Common_InputFunctions.Utility_DisplayArrayInTable(Fertiliser_SourceData.Fertiliser_Products_Data5(),FertiliserProducts[[#Headers],[Company]], 121)</f>
        <v/>
      </c>
      <c r="AB215" s="170" t="str" cm="1">
        <f t="array" ref="AB215">Common_InputFunctions.Utility_DisplayArrayInTable(Fertiliser_SourceData.Fertiliser_Products_Data5(),FertiliserProducts[[#Headers],[Company]], 121)</f>
        <v/>
      </c>
      <c r="AC215" s="170" t="str" cm="1">
        <f t="array" ref="AC215">Common_InputFunctions.Utility_DisplayArrayInTable(Fertiliser_SourceData.Fertiliser_Products_Data5(),FertiliserProducts[[#Headers],[Company]], 121)</f>
        <v/>
      </c>
      <c r="AD215" s="170" t="str" cm="1">
        <f t="array" ref="AD215">Common_InputFunctions.Utility_DisplayArrayInTable(Fertiliser_SourceData.Fertiliser_Products_Data5(),FertiliserProducts[[#Headers],[Company]], 121)</f>
        <v/>
      </c>
      <c r="AE215" s="170" t="str" cm="1">
        <f t="array" ref="AE215">Common_InputFunctions.Utility_DisplayArrayInTable(Fertiliser_SourceData.Fertiliser_Products_Data5(),FertiliserProducts[[#Headers],[Company]], 121)</f>
        <v/>
      </c>
      <c r="AF215" s="170" t="str" cm="1">
        <f t="array" ref="AF215">Common_InputFunctions.Utility_DisplayArrayInTable(Fertiliser_SourceData.Fertiliser_Products_Data5(),FertiliserProducts[[#Headers],[Company]], 121)</f>
        <v/>
      </c>
      <c r="AG215" s="170" t="str" cm="1">
        <f t="array" ref="AG215">Common_InputFunctions.Utility_DisplayArrayInTable(Fertiliser_SourceData.Fertiliser_Products_Data5(),FertiliserProducts[[#Headers],[Company]], 121)</f>
        <v/>
      </c>
      <c r="AH215" s="170" t="str" cm="1">
        <f t="array" ref="AH215">Common_InputFunctions.Utility_DisplayArrayInTable(Fertiliser_SourceData.Fertiliser_Products_Data5(),FertiliserProducts[[#Headers],[Company]], 121)</f>
        <v/>
      </c>
    </row>
    <row r="216" spans="4:34" ht="20.100000000000001" customHeight="1" x14ac:dyDescent="0.2">
      <c r="D216" s="170" t="str" cm="1">
        <f t="array" ref="D216">Common_InputFunctions.Utility_DisplayArrayInTable(Fertiliser_SourceData.Fertiliser_Products_Data5(),FertiliserProducts[[#Headers],[Company]], 121)</f>
        <v>Wengfu Australia</v>
      </c>
      <c r="E216" s="170" t="str" cm="1">
        <f t="array" ref="E216">Common_InputFunctions.Utility_DisplayArrayInTable(Fertiliser_SourceData.Fertiliser_Products_Data5(),FertiliserProducts[[#Headers],[Company]], 121)</f>
        <v>Wengfu Pasture Booster</v>
      </c>
      <c r="F216" s="170" t="str" cm="1">
        <f t="array" ref="F216">Common_InputFunctions.Utility_DisplayArrayInTable(Fertiliser_SourceData.Fertiliser_Products_Data5(),FertiliserProducts[[#Headers],[Company]], 121)</f>
        <v>kg</v>
      </c>
      <c r="G216" s="170" cm="1">
        <f t="array" ref="G216">Common_InputFunctions.Utility_DisplayArrayInTable(Fertiliser_SourceData.Fertiliser_Products_Data5(),FertiliserProducts[[#Headers],[Company]], 121)</f>
        <v>1</v>
      </c>
      <c r="H216" s="170" t="str" cm="1">
        <f t="array" ref="H216">Common_InputFunctions.Utility_DisplayArrayInTable(Fertiliser_SourceData.Fertiliser_Products_Data5(),FertiliserProducts[[#Headers],[Company]], 121)</f>
        <v/>
      </c>
      <c r="I216" s="170" t="str" cm="1">
        <f t="array" ref="I216">Common_InputFunctions.Utility_DisplayArrayInTable(Fertiliser_SourceData.Fertiliser_Products_Data5(),FertiliserProducts[[#Headers],[Company]], 121)</f>
        <v/>
      </c>
      <c r="J216" s="170" t="str" cm="1">
        <f t="array" ref="J216">Common_InputFunctions.Utility_DisplayArrayInTable(Fertiliser_SourceData.Fertiliser_Products_Data5(),FertiliserProducts[[#Headers],[Company]], 121)</f>
        <v/>
      </c>
      <c r="K216" s="170" cm="1">
        <f t="array" ref="K216">Common_InputFunctions.Utility_DisplayArrayInTable(Fertiliser_SourceData.Fertiliser_Products_Data5(),FertiliserProducts[[#Headers],[Company]], 121)</f>
        <v>13</v>
      </c>
      <c r="L216" s="170" cm="1">
        <f t="array" ref="L216">Common_InputFunctions.Utility_DisplayArrayInTable(Fertiliser_SourceData.Fertiliser_Products_Data5(),FertiliserProducts[[#Headers],[Company]], 121)</f>
        <v>5</v>
      </c>
      <c r="M216" s="170" cm="1">
        <f t="array" ref="M216">Common_InputFunctions.Utility_DisplayArrayInTable(Fertiliser_SourceData.Fertiliser_Products_Data5(),FertiliserProducts[[#Headers],[Company]], 121)</f>
        <v>24</v>
      </c>
      <c r="N216" s="170" cm="1">
        <f t="array" ref="N216">Common_InputFunctions.Utility_DisplayArrayInTable(Fertiliser_SourceData.Fertiliser_Products_Data5(),FertiliserProducts[[#Headers],[Company]], 121)</f>
        <v>5</v>
      </c>
      <c r="O216" s="170" t="str" cm="1">
        <f t="array" ref="O216">Common_InputFunctions.Utility_DisplayArrayInTable(Fertiliser_SourceData.Fertiliser_Products_Data5(),FertiliserProducts[[#Headers],[Company]], 121)</f>
        <v>Nitrogen - Generic</v>
      </c>
      <c r="P216" s="170" cm="1">
        <f t="array" ref="P216">Common_InputFunctions.Utility_DisplayArrayInTable(Fertiliser_SourceData.Fertiliser_Products_Data5(),FertiliserProducts[[#Headers],[Company]], 121)</f>
        <v>0.13</v>
      </c>
      <c r="Q216" s="170" t="str" cm="1">
        <f t="array" ref="Q216">Common_InputFunctions.Utility_DisplayArrayInTable(Fertiliser_SourceData.Fertiliser_Products_Data5(),FertiliserProducts[[#Headers],[Company]], 121)</f>
        <v>Phosphorus - Generic</v>
      </c>
      <c r="R216" s="170" cm="1">
        <f t="array" ref="R216">Common_InputFunctions.Utility_DisplayArrayInTable(Fertiliser_SourceData.Fertiliser_Products_Data5(),FertiliserProducts[[#Headers],[Company]], 121)</f>
        <v>0.05</v>
      </c>
      <c r="S216" s="170" t="str" cm="1">
        <f t="array" ref="S216">Common_InputFunctions.Utility_DisplayArrayInTable(Fertiliser_SourceData.Fertiliser_Products_Data5(),FertiliserProducts[[#Headers],[Company]], 121)</f>
        <v>Potassium - Generic</v>
      </c>
      <c r="T216" s="170" cm="1">
        <f t="array" ref="T216">Common_InputFunctions.Utility_DisplayArrayInTable(Fertiliser_SourceData.Fertiliser_Products_Data5(),FertiliserProducts[[#Headers],[Company]], 121)</f>
        <v>0.24</v>
      </c>
      <c r="U216" s="170" t="str" cm="1">
        <f t="array" ref="U216">Common_InputFunctions.Utility_DisplayArrayInTable(Fertiliser_SourceData.Fertiliser_Products_Data5(),FertiliserProducts[[#Headers],[Company]], 121)</f>
        <v>Sulfur - Generic</v>
      </c>
      <c r="V216" s="170" cm="1">
        <f t="array" ref="V216">Common_InputFunctions.Utility_DisplayArrayInTable(Fertiliser_SourceData.Fertiliser_Products_Data5(),FertiliserProducts[[#Headers],[Company]], 121)</f>
        <v>0.05</v>
      </c>
      <c r="W216" s="170" t="str" cm="1">
        <f t="array" ref="W216">Common_InputFunctions.Utility_DisplayArrayInTable(Fertiliser_SourceData.Fertiliser_Products_Data5(),FertiliserProducts[[#Headers],[Company]], 121)</f>
        <v/>
      </c>
      <c r="X216" s="170" t="str" cm="1">
        <f t="array" ref="X216">Common_InputFunctions.Utility_DisplayArrayInTable(Fertiliser_SourceData.Fertiliser_Products_Data5(),FertiliserProducts[[#Headers],[Company]], 121)</f>
        <v/>
      </c>
      <c r="Y216" s="170" t="str" cm="1">
        <f t="array" ref="Y216">Common_InputFunctions.Utility_DisplayArrayInTable(Fertiliser_SourceData.Fertiliser_Products_Data5(),FertiliserProducts[[#Headers],[Company]], 121)</f>
        <v/>
      </c>
      <c r="Z216" s="170" t="str" cm="1">
        <f t="array" ref="Z216">Common_InputFunctions.Utility_DisplayArrayInTable(Fertiliser_SourceData.Fertiliser_Products_Data5(),FertiliserProducts[[#Headers],[Company]], 121)</f>
        <v/>
      </c>
      <c r="AA216" s="170" t="str" cm="1">
        <f t="array" ref="AA216">Common_InputFunctions.Utility_DisplayArrayInTable(Fertiliser_SourceData.Fertiliser_Products_Data5(),FertiliserProducts[[#Headers],[Company]], 121)</f>
        <v/>
      </c>
      <c r="AB216" s="170" t="str" cm="1">
        <f t="array" ref="AB216">Common_InputFunctions.Utility_DisplayArrayInTable(Fertiliser_SourceData.Fertiliser_Products_Data5(),FertiliserProducts[[#Headers],[Company]], 121)</f>
        <v/>
      </c>
      <c r="AC216" s="170" t="str" cm="1">
        <f t="array" ref="AC216">Common_InputFunctions.Utility_DisplayArrayInTable(Fertiliser_SourceData.Fertiliser_Products_Data5(),FertiliserProducts[[#Headers],[Company]], 121)</f>
        <v/>
      </c>
      <c r="AD216" s="170" t="str" cm="1">
        <f t="array" ref="AD216">Common_InputFunctions.Utility_DisplayArrayInTable(Fertiliser_SourceData.Fertiliser_Products_Data5(),FertiliserProducts[[#Headers],[Company]], 121)</f>
        <v/>
      </c>
      <c r="AE216" s="170" t="str" cm="1">
        <f t="array" ref="AE216">Common_InputFunctions.Utility_DisplayArrayInTable(Fertiliser_SourceData.Fertiliser_Products_Data5(),FertiliserProducts[[#Headers],[Company]], 121)</f>
        <v/>
      </c>
      <c r="AF216" s="170" t="str" cm="1">
        <f t="array" ref="AF216">Common_InputFunctions.Utility_DisplayArrayInTable(Fertiliser_SourceData.Fertiliser_Products_Data5(),FertiliserProducts[[#Headers],[Company]], 121)</f>
        <v/>
      </c>
      <c r="AG216" s="170" t="str" cm="1">
        <f t="array" ref="AG216">Common_InputFunctions.Utility_DisplayArrayInTable(Fertiliser_SourceData.Fertiliser_Products_Data5(),FertiliserProducts[[#Headers],[Company]], 121)</f>
        <v/>
      </c>
      <c r="AH216" s="170" t="str" cm="1">
        <f t="array" ref="AH216">Common_InputFunctions.Utility_DisplayArrayInTable(Fertiliser_SourceData.Fertiliser_Products_Data5(),FertiliserProducts[[#Headers],[Company]], 121)</f>
        <v/>
      </c>
    </row>
    <row r="217" spans="4:34" ht="20.100000000000001" customHeight="1" x14ac:dyDescent="0.2">
      <c r="D217" s="170" t="str" cm="1">
        <f t="array" ref="D217">Common_InputFunctions.Utility_DisplayArrayInTable(Fertiliser_SourceData.Fertiliser_Products_Data5(),FertiliserProducts[[#Headers],[Company]], 121)</f>
        <v>Wengfu Australia</v>
      </c>
      <c r="E217" s="170" t="str" cm="1">
        <f t="array" ref="E217">Common_InputFunctions.Utility_DisplayArrayInTable(Fertiliser_SourceData.Fertiliser_Products_Data5(),FertiliserProducts[[#Headers],[Company]], 121)</f>
        <v>Wengfu DAP Hay Booster</v>
      </c>
      <c r="F217" s="170" t="str" cm="1">
        <f t="array" ref="F217">Common_InputFunctions.Utility_DisplayArrayInTable(Fertiliser_SourceData.Fertiliser_Products_Data5(),FertiliserProducts[[#Headers],[Company]], 121)</f>
        <v>kg</v>
      </c>
      <c r="G217" s="170" cm="1">
        <f t="array" ref="G217">Common_InputFunctions.Utility_DisplayArrayInTable(Fertiliser_SourceData.Fertiliser_Products_Data5(),FertiliserProducts[[#Headers],[Company]], 121)</f>
        <v>1</v>
      </c>
      <c r="H217" s="170" t="str" cm="1">
        <f t="array" ref="H217">Common_InputFunctions.Utility_DisplayArrayInTable(Fertiliser_SourceData.Fertiliser_Products_Data5(),FertiliserProducts[[#Headers],[Company]], 121)</f>
        <v/>
      </c>
      <c r="I217" s="170" t="str" cm="1">
        <f t="array" ref="I217">Common_InputFunctions.Utility_DisplayArrayInTable(Fertiliser_SourceData.Fertiliser_Products_Data5(),FertiliserProducts[[#Headers],[Company]], 121)</f>
        <v/>
      </c>
      <c r="J217" s="170" t="str" cm="1">
        <f t="array" ref="J217">Common_InputFunctions.Utility_DisplayArrayInTable(Fertiliser_SourceData.Fertiliser_Products_Data5(),FertiliserProducts[[#Headers],[Company]], 121)</f>
        <v/>
      </c>
      <c r="K217" s="170" cm="1">
        <f t="array" ref="K217">Common_InputFunctions.Utility_DisplayArrayInTable(Fertiliser_SourceData.Fertiliser_Products_Data5(),FertiliserProducts[[#Headers],[Company]], 121)</f>
        <v>11</v>
      </c>
      <c r="L217" s="170" cm="1">
        <f t="array" ref="L217">Common_InputFunctions.Utility_DisplayArrayInTable(Fertiliser_SourceData.Fertiliser_Products_Data5(),FertiliserProducts[[#Headers],[Company]], 121)</f>
        <v>5</v>
      </c>
      <c r="M217" s="170" cm="1">
        <f t="array" ref="M217">Common_InputFunctions.Utility_DisplayArrayInTable(Fertiliser_SourceData.Fertiliser_Products_Data5(),FertiliserProducts[[#Headers],[Company]], 121)</f>
        <v>24</v>
      </c>
      <c r="N217" s="170" cm="1">
        <f t="array" ref="N217">Common_InputFunctions.Utility_DisplayArrayInTable(Fertiliser_SourceData.Fertiliser_Products_Data5(),FertiliserProducts[[#Headers],[Company]], 121)</f>
        <v>4</v>
      </c>
      <c r="O217" s="170" t="str" cm="1">
        <f t="array" ref="O217">Common_InputFunctions.Utility_DisplayArrayInTable(Fertiliser_SourceData.Fertiliser_Products_Data5(),FertiliserProducts[[#Headers],[Company]], 121)</f>
        <v>Nitrogen - Generic</v>
      </c>
      <c r="P217" s="170" cm="1">
        <f t="array" ref="P217">Common_InputFunctions.Utility_DisplayArrayInTable(Fertiliser_SourceData.Fertiliser_Products_Data5(),FertiliserProducts[[#Headers],[Company]], 121)</f>
        <v>0.11</v>
      </c>
      <c r="Q217" s="170" t="str" cm="1">
        <f t="array" ref="Q217">Common_InputFunctions.Utility_DisplayArrayInTable(Fertiliser_SourceData.Fertiliser_Products_Data5(),FertiliserProducts[[#Headers],[Company]], 121)</f>
        <v>Phosphorus - Generic</v>
      </c>
      <c r="R217" s="170" cm="1">
        <f t="array" ref="R217">Common_InputFunctions.Utility_DisplayArrayInTable(Fertiliser_SourceData.Fertiliser_Products_Data5(),FertiliserProducts[[#Headers],[Company]], 121)</f>
        <v>0.05</v>
      </c>
      <c r="S217" s="170" t="str" cm="1">
        <f t="array" ref="S217">Common_InputFunctions.Utility_DisplayArrayInTable(Fertiliser_SourceData.Fertiliser_Products_Data5(),FertiliserProducts[[#Headers],[Company]], 121)</f>
        <v>Potassium - Generic</v>
      </c>
      <c r="T217" s="170" cm="1">
        <f t="array" ref="T217">Common_InputFunctions.Utility_DisplayArrayInTable(Fertiliser_SourceData.Fertiliser_Products_Data5(),FertiliserProducts[[#Headers],[Company]], 121)</f>
        <v>0.24</v>
      </c>
      <c r="U217" s="170" t="str" cm="1">
        <f t="array" ref="U217">Common_InputFunctions.Utility_DisplayArrayInTable(Fertiliser_SourceData.Fertiliser_Products_Data5(),FertiliserProducts[[#Headers],[Company]], 121)</f>
        <v>Sulfur - Generic</v>
      </c>
      <c r="V217" s="170" cm="1">
        <f t="array" ref="V217">Common_InputFunctions.Utility_DisplayArrayInTable(Fertiliser_SourceData.Fertiliser_Products_Data5(),FertiliserProducts[[#Headers],[Company]], 121)</f>
        <v>0.04</v>
      </c>
      <c r="W217" s="170" t="str" cm="1">
        <f t="array" ref="W217">Common_InputFunctions.Utility_DisplayArrayInTable(Fertiliser_SourceData.Fertiliser_Products_Data5(),FertiliserProducts[[#Headers],[Company]], 121)</f>
        <v/>
      </c>
      <c r="X217" s="170" t="str" cm="1">
        <f t="array" ref="X217">Common_InputFunctions.Utility_DisplayArrayInTable(Fertiliser_SourceData.Fertiliser_Products_Data5(),FertiliserProducts[[#Headers],[Company]], 121)</f>
        <v/>
      </c>
      <c r="Y217" s="170" t="str" cm="1">
        <f t="array" ref="Y217">Common_InputFunctions.Utility_DisplayArrayInTable(Fertiliser_SourceData.Fertiliser_Products_Data5(),FertiliserProducts[[#Headers],[Company]], 121)</f>
        <v/>
      </c>
      <c r="Z217" s="170" t="str" cm="1">
        <f t="array" ref="Z217">Common_InputFunctions.Utility_DisplayArrayInTable(Fertiliser_SourceData.Fertiliser_Products_Data5(),FertiliserProducts[[#Headers],[Company]], 121)</f>
        <v/>
      </c>
      <c r="AA217" s="170" t="str" cm="1">
        <f t="array" ref="AA217">Common_InputFunctions.Utility_DisplayArrayInTable(Fertiliser_SourceData.Fertiliser_Products_Data5(),FertiliserProducts[[#Headers],[Company]], 121)</f>
        <v/>
      </c>
      <c r="AB217" s="170" t="str" cm="1">
        <f t="array" ref="AB217">Common_InputFunctions.Utility_DisplayArrayInTable(Fertiliser_SourceData.Fertiliser_Products_Data5(),FertiliserProducts[[#Headers],[Company]], 121)</f>
        <v/>
      </c>
      <c r="AC217" s="170" t="str" cm="1">
        <f t="array" ref="AC217">Common_InputFunctions.Utility_DisplayArrayInTable(Fertiliser_SourceData.Fertiliser_Products_Data5(),FertiliserProducts[[#Headers],[Company]], 121)</f>
        <v/>
      </c>
      <c r="AD217" s="170" t="str" cm="1">
        <f t="array" ref="AD217">Common_InputFunctions.Utility_DisplayArrayInTable(Fertiliser_SourceData.Fertiliser_Products_Data5(),FertiliserProducts[[#Headers],[Company]], 121)</f>
        <v/>
      </c>
      <c r="AE217" s="170" t="str" cm="1">
        <f t="array" ref="AE217">Common_InputFunctions.Utility_DisplayArrayInTable(Fertiliser_SourceData.Fertiliser_Products_Data5(),FertiliserProducts[[#Headers],[Company]], 121)</f>
        <v/>
      </c>
      <c r="AF217" s="170" t="str" cm="1">
        <f t="array" ref="AF217">Common_InputFunctions.Utility_DisplayArrayInTable(Fertiliser_SourceData.Fertiliser_Products_Data5(),FertiliserProducts[[#Headers],[Company]], 121)</f>
        <v/>
      </c>
      <c r="AG217" s="170" t="str" cm="1">
        <f t="array" ref="AG217">Common_InputFunctions.Utility_DisplayArrayInTable(Fertiliser_SourceData.Fertiliser_Products_Data5(),FertiliserProducts[[#Headers],[Company]], 121)</f>
        <v/>
      </c>
      <c r="AH217" s="170" t="str" cm="1">
        <f t="array" ref="AH217">Common_InputFunctions.Utility_DisplayArrayInTable(Fertiliser_SourceData.Fertiliser_Products_Data5(),FertiliserProducts[[#Headers],[Company]], 121)</f>
        <v/>
      </c>
    </row>
    <row r="218" spans="4:34" ht="20.100000000000001" customHeight="1" x14ac:dyDescent="0.2">
      <c r="D218" s="170" t="str" cm="1">
        <f t="array" ref="D218">Common_InputFunctions.Utility_DisplayArrayInTable(Fertiliser_SourceData.Fertiliser_Products_Data5(),FertiliserProducts[[#Headers],[Company]], 121)</f>
        <v>Wengfu Australia</v>
      </c>
      <c r="E218" s="170" t="str" cm="1">
        <f t="array" ref="E218">Common_InputFunctions.Utility_DisplayArrayInTable(Fertiliser_SourceData.Fertiliser_Products_Data5(),FertiliserProducts[[#Headers],[Company]], 121)</f>
        <v>Wengfu MAP Hay Booster</v>
      </c>
      <c r="F218" s="170" t="str" cm="1">
        <f t="array" ref="F218">Common_InputFunctions.Utility_DisplayArrayInTable(Fertiliser_SourceData.Fertiliser_Products_Data5(),FertiliserProducts[[#Headers],[Company]], 121)</f>
        <v>kg</v>
      </c>
      <c r="G218" s="170" cm="1">
        <f t="array" ref="G218">Common_InputFunctions.Utility_DisplayArrayInTable(Fertiliser_SourceData.Fertiliser_Products_Data5(),FertiliserProducts[[#Headers],[Company]], 121)</f>
        <v>1</v>
      </c>
      <c r="H218" s="170" t="str" cm="1">
        <f t="array" ref="H218">Common_InputFunctions.Utility_DisplayArrayInTable(Fertiliser_SourceData.Fertiliser_Products_Data5(),FertiliserProducts[[#Headers],[Company]], 121)</f>
        <v/>
      </c>
      <c r="I218" s="170" t="str" cm="1">
        <f t="array" ref="I218">Common_InputFunctions.Utility_DisplayArrayInTable(Fertiliser_SourceData.Fertiliser_Products_Data5(),FertiliserProducts[[#Headers],[Company]], 121)</f>
        <v/>
      </c>
      <c r="J218" s="170" t="str" cm="1">
        <f t="array" ref="J218">Common_InputFunctions.Utility_DisplayArrayInTable(Fertiliser_SourceData.Fertiliser_Products_Data5(),FertiliserProducts[[#Headers],[Company]], 121)</f>
        <v/>
      </c>
      <c r="K218" s="170" cm="1">
        <f t="array" ref="K218">Common_InputFunctions.Utility_DisplayArrayInTable(Fertiliser_SourceData.Fertiliser_Products_Data5(),FertiliserProducts[[#Headers],[Company]], 121)</f>
        <v>11</v>
      </c>
      <c r="L218" s="170" cm="1">
        <f t="array" ref="L218">Common_InputFunctions.Utility_DisplayArrayInTable(Fertiliser_SourceData.Fertiliser_Products_Data5(),FertiliserProducts[[#Headers],[Company]], 121)</f>
        <v>8</v>
      </c>
      <c r="M218" s="170" cm="1">
        <f t="array" ref="M218">Common_InputFunctions.Utility_DisplayArrayInTable(Fertiliser_SourceData.Fertiliser_Products_Data5(),FertiliserProducts[[#Headers],[Company]], 121)</f>
        <v>20</v>
      </c>
      <c r="N218" s="170" cm="1">
        <f t="array" ref="N218">Common_InputFunctions.Utility_DisplayArrayInTable(Fertiliser_SourceData.Fertiliser_Products_Data5(),FertiliserProducts[[#Headers],[Company]], 121)</f>
        <v>6</v>
      </c>
      <c r="O218" s="170" t="str" cm="1">
        <f t="array" ref="O218">Common_InputFunctions.Utility_DisplayArrayInTable(Fertiliser_SourceData.Fertiliser_Products_Data5(),FertiliserProducts[[#Headers],[Company]], 121)</f>
        <v>Nitrogen - Generic</v>
      </c>
      <c r="P218" s="170" cm="1">
        <f t="array" ref="P218">Common_InputFunctions.Utility_DisplayArrayInTable(Fertiliser_SourceData.Fertiliser_Products_Data5(),FertiliserProducts[[#Headers],[Company]], 121)</f>
        <v>0.11</v>
      </c>
      <c r="Q218" s="170" t="str" cm="1">
        <f t="array" ref="Q218">Common_InputFunctions.Utility_DisplayArrayInTable(Fertiliser_SourceData.Fertiliser_Products_Data5(),FertiliserProducts[[#Headers],[Company]], 121)</f>
        <v>Phosphorus - Generic</v>
      </c>
      <c r="R218" s="170" cm="1">
        <f t="array" ref="R218">Common_InputFunctions.Utility_DisplayArrayInTable(Fertiliser_SourceData.Fertiliser_Products_Data5(),FertiliserProducts[[#Headers],[Company]], 121)</f>
        <v>0.08</v>
      </c>
      <c r="S218" s="170" t="str" cm="1">
        <f t="array" ref="S218">Common_InputFunctions.Utility_DisplayArrayInTable(Fertiliser_SourceData.Fertiliser_Products_Data5(),FertiliserProducts[[#Headers],[Company]], 121)</f>
        <v>Potassium - Generic</v>
      </c>
      <c r="T218" s="170" cm="1">
        <f t="array" ref="T218">Common_InputFunctions.Utility_DisplayArrayInTable(Fertiliser_SourceData.Fertiliser_Products_Data5(),FertiliserProducts[[#Headers],[Company]], 121)</f>
        <v>0.2</v>
      </c>
      <c r="U218" s="170" t="str" cm="1">
        <f t="array" ref="U218">Common_InputFunctions.Utility_DisplayArrayInTable(Fertiliser_SourceData.Fertiliser_Products_Data5(),FertiliserProducts[[#Headers],[Company]], 121)</f>
        <v>Sulfur - Generic</v>
      </c>
      <c r="V218" s="170" cm="1">
        <f t="array" ref="V218">Common_InputFunctions.Utility_DisplayArrayInTable(Fertiliser_SourceData.Fertiliser_Products_Data5(),FertiliserProducts[[#Headers],[Company]], 121)</f>
        <v>0.06</v>
      </c>
      <c r="W218" s="170" t="str" cm="1">
        <f t="array" ref="W218">Common_InputFunctions.Utility_DisplayArrayInTable(Fertiliser_SourceData.Fertiliser_Products_Data5(),FertiliserProducts[[#Headers],[Company]], 121)</f>
        <v/>
      </c>
      <c r="X218" s="170" t="str" cm="1">
        <f t="array" ref="X218">Common_InputFunctions.Utility_DisplayArrayInTable(Fertiliser_SourceData.Fertiliser_Products_Data5(),FertiliserProducts[[#Headers],[Company]], 121)</f>
        <v/>
      </c>
      <c r="Y218" s="170" t="str" cm="1">
        <f t="array" ref="Y218">Common_InputFunctions.Utility_DisplayArrayInTable(Fertiliser_SourceData.Fertiliser_Products_Data5(),FertiliserProducts[[#Headers],[Company]], 121)</f>
        <v/>
      </c>
      <c r="Z218" s="170" t="str" cm="1">
        <f t="array" ref="Z218">Common_InputFunctions.Utility_DisplayArrayInTable(Fertiliser_SourceData.Fertiliser_Products_Data5(),FertiliserProducts[[#Headers],[Company]], 121)</f>
        <v/>
      </c>
      <c r="AA218" s="170" t="str" cm="1">
        <f t="array" ref="AA218">Common_InputFunctions.Utility_DisplayArrayInTable(Fertiliser_SourceData.Fertiliser_Products_Data5(),FertiliserProducts[[#Headers],[Company]], 121)</f>
        <v/>
      </c>
      <c r="AB218" s="170" t="str" cm="1">
        <f t="array" ref="AB218">Common_InputFunctions.Utility_DisplayArrayInTable(Fertiliser_SourceData.Fertiliser_Products_Data5(),FertiliserProducts[[#Headers],[Company]], 121)</f>
        <v/>
      </c>
      <c r="AC218" s="170" t="str" cm="1">
        <f t="array" ref="AC218">Common_InputFunctions.Utility_DisplayArrayInTable(Fertiliser_SourceData.Fertiliser_Products_Data5(),FertiliserProducts[[#Headers],[Company]], 121)</f>
        <v/>
      </c>
      <c r="AD218" s="170" t="str" cm="1">
        <f t="array" ref="AD218">Common_InputFunctions.Utility_DisplayArrayInTable(Fertiliser_SourceData.Fertiliser_Products_Data5(),FertiliserProducts[[#Headers],[Company]], 121)</f>
        <v/>
      </c>
      <c r="AE218" s="170" t="str" cm="1">
        <f t="array" ref="AE218">Common_InputFunctions.Utility_DisplayArrayInTable(Fertiliser_SourceData.Fertiliser_Products_Data5(),FertiliserProducts[[#Headers],[Company]], 121)</f>
        <v/>
      </c>
      <c r="AF218" s="170" t="str" cm="1">
        <f t="array" ref="AF218">Common_InputFunctions.Utility_DisplayArrayInTable(Fertiliser_SourceData.Fertiliser_Products_Data5(),FertiliserProducts[[#Headers],[Company]], 121)</f>
        <v/>
      </c>
      <c r="AG218" s="170" t="str" cm="1">
        <f t="array" ref="AG218">Common_InputFunctions.Utility_DisplayArrayInTable(Fertiliser_SourceData.Fertiliser_Products_Data5(),FertiliserProducts[[#Headers],[Company]], 121)</f>
        <v/>
      </c>
      <c r="AH218" s="170" t="str" cm="1">
        <f t="array" ref="AH218">Common_InputFunctions.Utility_DisplayArrayInTable(Fertiliser_SourceData.Fertiliser_Products_Data5(),FertiliserProducts[[#Headers],[Company]], 121)</f>
        <v/>
      </c>
    </row>
    <row r="219" spans="4:34" ht="20.100000000000001" customHeight="1" x14ac:dyDescent="0.2">
      <c r="D219" s="170" t="str" cm="1">
        <f t="array" ref="D219">Common_InputFunctions.Utility_DisplayArrayInTable(Fertiliser_SourceData.Fertiliser_Products_Data5(),FertiliserProducts[[#Headers],[Company]], 121)</f>
        <v>Wengfu Australia</v>
      </c>
      <c r="E219" s="170" t="str" cm="1">
        <f t="array" ref="E219">Common_InputFunctions.Utility_DisplayArrayInTable(Fertiliser_SourceData.Fertiliser_Products_Data5(),FertiliserProducts[[#Headers],[Company]], 121)</f>
        <v>Wengfu Fodder Booster</v>
      </c>
      <c r="F219" s="170" t="str" cm="1">
        <f t="array" ref="F219">Common_InputFunctions.Utility_DisplayArrayInTable(Fertiliser_SourceData.Fertiliser_Products_Data5(),FertiliserProducts[[#Headers],[Company]], 121)</f>
        <v>kg</v>
      </c>
      <c r="G219" s="170" cm="1">
        <f t="array" ref="G219">Common_InputFunctions.Utility_DisplayArrayInTable(Fertiliser_SourceData.Fertiliser_Products_Data5(),FertiliserProducts[[#Headers],[Company]], 121)</f>
        <v>1</v>
      </c>
      <c r="H219" s="170" t="str" cm="1">
        <f t="array" ref="H219">Common_InputFunctions.Utility_DisplayArrayInTable(Fertiliser_SourceData.Fertiliser_Products_Data5(),FertiliserProducts[[#Headers],[Company]], 121)</f>
        <v/>
      </c>
      <c r="I219" s="170" t="str" cm="1">
        <f t="array" ref="I219">Common_InputFunctions.Utility_DisplayArrayInTable(Fertiliser_SourceData.Fertiliser_Products_Data5(),FertiliserProducts[[#Headers],[Company]], 121)</f>
        <v/>
      </c>
      <c r="J219" s="170" t="str" cm="1">
        <f t="array" ref="J219">Common_InputFunctions.Utility_DisplayArrayInTable(Fertiliser_SourceData.Fertiliser_Products_Data5(),FertiliserProducts[[#Headers],[Company]], 121)</f>
        <v/>
      </c>
      <c r="K219" s="170" cm="1">
        <f t="array" ref="K219">Common_InputFunctions.Utility_DisplayArrayInTable(Fertiliser_SourceData.Fertiliser_Products_Data5(),FertiliserProducts[[#Headers],[Company]], 121)</f>
        <v>9</v>
      </c>
      <c r="L219" s="170" cm="1">
        <f t="array" ref="L219">Common_InputFunctions.Utility_DisplayArrayInTable(Fertiliser_SourceData.Fertiliser_Products_Data5(),FertiliserProducts[[#Headers],[Company]], 121)</f>
        <v>4</v>
      </c>
      <c r="M219" s="170" cm="1">
        <f t="array" ref="M219">Common_InputFunctions.Utility_DisplayArrayInTable(Fertiliser_SourceData.Fertiliser_Products_Data5(),FertiliserProducts[[#Headers],[Company]], 121)</f>
        <v>5</v>
      </c>
      <c r="N219" s="170" cm="1">
        <f t="array" ref="N219">Common_InputFunctions.Utility_DisplayArrayInTable(Fertiliser_SourceData.Fertiliser_Products_Data5(),FertiliserProducts[[#Headers],[Company]], 121)</f>
        <v>15</v>
      </c>
      <c r="O219" s="170" t="str" cm="1">
        <f t="array" ref="O219">Common_InputFunctions.Utility_DisplayArrayInTable(Fertiliser_SourceData.Fertiliser_Products_Data5(),FertiliserProducts[[#Headers],[Company]], 121)</f>
        <v>Nitrogen - Generic</v>
      </c>
      <c r="P219" s="170" cm="1">
        <f t="array" ref="P219">Common_InputFunctions.Utility_DisplayArrayInTable(Fertiliser_SourceData.Fertiliser_Products_Data5(),FertiliserProducts[[#Headers],[Company]], 121)</f>
        <v>0.09</v>
      </c>
      <c r="Q219" s="170" t="str" cm="1">
        <f t="array" ref="Q219">Common_InputFunctions.Utility_DisplayArrayInTable(Fertiliser_SourceData.Fertiliser_Products_Data5(),FertiliserProducts[[#Headers],[Company]], 121)</f>
        <v>Phosphorus - Generic</v>
      </c>
      <c r="R219" s="170" cm="1">
        <f t="array" ref="R219">Common_InputFunctions.Utility_DisplayArrayInTable(Fertiliser_SourceData.Fertiliser_Products_Data5(),FertiliserProducts[[#Headers],[Company]], 121)</f>
        <v>0.04</v>
      </c>
      <c r="S219" s="170" t="str" cm="1">
        <f t="array" ref="S219">Common_InputFunctions.Utility_DisplayArrayInTable(Fertiliser_SourceData.Fertiliser_Products_Data5(),FertiliserProducts[[#Headers],[Company]], 121)</f>
        <v>Potassium - Generic</v>
      </c>
      <c r="T219" s="170" cm="1">
        <f t="array" ref="T219">Common_InputFunctions.Utility_DisplayArrayInTable(Fertiliser_SourceData.Fertiliser_Products_Data5(),FertiliserProducts[[#Headers],[Company]], 121)</f>
        <v>0.05</v>
      </c>
      <c r="U219" s="170" t="str" cm="1">
        <f t="array" ref="U219">Common_InputFunctions.Utility_DisplayArrayInTable(Fertiliser_SourceData.Fertiliser_Products_Data5(),FertiliserProducts[[#Headers],[Company]], 121)</f>
        <v>Sulfur - Generic</v>
      </c>
      <c r="V219" s="170" cm="1">
        <f t="array" ref="V219">Common_InputFunctions.Utility_DisplayArrayInTable(Fertiliser_SourceData.Fertiliser_Products_Data5(),FertiliserProducts[[#Headers],[Company]], 121)</f>
        <v>0.15</v>
      </c>
      <c r="W219" s="170" t="str" cm="1">
        <f t="array" ref="W219">Common_InputFunctions.Utility_DisplayArrayInTable(Fertiliser_SourceData.Fertiliser_Products_Data5(),FertiliserProducts[[#Headers],[Company]], 121)</f>
        <v/>
      </c>
      <c r="X219" s="170" t="str" cm="1">
        <f t="array" ref="X219">Common_InputFunctions.Utility_DisplayArrayInTable(Fertiliser_SourceData.Fertiliser_Products_Data5(),FertiliserProducts[[#Headers],[Company]], 121)</f>
        <v/>
      </c>
      <c r="Y219" s="170" t="str" cm="1">
        <f t="array" ref="Y219">Common_InputFunctions.Utility_DisplayArrayInTable(Fertiliser_SourceData.Fertiliser_Products_Data5(),FertiliserProducts[[#Headers],[Company]], 121)</f>
        <v/>
      </c>
      <c r="Z219" s="170" t="str" cm="1">
        <f t="array" ref="Z219">Common_InputFunctions.Utility_DisplayArrayInTable(Fertiliser_SourceData.Fertiliser_Products_Data5(),FertiliserProducts[[#Headers],[Company]], 121)</f>
        <v/>
      </c>
      <c r="AA219" s="170" t="str" cm="1">
        <f t="array" ref="AA219">Common_InputFunctions.Utility_DisplayArrayInTable(Fertiliser_SourceData.Fertiliser_Products_Data5(),FertiliserProducts[[#Headers],[Company]], 121)</f>
        <v/>
      </c>
      <c r="AB219" s="170" t="str" cm="1">
        <f t="array" ref="AB219">Common_InputFunctions.Utility_DisplayArrayInTable(Fertiliser_SourceData.Fertiliser_Products_Data5(),FertiliserProducts[[#Headers],[Company]], 121)</f>
        <v/>
      </c>
      <c r="AC219" s="170" t="str" cm="1">
        <f t="array" ref="AC219">Common_InputFunctions.Utility_DisplayArrayInTable(Fertiliser_SourceData.Fertiliser_Products_Data5(),FertiliserProducts[[#Headers],[Company]], 121)</f>
        <v/>
      </c>
      <c r="AD219" s="170" t="str" cm="1">
        <f t="array" ref="AD219">Common_InputFunctions.Utility_DisplayArrayInTable(Fertiliser_SourceData.Fertiliser_Products_Data5(),FertiliserProducts[[#Headers],[Company]], 121)</f>
        <v/>
      </c>
      <c r="AE219" s="170" t="str" cm="1">
        <f t="array" ref="AE219">Common_InputFunctions.Utility_DisplayArrayInTable(Fertiliser_SourceData.Fertiliser_Products_Data5(),FertiliserProducts[[#Headers],[Company]], 121)</f>
        <v/>
      </c>
      <c r="AF219" s="170" t="str" cm="1">
        <f t="array" ref="AF219">Common_InputFunctions.Utility_DisplayArrayInTable(Fertiliser_SourceData.Fertiliser_Products_Data5(),FertiliserProducts[[#Headers],[Company]], 121)</f>
        <v/>
      </c>
      <c r="AG219" s="170" t="str" cm="1">
        <f t="array" ref="AG219">Common_InputFunctions.Utility_DisplayArrayInTable(Fertiliser_SourceData.Fertiliser_Products_Data5(),FertiliserProducts[[#Headers],[Company]], 121)</f>
        <v/>
      </c>
      <c r="AH219" s="170" t="str" cm="1">
        <f t="array" ref="AH219">Common_InputFunctions.Utility_DisplayArrayInTable(Fertiliser_SourceData.Fertiliser_Products_Data5(),FertiliserProducts[[#Headers],[Company]], 121)</f>
        <v/>
      </c>
    </row>
    <row r="220" spans="4:34" ht="20.100000000000001" customHeight="1" x14ac:dyDescent="0.2">
      <c r="D220" s="170" t="str" cm="1">
        <f t="array" ref="D220">Common_InputFunctions.Utility_DisplayArrayInTable(Fertiliser_SourceData.Fertiliser_Products_Data5(),FertiliserProducts[[#Headers],[Company]], 121)</f>
        <v>CSBP</v>
      </c>
      <c r="E220" s="170" t="str" cm="1">
        <f t="array" ref="E220">Common_InputFunctions.Utility_DisplayArrayInTable(Fertiliser_SourceData.Fertiliser_Products_Data5(),FertiliserProducts[[#Headers],[Company]], 121)</f>
        <v>K-Till Extra</v>
      </c>
      <c r="F220" s="170" t="str" cm="1">
        <f t="array" ref="F220">Common_InputFunctions.Utility_DisplayArrayInTable(Fertiliser_SourceData.Fertiliser_Products_Data5(),FertiliserProducts[[#Headers],[Company]], 121)</f>
        <v>kg</v>
      </c>
      <c r="G220" s="170" cm="1">
        <f t="array" ref="G220">Common_InputFunctions.Utility_DisplayArrayInTable(Fertiliser_SourceData.Fertiliser_Products_Data5(),FertiliserProducts[[#Headers],[Company]], 121)</f>
        <v>1</v>
      </c>
      <c r="H220" s="170" t="str" cm="1">
        <f t="array" ref="H220">Common_InputFunctions.Utility_DisplayArrayInTable(Fertiliser_SourceData.Fertiliser_Products_Data5(),FertiliserProducts[[#Headers],[Company]], 121)</f>
        <v/>
      </c>
      <c r="I220" s="170" t="str" cm="1">
        <f t="array" ref="I220">Common_InputFunctions.Utility_DisplayArrayInTable(Fertiliser_SourceData.Fertiliser_Products_Data5(),FertiliserProducts[[#Headers],[Company]], 121)</f>
        <v/>
      </c>
      <c r="J220" s="170" t="str" cm="1">
        <f t="array" ref="J220">Common_InputFunctions.Utility_DisplayArrayInTable(Fertiliser_SourceData.Fertiliser_Products_Data5(),FertiliserProducts[[#Headers],[Company]], 121)</f>
        <v/>
      </c>
      <c r="K220" s="170" cm="1">
        <f t="array" ref="K220">Common_InputFunctions.Utility_DisplayArrayInTable(Fertiliser_SourceData.Fertiliser_Products_Data5(),FertiliserProducts[[#Headers],[Company]], 121)</f>
        <v>10.73</v>
      </c>
      <c r="L220" s="170" cm="1">
        <f t="array" ref="L220">Common_InputFunctions.Utility_DisplayArrayInTable(Fertiliser_SourceData.Fertiliser_Products_Data5(),FertiliserProducts[[#Headers],[Company]], 121)</f>
        <v>10.95</v>
      </c>
      <c r="M220" s="170" cm="1">
        <f t="array" ref="M220">Common_InputFunctions.Utility_DisplayArrayInTable(Fertiliser_SourceData.Fertiliser_Products_Data5(),FertiliserProducts[[#Headers],[Company]], 121)</f>
        <v>11.35</v>
      </c>
      <c r="N220" s="170" cm="1">
        <f t="array" ref="N220">Common_InputFunctions.Utility_DisplayArrayInTable(Fertiliser_SourceData.Fertiliser_Products_Data5(),FertiliserProducts[[#Headers],[Company]], 121)</f>
        <v>6.55</v>
      </c>
      <c r="O220" s="170" t="str" cm="1">
        <f t="array" ref="O220">Common_InputFunctions.Utility_DisplayArrayInTable(Fertiliser_SourceData.Fertiliser_Products_Data5(),FertiliserProducts[[#Headers],[Company]], 121)</f>
        <v>Monoammonium phosphate (MAP)</v>
      </c>
      <c r="P220" s="170" cm="1">
        <f t="array" ref="P220">Common_InputFunctions.Utility_DisplayArrayInTable(Fertiliser_SourceData.Fertiliser_Products_Data5(),FertiliserProducts[[#Headers],[Company]], 121)</f>
        <v>0.5</v>
      </c>
      <c r="Q220" s="170" t="str" cm="1">
        <f t="array" ref="Q220">Common_InputFunctions.Utility_DisplayArrayInTable(Fertiliser_SourceData.Fertiliser_Products_Data5(),FertiliserProducts[[#Headers],[Company]], 121)</f>
        <v>Sulphate of ammonia (SOA)</v>
      </c>
      <c r="R220" s="170" cm="1">
        <f t="array" ref="R220">Common_InputFunctions.Utility_DisplayArrayInTable(Fertiliser_SourceData.Fertiliser_Products_Data5(),FertiliserProducts[[#Headers],[Company]], 121)</f>
        <v>0.27300000000000002</v>
      </c>
      <c r="S220" s="170" t="str" cm="1">
        <f t="array" ref="S220">Common_InputFunctions.Utility_DisplayArrayInTable(Fertiliser_SourceData.Fertiliser_Products_Data5(),FertiliserProducts[[#Headers],[Company]], 121)</f>
        <v>Muriate of potash (MOP)</v>
      </c>
      <c r="T220" s="170" cm="1">
        <f t="array" ref="T220">Common_InputFunctions.Utility_DisplayArrayInTable(Fertiliser_SourceData.Fertiliser_Products_Data5(),FertiliserProducts[[#Headers],[Company]], 121)</f>
        <v>0.22700000000000001</v>
      </c>
      <c r="U220" s="170" t="str" cm="1">
        <f t="array" ref="U220">Common_InputFunctions.Utility_DisplayArrayInTable(Fertiliser_SourceData.Fertiliser_Products_Data5(),FertiliserProducts[[#Headers],[Company]], 121)</f>
        <v>Copper</v>
      </c>
      <c r="V220" s="170" t="str" cm="1">
        <f t="array" ref="V220">Common_InputFunctions.Utility_DisplayArrayInTable(Fertiliser_SourceData.Fertiliser_Products_Data5(),FertiliserProducts[[#Headers],[Company]], 121)</f>
        <v>No data</v>
      </c>
      <c r="W220" s="170" t="str" cm="1">
        <f t="array" ref="W220">Common_InputFunctions.Utility_DisplayArrayInTable(Fertiliser_SourceData.Fertiliser_Products_Data5(),FertiliserProducts[[#Headers],[Company]], 121)</f>
        <v>Zinc</v>
      </c>
      <c r="X220" s="170" t="str" cm="1">
        <f t="array" ref="X220">Common_InputFunctions.Utility_DisplayArrayInTable(Fertiliser_SourceData.Fertiliser_Products_Data5(),FertiliserProducts[[#Headers],[Company]], 121)</f>
        <v>No data</v>
      </c>
      <c r="Y220" s="170" t="str" cm="1">
        <f t="array" ref="Y220">Common_InputFunctions.Utility_DisplayArrayInTable(Fertiliser_SourceData.Fertiliser_Products_Data5(),FertiliserProducts[[#Headers],[Company]], 121)</f>
        <v/>
      </c>
      <c r="Z220" s="170" t="str" cm="1">
        <f t="array" ref="Z220">Common_InputFunctions.Utility_DisplayArrayInTable(Fertiliser_SourceData.Fertiliser_Products_Data5(),FertiliserProducts[[#Headers],[Company]], 121)</f>
        <v/>
      </c>
      <c r="AA220" s="170" t="str" cm="1">
        <f t="array" ref="AA220">Common_InputFunctions.Utility_DisplayArrayInTable(Fertiliser_SourceData.Fertiliser_Products_Data5(),FertiliserProducts[[#Headers],[Company]], 121)</f>
        <v/>
      </c>
      <c r="AB220" s="170" t="str" cm="1">
        <f t="array" ref="AB220">Common_InputFunctions.Utility_DisplayArrayInTable(Fertiliser_SourceData.Fertiliser_Products_Data5(),FertiliserProducts[[#Headers],[Company]], 121)</f>
        <v/>
      </c>
      <c r="AC220" s="170" t="str" cm="1">
        <f t="array" ref="AC220">Common_InputFunctions.Utility_DisplayArrayInTable(Fertiliser_SourceData.Fertiliser_Products_Data5(),FertiliserProducts[[#Headers],[Company]], 121)</f>
        <v/>
      </c>
      <c r="AD220" s="170" t="str" cm="1">
        <f t="array" ref="AD220">Common_InputFunctions.Utility_DisplayArrayInTable(Fertiliser_SourceData.Fertiliser_Products_Data5(),FertiliserProducts[[#Headers],[Company]], 121)</f>
        <v/>
      </c>
      <c r="AE220" s="170" t="str" cm="1">
        <f t="array" ref="AE220">Common_InputFunctions.Utility_DisplayArrayInTable(Fertiliser_SourceData.Fertiliser_Products_Data5(),FertiliserProducts[[#Headers],[Company]], 121)</f>
        <v/>
      </c>
      <c r="AF220" s="170" t="str" cm="1">
        <f t="array" ref="AF220">Common_InputFunctions.Utility_DisplayArrayInTable(Fertiliser_SourceData.Fertiliser_Products_Data5(),FertiliserProducts[[#Headers],[Company]], 121)</f>
        <v/>
      </c>
      <c r="AG220" s="170" t="str" cm="1">
        <f t="array" ref="AG220">Common_InputFunctions.Utility_DisplayArrayInTable(Fertiliser_SourceData.Fertiliser_Products_Data5(),FertiliserProducts[[#Headers],[Company]], 121)</f>
        <v/>
      </c>
      <c r="AH220" s="170" t="str" cm="1">
        <f t="array" ref="AH220">Common_InputFunctions.Utility_DisplayArrayInTable(Fertiliser_SourceData.Fertiliser_Products_Data5(),FertiliserProducts[[#Headers],[Company]], 121)</f>
        <v/>
      </c>
    </row>
    <row r="221" spans="4:34" ht="20.100000000000001" customHeight="1" x14ac:dyDescent="0.2">
      <c r="D221" s="170" t="str" cm="1">
        <f t="array" ref="D221">Common_InputFunctions.Utility_DisplayArrayInTable(Fertiliser_SourceData.Fertiliser_Products_Data5(),FertiliserProducts[[#Headers],[Company]], 121)</f>
        <v>CSBP</v>
      </c>
      <c r="E221" s="170" t="str" cm="1">
        <f t="array" ref="E221">Common_InputFunctions.Utility_DisplayArrayInTable(Fertiliser_SourceData.Fertiliser_Products_Data5(),FertiliserProducts[[#Headers],[Company]], 121)</f>
        <v>Agras Extra</v>
      </c>
      <c r="F221" s="170" t="str" cm="1">
        <f t="array" ref="F221">Common_InputFunctions.Utility_DisplayArrayInTable(Fertiliser_SourceData.Fertiliser_Products_Data5(),FertiliserProducts[[#Headers],[Company]], 121)</f>
        <v>kg</v>
      </c>
      <c r="G221" s="170" cm="1">
        <f t="array" ref="G221">Common_InputFunctions.Utility_DisplayArrayInTable(Fertiliser_SourceData.Fertiliser_Products_Data5(),FertiliserProducts[[#Headers],[Company]], 121)</f>
        <v>1</v>
      </c>
      <c r="H221" s="170" t="str" cm="1">
        <f t="array" ref="H221">Common_InputFunctions.Utility_DisplayArrayInTable(Fertiliser_SourceData.Fertiliser_Products_Data5(),FertiliserProducts[[#Headers],[Company]], 121)</f>
        <v/>
      </c>
      <c r="I221" s="170" t="str" cm="1">
        <f t="array" ref="I221">Common_InputFunctions.Utility_DisplayArrayInTable(Fertiliser_SourceData.Fertiliser_Products_Data5(),FertiliserProducts[[#Headers],[Company]], 121)</f>
        <v/>
      </c>
      <c r="J221" s="170" t="str" cm="1">
        <f t="array" ref="J221">Common_InputFunctions.Utility_DisplayArrayInTable(Fertiliser_SourceData.Fertiliser_Products_Data5(),FertiliserProducts[[#Headers],[Company]], 121)</f>
        <v/>
      </c>
      <c r="K221" s="170" cm="1">
        <f t="array" ref="K221">Common_InputFunctions.Utility_DisplayArrayInTable(Fertiliser_SourceData.Fertiliser_Products_Data5(),FertiliserProducts[[#Headers],[Company]], 121)</f>
        <v>16.95</v>
      </c>
      <c r="L221" s="170" cm="1">
        <f t="array" ref="L221">Common_InputFunctions.Utility_DisplayArrayInTable(Fertiliser_SourceData.Fertiliser_Products_Data5(),FertiliserProducts[[#Headers],[Company]], 121)</f>
        <v>8.06</v>
      </c>
      <c r="M221" s="170" t="str" cm="1">
        <f t="array" ref="M221">Common_InputFunctions.Utility_DisplayArrayInTable(Fertiliser_SourceData.Fertiliser_Products_Data5(),FertiliserProducts[[#Headers],[Company]], 121)</f>
        <v/>
      </c>
      <c r="N221" s="170" cm="1">
        <f t="array" ref="N221">Common_InputFunctions.Utility_DisplayArrayInTable(Fertiliser_SourceData.Fertiliser_Products_Data5(),FertiliserProducts[[#Headers],[Company]], 121)</f>
        <v>15.17</v>
      </c>
      <c r="O221" s="170" t="str" cm="1">
        <f t="array" ref="O221">Common_InputFunctions.Utility_DisplayArrayInTable(Fertiliser_SourceData.Fertiliser_Products_Data5(),FertiliserProducts[[#Headers],[Company]], 121)</f>
        <v>Sulphate of ammonia (SOA)</v>
      </c>
      <c r="P221" s="170" cm="1">
        <f t="array" ref="P221">Common_InputFunctions.Utility_DisplayArrayInTable(Fertiliser_SourceData.Fertiliser_Products_Data5(),FertiliserProducts[[#Headers],[Company]], 121)</f>
        <v>0.63200000000000001</v>
      </c>
      <c r="Q221" s="170" t="str" cm="1">
        <f t="array" ref="Q221">Common_InputFunctions.Utility_DisplayArrayInTable(Fertiliser_SourceData.Fertiliser_Products_Data5(),FertiliserProducts[[#Headers],[Company]], 121)</f>
        <v>Monoammonium phosphate (MAP)</v>
      </c>
      <c r="R221" s="170" cm="1">
        <f t="array" ref="R221">Common_InputFunctions.Utility_DisplayArrayInTable(Fertiliser_SourceData.Fertiliser_Products_Data5(),FertiliserProducts[[#Headers],[Company]], 121)</f>
        <v>0.36799999999999999</v>
      </c>
      <c r="S221" s="170" t="str" cm="1">
        <f t="array" ref="S221">Common_InputFunctions.Utility_DisplayArrayInTable(Fertiliser_SourceData.Fertiliser_Products_Data5(),FertiliserProducts[[#Headers],[Company]], 121)</f>
        <v>Zinc</v>
      </c>
      <c r="T221" s="170" t="str" cm="1">
        <f t="array" ref="T221">Common_InputFunctions.Utility_DisplayArrayInTable(Fertiliser_SourceData.Fertiliser_Products_Data5(),FertiliserProducts[[#Headers],[Company]], 121)</f>
        <v>No data</v>
      </c>
      <c r="U221" s="170" t="str" cm="1">
        <f t="array" ref="U221">Common_InputFunctions.Utility_DisplayArrayInTable(Fertiliser_SourceData.Fertiliser_Products_Data5(),FertiliserProducts[[#Headers],[Company]], 121)</f>
        <v>Copper</v>
      </c>
      <c r="V221" s="170" t="str" cm="1">
        <f t="array" ref="V221">Common_InputFunctions.Utility_DisplayArrayInTable(Fertiliser_SourceData.Fertiliser_Products_Data5(),FertiliserProducts[[#Headers],[Company]], 121)</f>
        <v>No data</v>
      </c>
      <c r="W221" s="170" t="str" cm="1">
        <f t="array" ref="W221">Common_InputFunctions.Utility_DisplayArrayInTable(Fertiliser_SourceData.Fertiliser_Products_Data5(),FertiliserProducts[[#Headers],[Company]], 121)</f>
        <v>Molybdenum</v>
      </c>
      <c r="X221" s="170" t="str" cm="1">
        <f t="array" ref="X221">Common_InputFunctions.Utility_DisplayArrayInTable(Fertiliser_SourceData.Fertiliser_Products_Data5(),FertiliserProducts[[#Headers],[Company]], 121)</f>
        <v>No data</v>
      </c>
      <c r="Y221" s="170" t="str" cm="1">
        <f t="array" ref="Y221">Common_InputFunctions.Utility_DisplayArrayInTable(Fertiliser_SourceData.Fertiliser_Products_Data5(),FertiliserProducts[[#Headers],[Company]], 121)</f>
        <v>Cobalt</v>
      </c>
      <c r="Z221" s="170" t="str" cm="1">
        <f t="array" ref="Z221">Common_InputFunctions.Utility_DisplayArrayInTable(Fertiliser_SourceData.Fertiliser_Products_Data5(),FertiliserProducts[[#Headers],[Company]], 121)</f>
        <v>No data</v>
      </c>
      <c r="AA221" s="170" t="str" cm="1">
        <f t="array" ref="AA221">Common_InputFunctions.Utility_DisplayArrayInTable(Fertiliser_SourceData.Fertiliser_Products_Data5(),FertiliserProducts[[#Headers],[Company]], 121)</f>
        <v/>
      </c>
      <c r="AB221" s="170" t="str" cm="1">
        <f t="array" ref="AB221">Common_InputFunctions.Utility_DisplayArrayInTable(Fertiliser_SourceData.Fertiliser_Products_Data5(),FertiliserProducts[[#Headers],[Company]], 121)</f>
        <v/>
      </c>
      <c r="AC221" s="170" t="str" cm="1">
        <f t="array" ref="AC221">Common_InputFunctions.Utility_DisplayArrayInTable(Fertiliser_SourceData.Fertiliser_Products_Data5(),FertiliserProducts[[#Headers],[Company]], 121)</f>
        <v/>
      </c>
      <c r="AD221" s="170" t="str" cm="1">
        <f t="array" ref="AD221">Common_InputFunctions.Utility_DisplayArrayInTable(Fertiliser_SourceData.Fertiliser_Products_Data5(),FertiliserProducts[[#Headers],[Company]], 121)</f>
        <v/>
      </c>
      <c r="AE221" s="170" t="str" cm="1">
        <f t="array" ref="AE221">Common_InputFunctions.Utility_DisplayArrayInTable(Fertiliser_SourceData.Fertiliser_Products_Data5(),FertiliserProducts[[#Headers],[Company]], 121)</f>
        <v/>
      </c>
      <c r="AF221" s="170" t="str" cm="1">
        <f t="array" ref="AF221">Common_InputFunctions.Utility_DisplayArrayInTable(Fertiliser_SourceData.Fertiliser_Products_Data5(),FertiliserProducts[[#Headers],[Company]], 121)</f>
        <v/>
      </c>
      <c r="AG221" s="170" t="str" cm="1">
        <f t="array" ref="AG221">Common_InputFunctions.Utility_DisplayArrayInTable(Fertiliser_SourceData.Fertiliser_Products_Data5(),FertiliserProducts[[#Headers],[Company]], 121)</f>
        <v/>
      </c>
      <c r="AH221" s="170" t="str" cm="1">
        <f t="array" ref="AH221">Common_InputFunctions.Utility_DisplayArrayInTable(Fertiliser_SourceData.Fertiliser_Products_Data5(),FertiliserProducts[[#Headers],[Company]], 121)</f>
        <v/>
      </c>
    </row>
    <row r="222" spans="4:34" ht="20.100000000000001" customHeight="1" x14ac:dyDescent="0.2">
      <c r="D222" s="170" t="str" cm="1">
        <f t="array" ref="D222">Common_InputFunctions.Utility_DisplayArrayInTable(Fertiliser_SourceData.Fertiliser_Products_Data5(),FertiliserProducts[[#Headers],[Company]], 121)</f>
        <v>CSBP</v>
      </c>
      <c r="E222" s="170" t="str" cm="1">
        <f t="array" ref="E222">Common_InputFunctions.Utility_DisplayArrayInTable(Fertiliser_SourceData.Fertiliser_Products_Data5(),FertiliserProducts[[#Headers],[Company]], 121)</f>
        <v>Super Copper Zinc Moly</v>
      </c>
      <c r="F222" s="170" t="str" cm="1">
        <f t="array" ref="F222">Common_InputFunctions.Utility_DisplayArrayInTable(Fertiliser_SourceData.Fertiliser_Products_Data5(),FertiliserProducts[[#Headers],[Company]], 121)</f>
        <v>kg</v>
      </c>
      <c r="G222" s="170" cm="1">
        <f t="array" ref="G222">Common_InputFunctions.Utility_DisplayArrayInTable(Fertiliser_SourceData.Fertiliser_Products_Data5(),FertiliserProducts[[#Headers],[Company]], 121)</f>
        <v>1</v>
      </c>
      <c r="H222" s="170" t="str" cm="1">
        <f t="array" ref="H222">Common_InputFunctions.Utility_DisplayArrayInTable(Fertiliser_SourceData.Fertiliser_Products_Data5(),FertiliserProducts[[#Headers],[Company]], 121)</f>
        <v/>
      </c>
      <c r="I222" s="170" t="str" cm="1">
        <f t="array" ref="I222">Common_InputFunctions.Utility_DisplayArrayInTable(Fertiliser_SourceData.Fertiliser_Products_Data5(),FertiliserProducts[[#Headers],[Company]], 121)</f>
        <v/>
      </c>
      <c r="J222" s="170" t="str" cm="1">
        <f t="array" ref="J222">Common_InputFunctions.Utility_DisplayArrayInTable(Fertiliser_SourceData.Fertiliser_Products_Data5(),FertiliserProducts[[#Headers],[Company]], 121)</f>
        <v/>
      </c>
      <c r="K222" s="170" t="str" cm="1">
        <f t="array" ref="K222">Common_InputFunctions.Utility_DisplayArrayInTable(Fertiliser_SourceData.Fertiliser_Products_Data5(),FertiliserProducts[[#Headers],[Company]], 121)</f>
        <v/>
      </c>
      <c r="L222" s="170" cm="1">
        <f t="array" ref="L222">Common_InputFunctions.Utility_DisplayArrayInTable(Fertiliser_SourceData.Fertiliser_Products_Data5(),FertiliserProducts[[#Headers],[Company]], 121)</f>
        <v>8.8000000000000007</v>
      </c>
      <c r="M222" s="170" t="str" cm="1">
        <f t="array" ref="M222">Common_InputFunctions.Utility_DisplayArrayInTable(Fertiliser_SourceData.Fertiliser_Products_Data5(),FertiliserProducts[[#Headers],[Company]], 121)</f>
        <v/>
      </c>
      <c r="N222" s="170" cm="1">
        <f t="array" ref="N222">Common_InputFunctions.Utility_DisplayArrayInTable(Fertiliser_SourceData.Fertiliser_Products_Data5(),FertiliserProducts[[#Headers],[Company]], 121)</f>
        <v>11</v>
      </c>
      <c r="O222" s="170" t="str" cm="1">
        <f t="array" ref="O222">Common_InputFunctions.Utility_DisplayArrayInTable(Fertiliser_SourceData.Fertiliser_Products_Data5(),FertiliserProducts[[#Headers],[Company]], 121)</f>
        <v>Single superphosphate (SSP)</v>
      </c>
      <c r="P222" s="170" cm="1">
        <f t="array" ref="P222">Common_InputFunctions.Utility_DisplayArrayInTable(Fertiliser_SourceData.Fertiliser_Products_Data5(),FertiliserProducts[[#Headers],[Company]], 121)</f>
        <v>1</v>
      </c>
      <c r="Q222" s="170" t="str" cm="1">
        <f t="array" ref="Q222">Common_InputFunctions.Utility_DisplayArrayInTable(Fertiliser_SourceData.Fertiliser_Products_Data5(),FertiliserProducts[[#Headers],[Company]], 121)</f>
        <v>Copper</v>
      </c>
      <c r="R222" s="170" cm="1">
        <f t="array" ref="R222">Common_InputFunctions.Utility_DisplayArrayInTable(Fertiliser_SourceData.Fertiliser_Products_Data5(),FertiliserProducts[[#Headers],[Company]], 121)</f>
        <v>6.0000000000000001E-3</v>
      </c>
      <c r="S222" s="170" t="str" cm="1">
        <f t="array" ref="S222">Common_InputFunctions.Utility_DisplayArrayInTable(Fertiliser_SourceData.Fertiliser_Products_Data5(),FertiliserProducts[[#Headers],[Company]], 121)</f>
        <v>Zinc</v>
      </c>
      <c r="T222" s="170" cm="1">
        <f t="array" ref="T222">Common_InputFunctions.Utility_DisplayArrayInTable(Fertiliser_SourceData.Fertiliser_Products_Data5(),FertiliserProducts[[#Headers],[Company]], 121)</f>
        <v>3.0000000000000001E-3</v>
      </c>
      <c r="U222" s="170" t="str" cm="1">
        <f t="array" ref="U222">Common_InputFunctions.Utility_DisplayArrayInTable(Fertiliser_SourceData.Fertiliser_Products_Data5(),FertiliserProducts[[#Headers],[Company]], 121)</f>
        <v>Molybdenum</v>
      </c>
      <c r="V222" s="170" cm="1">
        <f t="array" ref="V222">Common_InputFunctions.Utility_DisplayArrayInTable(Fertiliser_SourceData.Fertiliser_Products_Data5(),FertiliserProducts[[#Headers],[Company]], 121)</f>
        <v>5.9999999999999995E-4</v>
      </c>
      <c r="W222" s="170" t="str" cm="1">
        <f t="array" ref="W222">Common_InputFunctions.Utility_DisplayArrayInTable(Fertiliser_SourceData.Fertiliser_Products_Data5(),FertiliserProducts[[#Headers],[Company]], 121)</f>
        <v/>
      </c>
      <c r="X222" s="170" t="str" cm="1">
        <f t="array" ref="X222">Common_InputFunctions.Utility_DisplayArrayInTable(Fertiliser_SourceData.Fertiliser_Products_Data5(),FertiliserProducts[[#Headers],[Company]], 121)</f>
        <v/>
      </c>
      <c r="Y222" s="170" t="str" cm="1">
        <f t="array" ref="Y222">Common_InputFunctions.Utility_DisplayArrayInTable(Fertiliser_SourceData.Fertiliser_Products_Data5(),FertiliserProducts[[#Headers],[Company]], 121)</f>
        <v/>
      </c>
      <c r="Z222" s="170" t="str" cm="1">
        <f t="array" ref="Z222">Common_InputFunctions.Utility_DisplayArrayInTable(Fertiliser_SourceData.Fertiliser_Products_Data5(),FertiliserProducts[[#Headers],[Company]], 121)</f>
        <v/>
      </c>
      <c r="AA222" s="170" t="str" cm="1">
        <f t="array" ref="AA222">Common_InputFunctions.Utility_DisplayArrayInTable(Fertiliser_SourceData.Fertiliser_Products_Data5(),FertiliserProducts[[#Headers],[Company]], 121)</f>
        <v/>
      </c>
      <c r="AB222" s="170" t="str" cm="1">
        <f t="array" ref="AB222">Common_InputFunctions.Utility_DisplayArrayInTable(Fertiliser_SourceData.Fertiliser_Products_Data5(),FertiliserProducts[[#Headers],[Company]], 121)</f>
        <v/>
      </c>
      <c r="AC222" s="170" t="str" cm="1">
        <f t="array" ref="AC222">Common_InputFunctions.Utility_DisplayArrayInTable(Fertiliser_SourceData.Fertiliser_Products_Data5(),FertiliserProducts[[#Headers],[Company]], 121)</f>
        <v/>
      </c>
      <c r="AD222" s="170" t="str" cm="1">
        <f t="array" ref="AD222">Common_InputFunctions.Utility_DisplayArrayInTable(Fertiliser_SourceData.Fertiliser_Products_Data5(),FertiliserProducts[[#Headers],[Company]], 121)</f>
        <v/>
      </c>
      <c r="AE222" s="170" t="str" cm="1">
        <f t="array" ref="AE222">Common_InputFunctions.Utility_DisplayArrayInTable(Fertiliser_SourceData.Fertiliser_Products_Data5(),FertiliserProducts[[#Headers],[Company]], 121)</f>
        <v/>
      </c>
      <c r="AF222" s="170" t="str" cm="1">
        <f t="array" ref="AF222">Common_InputFunctions.Utility_DisplayArrayInTable(Fertiliser_SourceData.Fertiliser_Products_Data5(),FertiliserProducts[[#Headers],[Company]], 121)</f>
        <v/>
      </c>
      <c r="AG222" s="170" t="str" cm="1">
        <f t="array" ref="AG222">Common_InputFunctions.Utility_DisplayArrayInTable(Fertiliser_SourceData.Fertiliser_Products_Data5(),FertiliserProducts[[#Headers],[Company]], 121)</f>
        <v/>
      </c>
      <c r="AH222" s="170" t="str" cm="1">
        <f t="array" ref="AH222">Common_InputFunctions.Utility_DisplayArrayInTable(Fertiliser_SourceData.Fertiliser_Products_Data5(),FertiliserProducts[[#Headers],[Company]], 121)</f>
        <v/>
      </c>
    </row>
    <row r="223" spans="4:34" ht="20.100000000000001" customHeight="1" x14ac:dyDescent="0.2">
      <c r="D223" s="170" t="str" cm="1">
        <f t="array" ref="D223">Common_InputFunctions.Utility_DisplayArrayInTable(Fertiliser_SourceData.Fertiliser_Products_Data5(),FertiliserProducts[[#Headers],[Company]], 121)</f>
        <v>CSBP</v>
      </c>
      <c r="E223" s="170" t="str" cm="1">
        <f t="array" ref="E223">Common_InputFunctions.Utility_DisplayArrayInTable(Fertiliser_SourceData.Fertiliser_Products_Data5(),FertiliserProducts[[#Headers],[Company]], 121)</f>
        <v>Flexi-N</v>
      </c>
      <c r="F223" s="170" t="str" cm="1">
        <f t="array" ref="F223">Common_InputFunctions.Utility_DisplayArrayInTable(Fertiliser_SourceData.Fertiliser_Products_Data5(),FertiliserProducts[[#Headers],[Company]], 121)</f>
        <v>L</v>
      </c>
      <c r="G223" s="170" cm="1">
        <f t="array" ref="G223">Common_InputFunctions.Utility_DisplayArrayInTable(Fertiliser_SourceData.Fertiliser_Products_Data5(),FertiliserProducts[[#Headers],[Company]], 121)</f>
        <v>1.32</v>
      </c>
      <c r="H223" s="170" t="str" cm="1">
        <f t="array" ref="H223">Common_InputFunctions.Utility_DisplayArrayInTable(Fertiliser_SourceData.Fertiliser_Products_Data5(),FertiliserProducts[[#Headers],[Company]], 121)</f>
        <v/>
      </c>
      <c r="I223" s="170" t="str" cm="1">
        <f t="array" ref="I223">Common_InputFunctions.Utility_DisplayArrayInTable(Fertiliser_SourceData.Fertiliser_Products_Data5(),FertiliserProducts[[#Headers],[Company]], 121)</f>
        <v/>
      </c>
      <c r="J223" s="170" t="str" cm="1">
        <f t="array" ref="J223">Common_InputFunctions.Utility_DisplayArrayInTable(Fertiliser_SourceData.Fertiliser_Products_Data5(),FertiliserProducts[[#Headers],[Company]], 121)</f>
        <v/>
      </c>
      <c r="K223" s="170" cm="1">
        <f t="array" ref="K223">Common_InputFunctions.Utility_DisplayArrayInTable(Fertiliser_SourceData.Fertiliser_Products_Data5(),FertiliserProducts[[#Headers],[Company]], 121)</f>
        <v>32</v>
      </c>
      <c r="L223" s="170" t="str" cm="1">
        <f t="array" ref="L223">Common_InputFunctions.Utility_DisplayArrayInTable(Fertiliser_SourceData.Fertiliser_Products_Data5(),FertiliserProducts[[#Headers],[Company]], 121)</f>
        <v/>
      </c>
      <c r="M223" s="170" t="str" cm="1">
        <f t="array" ref="M223">Common_InputFunctions.Utility_DisplayArrayInTable(Fertiliser_SourceData.Fertiliser_Products_Data5(),FertiliserProducts[[#Headers],[Company]], 121)</f>
        <v/>
      </c>
      <c r="N223" s="170" t="str" cm="1">
        <f t="array" ref="N223">Common_InputFunctions.Utility_DisplayArrayInTable(Fertiliser_SourceData.Fertiliser_Products_Data5(),FertiliserProducts[[#Headers],[Company]], 121)</f>
        <v/>
      </c>
      <c r="O223" s="170" t="str" cm="1">
        <f t="array" ref="O223">Common_InputFunctions.Utility_DisplayArrayInTable(Fertiliser_SourceData.Fertiliser_Products_Data5(),FertiliserProducts[[#Headers],[Company]], 121)</f>
        <v>Urea-ammonium nitrate (UAN)</v>
      </c>
      <c r="P223" s="170" cm="1">
        <f t="array" ref="P223">Common_InputFunctions.Utility_DisplayArrayInTable(Fertiliser_SourceData.Fertiliser_Products_Data5(),FertiliserProducts[[#Headers],[Company]], 121)</f>
        <v>1</v>
      </c>
      <c r="Q223" s="170" t="str" cm="1">
        <f t="array" ref="Q223">Common_InputFunctions.Utility_DisplayArrayInTable(Fertiliser_SourceData.Fertiliser_Products_Data5(),FertiliserProducts[[#Headers],[Company]], 121)</f>
        <v/>
      </c>
      <c r="R223" s="170" t="str" cm="1">
        <f t="array" ref="R223">Common_InputFunctions.Utility_DisplayArrayInTable(Fertiliser_SourceData.Fertiliser_Products_Data5(),FertiliserProducts[[#Headers],[Company]], 121)</f>
        <v/>
      </c>
      <c r="S223" s="170" t="str" cm="1">
        <f t="array" ref="S223">Common_InputFunctions.Utility_DisplayArrayInTable(Fertiliser_SourceData.Fertiliser_Products_Data5(),FertiliserProducts[[#Headers],[Company]], 121)</f>
        <v/>
      </c>
      <c r="T223" s="170" t="str" cm="1">
        <f t="array" ref="T223">Common_InputFunctions.Utility_DisplayArrayInTable(Fertiliser_SourceData.Fertiliser_Products_Data5(),FertiliserProducts[[#Headers],[Company]], 121)</f>
        <v/>
      </c>
      <c r="U223" s="170" t="str" cm="1">
        <f t="array" ref="U223">Common_InputFunctions.Utility_DisplayArrayInTable(Fertiliser_SourceData.Fertiliser_Products_Data5(),FertiliserProducts[[#Headers],[Company]], 121)</f>
        <v/>
      </c>
      <c r="V223" s="170" t="str" cm="1">
        <f t="array" ref="V223">Common_InputFunctions.Utility_DisplayArrayInTable(Fertiliser_SourceData.Fertiliser_Products_Data5(),FertiliserProducts[[#Headers],[Company]], 121)</f>
        <v/>
      </c>
      <c r="W223" s="170" t="str" cm="1">
        <f t="array" ref="W223">Common_InputFunctions.Utility_DisplayArrayInTable(Fertiliser_SourceData.Fertiliser_Products_Data5(),FertiliserProducts[[#Headers],[Company]], 121)</f>
        <v/>
      </c>
      <c r="X223" s="170" t="str" cm="1">
        <f t="array" ref="X223">Common_InputFunctions.Utility_DisplayArrayInTable(Fertiliser_SourceData.Fertiliser_Products_Data5(),FertiliserProducts[[#Headers],[Company]], 121)</f>
        <v/>
      </c>
      <c r="Y223" s="170" t="str" cm="1">
        <f t="array" ref="Y223">Common_InputFunctions.Utility_DisplayArrayInTable(Fertiliser_SourceData.Fertiliser_Products_Data5(),FertiliserProducts[[#Headers],[Company]], 121)</f>
        <v/>
      </c>
      <c r="Z223" s="170" t="str" cm="1">
        <f t="array" ref="Z223">Common_InputFunctions.Utility_DisplayArrayInTable(Fertiliser_SourceData.Fertiliser_Products_Data5(),FertiliserProducts[[#Headers],[Company]], 121)</f>
        <v/>
      </c>
      <c r="AA223" s="170" t="str" cm="1">
        <f t="array" ref="AA223">Common_InputFunctions.Utility_DisplayArrayInTable(Fertiliser_SourceData.Fertiliser_Products_Data5(),FertiliserProducts[[#Headers],[Company]], 121)</f>
        <v/>
      </c>
      <c r="AB223" s="170" t="str" cm="1">
        <f t="array" ref="AB223">Common_InputFunctions.Utility_DisplayArrayInTable(Fertiliser_SourceData.Fertiliser_Products_Data5(),FertiliserProducts[[#Headers],[Company]], 121)</f>
        <v/>
      </c>
      <c r="AC223" s="170" t="str" cm="1">
        <f t="array" ref="AC223">Common_InputFunctions.Utility_DisplayArrayInTable(Fertiliser_SourceData.Fertiliser_Products_Data5(),FertiliserProducts[[#Headers],[Company]], 121)</f>
        <v/>
      </c>
      <c r="AD223" s="170" t="str" cm="1">
        <f t="array" ref="AD223">Common_InputFunctions.Utility_DisplayArrayInTable(Fertiliser_SourceData.Fertiliser_Products_Data5(),FertiliserProducts[[#Headers],[Company]], 121)</f>
        <v/>
      </c>
      <c r="AE223" s="170" t="str" cm="1">
        <f t="array" ref="AE223">Common_InputFunctions.Utility_DisplayArrayInTable(Fertiliser_SourceData.Fertiliser_Products_Data5(),FertiliserProducts[[#Headers],[Company]], 121)</f>
        <v/>
      </c>
      <c r="AF223" s="170" t="str" cm="1">
        <f t="array" ref="AF223">Common_InputFunctions.Utility_DisplayArrayInTable(Fertiliser_SourceData.Fertiliser_Products_Data5(),FertiliserProducts[[#Headers],[Company]], 121)</f>
        <v/>
      </c>
      <c r="AG223" s="170" t="str" cm="1">
        <f t="array" ref="AG223">Common_InputFunctions.Utility_DisplayArrayInTable(Fertiliser_SourceData.Fertiliser_Products_Data5(),FertiliserProducts[[#Headers],[Company]], 121)</f>
        <v/>
      </c>
      <c r="AH223" s="170"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0E93-DF9A-48BE-B03E-C349062B482F}">
  <sheetPr>
    <tabColor theme="2" tint="-0.499984740745262"/>
  </sheetPr>
  <dimension ref="A1:AI16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630</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tr" cm="1">
        <f t="array" ref="D5">Fuel_SourceData.Fuel_Scope1Scope3EmissionFactorsTransport_Title()</f>
        <v>Fuel scope 1 and 3 emission factors - Transport</v>
      </c>
      <c r="E5" s="161"/>
      <c r="F5" s="161"/>
      <c r="G5" s="161"/>
      <c r="H5" s="161"/>
      <c r="I5" s="161"/>
      <c r="J5" s="161"/>
      <c r="K5" s="161"/>
      <c r="L5" s="161"/>
    </row>
    <row r="6" spans="1:35" ht="20.100000000000001" customHeight="1" x14ac:dyDescent="0.2">
      <c r="D6" s="1" t="str" cm="1">
        <f t="array" ref="D6">Fuel_SourceData.Fuel_Scope1Scope3EmissionFactorsTransport_Description()</f>
        <v>Direct (scope 1) and indirect (scope 3) emission factors for the consumption of transport fuels in different transport equipment</v>
      </c>
      <c r="E6" s="161"/>
      <c r="F6" s="161"/>
      <c r="G6" s="161"/>
      <c r="H6" s="161"/>
      <c r="I6" s="161"/>
      <c r="J6" s="161"/>
      <c r="K6" s="161"/>
      <c r="L6" s="161"/>
    </row>
    <row r="7" spans="1:35" ht="20.100000000000001" customHeight="1" x14ac:dyDescent="0.2">
      <c r="D7" s="17" t="str" cm="1">
        <f t="array" ref="D7">Fuel_SourceData.Fuel_Scope1Scope3EmissionFactorsTransport_Source()</f>
        <v>Australian National Greenhouse Accounts Factors 2025 - Table 9</v>
      </c>
      <c r="E7" s="161"/>
      <c r="F7" s="161"/>
      <c r="G7" s="161"/>
      <c r="H7" s="161"/>
      <c r="I7" s="161"/>
      <c r="J7" s="161"/>
      <c r="K7" s="161"/>
      <c r="L7" s="161"/>
    </row>
    <row r="8" spans="1:35" ht="20.100000000000001" customHeight="1" x14ac:dyDescent="0.2">
      <c r="A8" s="7" t="s">
        <v>0</v>
      </c>
      <c r="D8" s="26" t="str" cm="1">
        <f t="array" ref="D8">"⚠️" &amp; Fuel_SourceData.Fuel_Scope1Scope3EmissionFactorsTransport_Variation()</f>
        <v>⚠️VARIATION OF SOURCE DATA: 'NE' values returned as zero for calculations.</v>
      </c>
      <c r="E8" s="161"/>
      <c r="F8" s="161"/>
      <c r="G8" s="161"/>
      <c r="H8" s="161"/>
      <c r="I8" s="161"/>
      <c r="J8" s="161"/>
      <c r="K8" s="161"/>
      <c r="L8" s="161"/>
    </row>
    <row r="9" spans="1:35" ht="20.100000000000001" customHeight="1" x14ac:dyDescent="0.2">
      <c r="A9" s="5" t="str">
        <f>HYPERLINK("#'Input - Enterprise'!A1", "Enterprise")</f>
        <v>Enterprise</v>
      </c>
      <c r="D9" s="209" t="s">
        <v>631</v>
      </c>
      <c r="E9" s="209" t="s">
        <v>632</v>
      </c>
      <c r="F9" s="209" t="s">
        <v>633</v>
      </c>
      <c r="G9" s="209" t="s">
        <v>634</v>
      </c>
      <c r="H9" s="209" t="s">
        <v>635</v>
      </c>
      <c r="I9" s="209" t="s">
        <v>636</v>
      </c>
      <c r="J9" s="209" t="s">
        <v>637</v>
      </c>
      <c r="K9" s="209" t="s">
        <v>638</v>
      </c>
      <c r="L9" s="209" t="s">
        <v>639</v>
      </c>
    </row>
    <row r="10" spans="1:35" ht="20.100000000000001" customHeight="1" x14ac:dyDescent="0.2">
      <c r="A10" s="5" t="str">
        <f>HYPERLINK("#'Input - Site'!A1", "Site")</f>
        <v>Site</v>
      </c>
      <c r="D10" s="210" t="str" cm="1">
        <f t="array" ref="D10">Common_InputFunctions.Utility_DisplayArrayInTable(Fuel_SourceData.Fuel_Scope1Scope3EmissionFactorsTransport_Data(), Table_Fuel_EFs_Transport[[#Headers],[Transport type]], 0)</f>
        <v>Cars and light commercial vehicles</v>
      </c>
      <c r="E10" s="210" t="str" cm="1">
        <f t="array" ref="E10">Common_InputFunctions.Utility_DisplayArrayInTable(Fuel_SourceData.Fuel_Scope1Scope3EmissionFactorsTransport_Data(), Table_Fuel_EFs_Transport[[#Headers],[Transport type]], 0)</f>
        <v>Gasoline</v>
      </c>
      <c r="F10" s="210" cm="1">
        <f t="array" ref="F10">Common_InputFunctions.Utility_DisplayArrayInTable(Fuel_SourceData.Fuel_Scope1Scope3EmissionFactorsTransport_Data(), Table_Fuel_EFs_Transport[[#Headers],[Transport type]], 0)</f>
        <v>34.200000000000003</v>
      </c>
      <c r="G10" s="210" t="str" cm="1">
        <f t="array" ref="G10">Common_InputFunctions.Utility_DisplayArrayInTable(Fuel_SourceData.Fuel_Scope1Scope3EmissionFactorsTransport_Data(), Table_Fuel_EFs_Transport[[#Headers],[Transport type]], 0)</f>
        <v>kl</v>
      </c>
      <c r="H10" s="210" cm="1">
        <f t="array" ref="H10">Common_InputFunctions.Utility_DisplayArrayInTable(Fuel_SourceData.Fuel_Scope1Scope3EmissionFactorsTransport_Data(), Table_Fuel_EFs_Transport[[#Headers],[Transport type]], 0)</f>
        <v>67.400000000000006</v>
      </c>
      <c r="I10" s="210" cm="1">
        <f t="array" ref="I10">Common_InputFunctions.Utility_DisplayArrayInTable(Fuel_SourceData.Fuel_Scope1Scope3EmissionFactorsTransport_Data(), Table_Fuel_EFs_Transport[[#Headers],[Transport type]], 0)</f>
        <v>0.02</v>
      </c>
      <c r="J10" s="210" cm="1">
        <f t="array" ref="J10">Common_InputFunctions.Utility_DisplayArrayInTable(Fuel_SourceData.Fuel_Scope1Scope3EmissionFactorsTransport_Data(), Table_Fuel_EFs_Transport[[#Headers],[Transport type]], 0)</f>
        <v>0.2</v>
      </c>
      <c r="K10" s="210" cm="1">
        <f t="array" ref="K10">Common_InputFunctions.Utility_DisplayArrayInTable(Fuel_SourceData.Fuel_Scope1Scope3EmissionFactorsTransport_Data(), Table_Fuel_EFs_Transport[[#Headers],[Transport type]], 0)</f>
        <v>67.62</v>
      </c>
      <c r="L10" s="210" cm="1">
        <f t="array" ref="L10">Common_InputFunctions.Utility_DisplayArrayInTable(Fuel_SourceData.Fuel_Scope1Scope3EmissionFactorsTransport_Data(), Table_Fuel_EFs_Transport[[#Headers],[Transport type]], 0)</f>
        <v>17.2</v>
      </c>
    </row>
    <row r="11" spans="1:35" ht="20.100000000000001" customHeight="1" x14ac:dyDescent="0.2">
      <c r="A11" s="5" t="str">
        <f>HYPERLINK("#'Input - Crop'!A1", "Crop")</f>
        <v>Crop</v>
      </c>
      <c r="D11" s="210" t="str" cm="1">
        <f t="array" ref="D11">Common_InputFunctions.Utility_DisplayArrayInTable(Fuel_SourceData.Fuel_Scope1Scope3EmissionFactorsTransport_Data(), Table_Fuel_EFs_Transport[[#Headers],[Transport type]], 0)</f>
        <v>Cars and light commercial vehicles</v>
      </c>
      <c r="E11" s="210" t="str" cm="1">
        <f t="array" ref="E11">Common_InputFunctions.Utility_DisplayArrayInTable(Fuel_SourceData.Fuel_Scope1Scope3EmissionFactorsTransport_Data(), Table_Fuel_EFs_Transport[[#Headers],[Transport type]], 0)</f>
        <v>Diesel oil</v>
      </c>
      <c r="F11" s="210" cm="1">
        <f t="array" ref="F11">Common_InputFunctions.Utility_DisplayArrayInTable(Fuel_SourceData.Fuel_Scope1Scope3EmissionFactorsTransport_Data(), Table_Fuel_EFs_Transport[[#Headers],[Transport type]], 0)</f>
        <v>38.6</v>
      </c>
      <c r="G11" s="210" t="str" cm="1">
        <f t="array" ref="G11">Common_InputFunctions.Utility_DisplayArrayInTable(Fuel_SourceData.Fuel_Scope1Scope3EmissionFactorsTransport_Data(), Table_Fuel_EFs_Transport[[#Headers],[Transport type]], 0)</f>
        <v>kl</v>
      </c>
      <c r="H11" s="210" cm="1">
        <f t="array" ref="H11">Common_InputFunctions.Utility_DisplayArrayInTable(Fuel_SourceData.Fuel_Scope1Scope3EmissionFactorsTransport_Data(), Table_Fuel_EFs_Transport[[#Headers],[Transport type]], 0)</f>
        <v>69.900000000000006</v>
      </c>
      <c r="I11" s="210" cm="1">
        <f t="array" ref="I11">Common_InputFunctions.Utility_DisplayArrayInTable(Fuel_SourceData.Fuel_Scope1Scope3EmissionFactorsTransport_Data(), Table_Fuel_EFs_Transport[[#Headers],[Transport type]], 0)</f>
        <v>0.01</v>
      </c>
      <c r="J11" s="210" cm="1">
        <f t="array" ref="J11">Common_InputFunctions.Utility_DisplayArrayInTable(Fuel_SourceData.Fuel_Scope1Scope3EmissionFactorsTransport_Data(), Table_Fuel_EFs_Transport[[#Headers],[Transport type]], 0)</f>
        <v>0.5</v>
      </c>
      <c r="K11" s="210" cm="1">
        <f t="array" ref="K11">Common_InputFunctions.Utility_DisplayArrayInTable(Fuel_SourceData.Fuel_Scope1Scope3EmissionFactorsTransport_Data(), Table_Fuel_EFs_Transport[[#Headers],[Transport type]], 0)</f>
        <v>70.41</v>
      </c>
      <c r="L11" s="210" cm="1">
        <f t="array" ref="L11">Common_InputFunctions.Utility_DisplayArrayInTable(Fuel_SourceData.Fuel_Scope1Scope3EmissionFactorsTransport_Data(), Table_Fuel_EFs_Transport[[#Headers],[Transport type]], 0)</f>
        <v>17.3</v>
      </c>
    </row>
    <row r="12" spans="1:35" ht="20.100000000000001" customHeight="1" x14ac:dyDescent="0.2">
      <c r="A12" s="5" t="str">
        <f>HYPERLINK("#'Input - Fert Prod System'!A1", "Fert Prod System")</f>
        <v>Fert Prod System</v>
      </c>
      <c r="D12" s="210" t="str" cm="1">
        <f t="array" ref="D12">Common_InputFunctions.Utility_DisplayArrayInTable(Fuel_SourceData.Fuel_Scope1Scope3EmissionFactorsTransport_Data(), Table_Fuel_EFs_Transport[[#Headers],[Transport type]], 0)</f>
        <v>Cars and light commercial vehicles</v>
      </c>
      <c r="E12" s="210" t="str" cm="1">
        <f t="array" ref="E12">Common_InputFunctions.Utility_DisplayArrayInTable(Fuel_SourceData.Fuel_Scope1Scope3EmissionFactorsTransport_Data(), Table_Fuel_EFs_Transport[[#Headers],[Transport type]], 0)</f>
        <v>Liquefied petroleum gas (LPG)</v>
      </c>
      <c r="F12" s="210" cm="1">
        <f t="array" ref="F12">Common_InputFunctions.Utility_DisplayArrayInTable(Fuel_SourceData.Fuel_Scope1Scope3EmissionFactorsTransport_Data(), Table_Fuel_EFs_Transport[[#Headers],[Transport type]], 0)</f>
        <v>26.2</v>
      </c>
      <c r="G12" s="210" t="str" cm="1">
        <f t="array" ref="G12">Common_InputFunctions.Utility_DisplayArrayInTable(Fuel_SourceData.Fuel_Scope1Scope3EmissionFactorsTransport_Data(), Table_Fuel_EFs_Transport[[#Headers],[Transport type]], 0)</f>
        <v>kl</v>
      </c>
      <c r="H12" s="210" cm="1">
        <f t="array" ref="H12">Common_InputFunctions.Utility_DisplayArrayInTable(Fuel_SourceData.Fuel_Scope1Scope3EmissionFactorsTransport_Data(), Table_Fuel_EFs_Transport[[#Headers],[Transport type]], 0)</f>
        <v>60.2</v>
      </c>
      <c r="I12" s="210" cm="1">
        <f t="array" ref="I12">Common_InputFunctions.Utility_DisplayArrayInTable(Fuel_SourceData.Fuel_Scope1Scope3EmissionFactorsTransport_Data(), Table_Fuel_EFs_Transport[[#Headers],[Transport type]], 0)</f>
        <v>0.5</v>
      </c>
      <c r="J12" s="210" cm="1">
        <f t="array" ref="J12">Common_InputFunctions.Utility_DisplayArrayInTable(Fuel_SourceData.Fuel_Scope1Scope3EmissionFactorsTransport_Data(), Table_Fuel_EFs_Transport[[#Headers],[Transport type]], 0)</f>
        <v>0.3</v>
      </c>
      <c r="K12" s="210" cm="1">
        <f t="array" ref="K12">Common_InputFunctions.Utility_DisplayArrayInTable(Fuel_SourceData.Fuel_Scope1Scope3EmissionFactorsTransport_Data(), Table_Fuel_EFs_Transport[[#Headers],[Transport type]], 0)</f>
        <v>61</v>
      </c>
      <c r="L12" s="210" cm="1">
        <f t="array" ref="L12">Common_InputFunctions.Utility_DisplayArrayInTable(Fuel_SourceData.Fuel_Scope1Scope3EmissionFactorsTransport_Data(), Table_Fuel_EFs_Transport[[#Headers],[Transport type]], 0)</f>
        <v>20.2</v>
      </c>
    </row>
    <row r="13" spans="1:35" ht="20.100000000000001" customHeight="1" x14ac:dyDescent="0.2">
      <c r="A13" s="5" t="str">
        <f>HYPERLINK("#'Input - Fertiliser'!A1", "Fertiliser")</f>
        <v>Fertiliser</v>
      </c>
      <c r="D13" s="210" t="str" cm="1">
        <f t="array" ref="D13">Common_InputFunctions.Utility_DisplayArrayInTable(Fuel_SourceData.Fuel_Scope1Scope3EmissionFactorsTransport_Data(), Table_Fuel_EFs_Transport[[#Headers],[Transport type]], 0)</f>
        <v>Cars and light commercial vehicles</v>
      </c>
      <c r="E13" s="210" t="str" cm="1">
        <f t="array" ref="E13">Common_InputFunctions.Utility_DisplayArrayInTable(Fuel_SourceData.Fuel_Scope1Scope3EmissionFactorsTransport_Data(), Table_Fuel_EFs_Transport[[#Headers],[Transport type]], 0)</f>
        <v>Fuel oil</v>
      </c>
      <c r="F13" s="210" cm="1">
        <f t="array" ref="F13">Common_InputFunctions.Utility_DisplayArrayInTable(Fuel_SourceData.Fuel_Scope1Scope3EmissionFactorsTransport_Data(), Table_Fuel_EFs_Transport[[#Headers],[Transport type]], 0)</f>
        <v>39.700000000000003</v>
      </c>
      <c r="G13" s="210" t="str" cm="1">
        <f t="array" ref="G13">Common_InputFunctions.Utility_DisplayArrayInTable(Fuel_SourceData.Fuel_Scope1Scope3EmissionFactorsTransport_Data(), Table_Fuel_EFs_Transport[[#Headers],[Transport type]], 0)</f>
        <v>kl</v>
      </c>
      <c r="H13" s="210" cm="1">
        <f t="array" ref="H13">Common_InputFunctions.Utility_DisplayArrayInTable(Fuel_SourceData.Fuel_Scope1Scope3EmissionFactorsTransport_Data(), Table_Fuel_EFs_Transport[[#Headers],[Transport type]], 0)</f>
        <v>73.599999999999994</v>
      </c>
      <c r="I13" s="210" cm="1">
        <f t="array" ref="I13">Common_InputFunctions.Utility_DisplayArrayInTable(Fuel_SourceData.Fuel_Scope1Scope3EmissionFactorsTransport_Data(), Table_Fuel_EFs_Transport[[#Headers],[Transport type]], 0)</f>
        <v>0.08</v>
      </c>
      <c r="J13" s="210" cm="1">
        <f t="array" ref="J13">Common_InputFunctions.Utility_DisplayArrayInTable(Fuel_SourceData.Fuel_Scope1Scope3EmissionFactorsTransport_Data(), Table_Fuel_EFs_Transport[[#Headers],[Transport type]], 0)</f>
        <v>0.5</v>
      </c>
      <c r="K13" s="210" cm="1">
        <f t="array" ref="K13">Common_InputFunctions.Utility_DisplayArrayInTable(Fuel_SourceData.Fuel_Scope1Scope3EmissionFactorsTransport_Data(), Table_Fuel_EFs_Transport[[#Headers],[Transport type]], 0)</f>
        <v>74.180000000000007</v>
      </c>
      <c r="L13" s="210" cm="1">
        <f t="array" ref="L13">Common_InputFunctions.Utility_DisplayArrayInTable(Fuel_SourceData.Fuel_Scope1Scope3EmissionFactorsTransport_Data(), Table_Fuel_EFs_Transport[[#Headers],[Transport type]], 0)</f>
        <v>18</v>
      </c>
    </row>
    <row r="14" spans="1:35" ht="20.100000000000001" customHeight="1" x14ac:dyDescent="0.2">
      <c r="A14" s="5" t="str">
        <f>HYPERLINK("#'Input - Fuel'!A1", "Fuel")</f>
        <v>Fuel</v>
      </c>
      <c r="D14" s="210" t="str" cm="1">
        <f t="array" ref="D14">Common_InputFunctions.Utility_DisplayArrayInTable(Fuel_SourceData.Fuel_Scope1Scope3EmissionFactorsTransport_Data(), Table_Fuel_EFs_Transport[[#Headers],[Transport type]], 0)</f>
        <v>Cars and light commercial vehicles</v>
      </c>
      <c r="E14" s="210" t="str" cm="1">
        <f t="array" ref="E14">Common_InputFunctions.Utility_DisplayArrayInTable(Fuel_SourceData.Fuel_Scope1Scope3EmissionFactorsTransport_Data(), Table_Fuel_EFs_Transport[[#Headers],[Transport type]], 0)</f>
        <v>Ethanol</v>
      </c>
      <c r="F14" s="210" cm="1">
        <f t="array" ref="F14">Common_InputFunctions.Utility_DisplayArrayInTable(Fuel_SourceData.Fuel_Scope1Scope3EmissionFactorsTransport_Data(), Table_Fuel_EFs_Transport[[#Headers],[Transport type]], 0)</f>
        <v>23.4</v>
      </c>
      <c r="G14" s="210" t="str" cm="1">
        <f t="array" ref="G14">Common_InputFunctions.Utility_DisplayArrayInTable(Fuel_SourceData.Fuel_Scope1Scope3EmissionFactorsTransport_Data(), Table_Fuel_EFs_Transport[[#Headers],[Transport type]], 0)</f>
        <v>kl</v>
      </c>
      <c r="H14" s="210" cm="1">
        <f t="array" ref="H14">Common_InputFunctions.Utility_DisplayArrayInTable(Fuel_SourceData.Fuel_Scope1Scope3EmissionFactorsTransport_Data(), Table_Fuel_EFs_Transport[[#Headers],[Transport type]], 0)</f>
        <v>0</v>
      </c>
      <c r="I14" s="210" cm="1">
        <f t="array" ref="I14">Common_InputFunctions.Utility_DisplayArrayInTable(Fuel_SourceData.Fuel_Scope1Scope3EmissionFactorsTransport_Data(), Table_Fuel_EFs_Transport[[#Headers],[Transport type]], 0)</f>
        <v>0.2</v>
      </c>
      <c r="J14" s="210" cm="1">
        <f t="array" ref="J14">Common_InputFunctions.Utility_DisplayArrayInTable(Fuel_SourceData.Fuel_Scope1Scope3EmissionFactorsTransport_Data(), Table_Fuel_EFs_Transport[[#Headers],[Transport type]], 0)</f>
        <v>0.2</v>
      </c>
      <c r="K14" s="210" cm="1">
        <f t="array" ref="K14">Common_InputFunctions.Utility_DisplayArrayInTable(Fuel_SourceData.Fuel_Scope1Scope3EmissionFactorsTransport_Data(), Table_Fuel_EFs_Transport[[#Headers],[Transport type]], 0)</f>
        <v>0.4</v>
      </c>
      <c r="L14" s="210" t="str" cm="1">
        <f t="array" ref="L14">Common_InputFunctions.Utility_DisplayArrayInTable(Fuel_SourceData.Fuel_Scope1Scope3EmissionFactorsTransport_Data(), Table_Fuel_EFs_Transport[[#Headers],[Transport type]], 0)</f>
        <v>NE</v>
      </c>
    </row>
    <row r="15" spans="1:35" ht="20.100000000000001" customHeight="1" x14ac:dyDescent="0.2">
      <c r="A15" s="5" t="str">
        <f>HYPERLINK("#'Input - Electricity'!A1", "Electricity")</f>
        <v>Electricity</v>
      </c>
      <c r="D15" s="210" t="str" cm="1">
        <f t="array" ref="D15">Common_InputFunctions.Utility_DisplayArrayInTable(Fuel_SourceData.Fuel_Scope1Scope3EmissionFactorsTransport_Data(), Table_Fuel_EFs_Transport[[#Headers],[Transport type]], 0)</f>
        <v>Cars and light commercial vehicles</v>
      </c>
      <c r="E15" s="210" t="str" cm="1">
        <f t="array" ref="E15">Common_InputFunctions.Utility_DisplayArrayInTable(Fuel_SourceData.Fuel_Scope1Scope3EmissionFactorsTransport_Data(), Table_Fuel_EFs_Transport[[#Headers],[Transport type]], 0)</f>
        <v>Biodiesel</v>
      </c>
      <c r="F15" s="210" cm="1">
        <f t="array" ref="F15">Common_InputFunctions.Utility_DisplayArrayInTable(Fuel_SourceData.Fuel_Scope1Scope3EmissionFactorsTransport_Data(), Table_Fuel_EFs_Transport[[#Headers],[Transport type]], 0)</f>
        <v>34.6</v>
      </c>
      <c r="G15" s="210" t="str" cm="1">
        <f t="array" ref="G15">Common_InputFunctions.Utility_DisplayArrayInTable(Fuel_SourceData.Fuel_Scope1Scope3EmissionFactorsTransport_Data(), Table_Fuel_EFs_Transport[[#Headers],[Transport type]], 0)</f>
        <v>kl</v>
      </c>
      <c r="H15" s="210" cm="1">
        <f t="array" ref="H15">Common_InputFunctions.Utility_DisplayArrayInTable(Fuel_SourceData.Fuel_Scope1Scope3EmissionFactorsTransport_Data(), Table_Fuel_EFs_Transport[[#Headers],[Transport type]], 0)</f>
        <v>0</v>
      </c>
      <c r="I15" s="210" cm="1">
        <f t="array" ref="I15">Common_InputFunctions.Utility_DisplayArrayInTable(Fuel_SourceData.Fuel_Scope1Scope3EmissionFactorsTransport_Data(), Table_Fuel_EFs_Transport[[#Headers],[Transport type]], 0)</f>
        <v>0.8</v>
      </c>
      <c r="J15" s="210" cm="1">
        <f t="array" ref="J15">Common_InputFunctions.Utility_DisplayArrayInTable(Fuel_SourceData.Fuel_Scope1Scope3EmissionFactorsTransport_Data(), Table_Fuel_EFs_Transport[[#Headers],[Transport type]], 0)</f>
        <v>1.7</v>
      </c>
      <c r="K15" s="210" cm="1">
        <f t="array" ref="K15">Common_InputFunctions.Utility_DisplayArrayInTable(Fuel_SourceData.Fuel_Scope1Scope3EmissionFactorsTransport_Data(), Table_Fuel_EFs_Transport[[#Headers],[Transport type]], 0)</f>
        <v>2.5</v>
      </c>
      <c r="L15" s="210" t="str" cm="1">
        <f t="array" ref="L15">Common_InputFunctions.Utility_DisplayArrayInTable(Fuel_SourceData.Fuel_Scope1Scope3EmissionFactorsTransport_Data(), Table_Fuel_EFs_Transport[[#Headers],[Transport type]], 0)</f>
        <v>NE</v>
      </c>
    </row>
    <row r="16" spans="1:35" ht="20.100000000000001" customHeight="1" x14ac:dyDescent="0.2">
      <c r="A16" s="5" t="str">
        <f>HYPERLINK("#'Input - Common farm inputs'!A1", "Common farm inputs")</f>
        <v>Common farm inputs</v>
      </c>
      <c r="D16" s="210" t="str" cm="1">
        <f t="array" ref="D16">Common_InputFunctions.Utility_DisplayArrayInTable(Fuel_SourceData.Fuel_Scope1Scope3EmissionFactorsTransport_Data(), Table_Fuel_EFs_Transport[[#Headers],[Transport type]], 0)</f>
        <v>Cars and light commercial vehicles</v>
      </c>
      <c r="E16" s="210" t="str" cm="1">
        <f t="array" ref="E16">Common_InputFunctions.Utility_DisplayArrayInTable(Fuel_SourceData.Fuel_Scope1Scope3EmissionFactorsTransport_Data(), Table_Fuel_EFs_Transport[[#Headers],[Transport type]], 0)</f>
        <v>Renewable diesel</v>
      </c>
      <c r="F16" s="210" cm="1">
        <f t="array" ref="F16">Common_InputFunctions.Utility_DisplayArrayInTable(Fuel_SourceData.Fuel_Scope1Scope3EmissionFactorsTransport_Data(), Table_Fuel_EFs_Transport[[#Headers],[Transport type]], 0)</f>
        <v>38.6</v>
      </c>
      <c r="G16" s="210" t="str" cm="1">
        <f t="array" ref="G16">Common_InputFunctions.Utility_DisplayArrayInTable(Fuel_SourceData.Fuel_Scope1Scope3EmissionFactorsTransport_Data(), Table_Fuel_EFs_Transport[[#Headers],[Transport type]], 0)</f>
        <v>kl</v>
      </c>
      <c r="H16" s="210" cm="1">
        <f t="array" ref="H16">Common_InputFunctions.Utility_DisplayArrayInTable(Fuel_SourceData.Fuel_Scope1Scope3EmissionFactorsTransport_Data(), Table_Fuel_EFs_Transport[[#Headers],[Transport type]], 0)</f>
        <v>0</v>
      </c>
      <c r="I16" s="210" cm="1">
        <f t="array" ref="I16">Common_InputFunctions.Utility_DisplayArrayInTable(Fuel_SourceData.Fuel_Scope1Scope3EmissionFactorsTransport_Data(), Table_Fuel_EFs_Transport[[#Headers],[Transport type]], 0)</f>
        <v>0.01</v>
      </c>
      <c r="J16" s="210" cm="1">
        <f t="array" ref="J16">Common_InputFunctions.Utility_DisplayArrayInTable(Fuel_SourceData.Fuel_Scope1Scope3EmissionFactorsTransport_Data(), Table_Fuel_EFs_Transport[[#Headers],[Transport type]], 0)</f>
        <v>0.5</v>
      </c>
      <c r="K16" s="210" cm="1">
        <f t="array" ref="K16">Common_InputFunctions.Utility_DisplayArrayInTable(Fuel_SourceData.Fuel_Scope1Scope3EmissionFactorsTransport_Data(), Table_Fuel_EFs_Transport[[#Headers],[Transport type]], 0)</f>
        <v>0.51</v>
      </c>
      <c r="L16" s="210" t="str" cm="1">
        <f t="array" ref="L16">Common_InputFunctions.Utility_DisplayArrayInTable(Fuel_SourceData.Fuel_Scope1Scope3EmissionFactorsTransport_Data(), Table_Fuel_EFs_Transport[[#Headers],[Transport type]], 0)</f>
        <v>NE</v>
      </c>
    </row>
    <row r="17" spans="1:12" ht="20.100000000000001" customHeight="1" x14ac:dyDescent="0.2">
      <c r="A17" s="5" t="str">
        <f>HYPERLINK("#'Input - Crop pasture farm input'!A1", "Crop pasture farm input")</f>
        <v>Crop pasture farm input</v>
      </c>
      <c r="D17" s="210" t="str" cm="1">
        <f t="array" ref="D17">Common_InputFunctions.Utility_DisplayArrayInTable(Fuel_SourceData.Fuel_Scope1Scope3EmissionFactorsTransport_Data(), Table_Fuel_EFs_Transport[[#Headers],[Transport type]], 0)</f>
        <v>Cars and light commercial vehicles</v>
      </c>
      <c r="E17" s="210" t="str" cm="1">
        <f t="array" ref="E17">Common_InputFunctions.Utility_DisplayArrayInTable(Fuel_SourceData.Fuel_Scope1Scope3EmissionFactorsTransport_Data(), Table_Fuel_EFs_Transport[[#Headers],[Transport type]], 0)</f>
        <v>Other biofuels</v>
      </c>
      <c r="F17" s="210" cm="1">
        <f t="array" ref="F17">Common_InputFunctions.Utility_DisplayArrayInTable(Fuel_SourceData.Fuel_Scope1Scope3EmissionFactorsTransport_Data(), Table_Fuel_EFs_Transport[[#Headers],[Transport type]], 0)</f>
        <v>23.4</v>
      </c>
      <c r="G17" s="210" t="str" cm="1">
        <f t="array" ref="G17">Common_InputFunctions.Utility_DisplayArrayInTable(Fuel_SourceData.Fuel_Scope1Scope3EmissionFactorsTransport_Data(), Table_Fuel_EFs_Transport[[#Headers],[Transport type]], 0)</f>
        <v>kl</v>
      </c>
      <c r="H17" s="210" cm="1">
        <f t="array" ref="H17">Common_InputFunctions.Utility_DisplayArrayInTable(Fuel_SourceData.Fuel_Scope1Scope3EmissionFactorsTransport_Data(), Table_Fuel_EFs_Transport[[#Headers],[Transport type]], 0)</f>
        <v>0</v>
      </c>
      <c r="I17" s="210" cm="1">
        <f t="array" ref="I17">Common_InputFunctions.Utility_DisplayArrayInTable(Fuel_SourceData.Fuel_Scope1Scope3EmissionFactorsTransport_Data(), Table_Fuel_EFs_Transport[[#Headers],[Transport type]], 0)</f>
        <v>0.8</v>
      </c>
      <c r="J17" s="210" cm="1">
        <f t="array" ref="J17">Common_InputFunctions.Utility_DisplayArrayInTable(Fuel_SourceData.Fuel_Scope1Scope3EmissionFactorsTransport_Data(), Table_Fuel_EFs_Transport[[#Headers],[Transport type]], 0)</f>
        <v>1.7</v>
      </c>
      <c r="K17" s="210" cm="1">
        <f t="array" ref="K17">Common_InputFunctions.Utility_DisplayArrayInTable(Fuel_SourceData.Fuel_Scope1Scope3EmissionFactorsTransport_Data(), Table_Fuel_EFs_Transport[[#Headers],[Transport type]], 0)</f>
        <v>2.5</v>
      </c>
      <c r="L17" s="210" t="str" cm="1">
        <f t="array" ref="L17">Common_InputFunctions.Utility_DisplayArrayInTable(Fuel_SourceData.Fuel_Scope1Scope3EmissionFactorsTransport_Data(), Table_Fuel_EFs_Transport[[#Headers],[Transport type]], 0)</f>
        <v>NE</v>
      </c>
    </row>
    <row r="18" spans="1:12" ht="20.100000000000001" customHeight="1" x14ac:dyDescent="0.2">
      <c r="A18" s="5" t="str">
        <f>HYPERLINK("#'Input - Freight'!A1", "Freight")</f>
        <v>Freight</v>
      </c>
      <c r="D18" s="210" t="str" cm="1">
        <f t="array" ref="D18">Common_InputFunctions.Utility_DisplayArrayInTable(Fuel_SourceData.Fuel_Scope1Scope3EmissionFactorsTransport_Data(), Table_Fuel_EFs_Transport[[#Headers],[Transport type]], 0)</f>
        <v>Light duty vehicles</v>
      </c>
      <c r="E18" s="210" t="str" cm="1">
        <f t="array" ref="E18">Common_InputFunctions.Utility_DisplayArrayInTable(Fuel_SourceData.Fuel_Scope1Scope3EmissionFactorsTransport_Data(), Table_Fuel_EFs_Transport[[#Headers],[Transport type]], 0)</f>
        <v>Compressed natural gas</v>
      </c>
      <c r="F18" s="210" cm="1">
        <f t="array" ref="F18">Common_InputFunctions.Utility_DisplayArrayInTable(Fuel_SourceData.Fuel_Scope1Scope3EmissionFactorsTransport_Data(), Table_Fuel_EFs_Transport[[#Headers],[Transport type]], 0)</f>
        <v>3.9300000000000002E-2</v>
      </c>
      <c r="G18" s="210" t="str" cm="1">
        <f t="array" ref="G18">Common_InputFunctions.Utility_DisplayArrayInTable(Fuel_SourceData.Fuel_Scope1Scope3EmissionFactorsTransport_Data(), Table_Fuel_EFs_Transport[[#Headers],[Transport type]], 0)</f>
        <v>m3</v>
      </c>
      <c r="H18" s="210" cm="1">
        <f t="array" ref="H18">Common_InputFunctions.Utility_DisplayArrayInTable(Fuel_SourceData.Fuel_Scope1Scope3EmissionFactorsTransport_Data(), Table_Fuel_EFs_Transport[[#Headers],[Transport type]], 0)</f>
        <v>51.4</v>
      </c>
      <c r="I18" s="210" cm="1">
        <f t="array" ref="I18">Common_InputFunctions.Utility_DisplayArrayInTable(Fuel_SourceData.Fuel_Scope1Scope3EmissionFactorsTransport_Data(), Table_Fuel_EFs_Transport[[#Headers],[Transport type]], 0)</f>
        <v>7.3</v>
      </c>
      <c r="J18" s="210" cm="1">
        <f t="array" ref="J18">Common_InputFunctions.Utility_DisplayArrayInTable(Fuel_SourceData.Fuel_Scope1Scope3EmissionFactorsTransport_Data(), Table_Fuel_EFs_Transport[[#Headers],[Transport type]], 0)</f>
        <v>0.3</v>
      </c>
      <c r="K18" s="210" cm="1">
        <f t="array" ref="K18">Common_InputFunctions.Utility_DisplayArrayInTable(Fuel_SourceData.Fuel_Scope1Scope3EmissionFactorsTransport_Data(), Table_Fuel_EFs_Transport[[#Headers],[Transport type]], 0)</f>
        <v>59</v>
      </c>
      <c r="L18" s="210" cm="1">
        <f t="array" ref="L18">Common_InputFunctions.Utility_DisplayArrayInTable(Fuel_SourceData.Fuel_Scope1Scope3EmissionFactorsTransport_Data(), Table_Fuel_EFs_Transport[[#Headers],[Transport type]], 0)</f>
        <v>18</v>
      </c>
    </row>
    <row r="19" spans="1:12" ht="20.100000000000001" customHeight="1" x14ac:dyDescent="0.2">
      <c r="A19" s="5" t="str">
        <f>HYPERLINK("#'Input - Solid waste'!A1", "Solid waste")</f>
        <v>Solid waste</v>
      </c>
      <c r="D19" s="210" t="str" cm="1">
        <f t="array" ref="D19">Common_InputFunctions.Utility_DisplayArrayInTable(Fuel_SourceData.Fuel_Scope1Scope3EmissionFactorsTransport_Data(), Table_Fuel_EFs_Transport[[#Headers],[Transport type]], 0)</f>
        <v>Light duty vehicles</v>
      </c>
      <c r="E19" s="210" t="str" cm="1">
        <f t="array" ref="E19">Common_InputFunctions.Utility_DisplayArrayInTable(Fuel_SourceData.Fuel_Scope1Scope3EmissionFactorsTransport_Data(), Table_Fuel_EFs_Transport[[#Headers],[Transport type]], 0)</f>
        <v>Liquefied natural gas</v>
      </c>
      <c r="F19" s="210" cm="1">
        <f t="array" ref="F19">Common_InputFunctions.Utility_DisplayArrayInTable(Fuel_SourceData.Fuel_Scope1Scope3EmissionFactorsTransport_Data(), Table_Fuel_EFs_Transport[[#Headers],[Transport type]], 0)</f>
        <v>25.3</v>
      </c>
      <c r="G19" s="210" t="str" cm="1">
        <f t="array" ref="G19">Common_InputFunctions.Utility_DisplayArrayInTable(Fuel_SourceData.Fuel_Scope1Scope3EmissionFactorsTransport_Data(), Table_Fuel_EFs_Transport[[#Headers],[Transport type]], 0)</f>
        <v>kl</v>
      </c>
      <c r="H19" s="210" cm="1">
        <f t="array" ref="H19">Common_InputFunctions.Utility_DisplayArrayInTable(Fuel_SourceData.Fuel_Scope1Scope3EmissionFactorsTransport_Data(), Table_Fuel_EFs_Transport[[#Headers],[Transport type]], 0)</f>
        <v>51.4</v>
      </c>
      <c r="I19" s="210" cm="1">
        <f t="array" ref="I19">Common_InputFunctions.Utility_DisplayArrayInTable(Fuel_SourceData.Fuel_Scope1Scope3EmissionFactorsTransport_Data(), Table_Fuel_EFs_Transport[[#Headers],[Transport type]], 0)</f>
        <v>7.3</v>
      </c>
      <c r="J19" s="210" cm="1">
        <f t="array" ref="J19">Common_InputFunctions.Utility_DisplayArrayInTable(Fuel_SourceData.Fuel_Scope1Scope3EmissionFactorsTransport_Data(), Table_Fuel_EFs_Transport[[#Headers],[Transport type]], 0)</f>
        <v>0.3</v>
      </c>
      <c r="K19" s="210" cm="1">
        <f t="array" ref="K19">Common_InputFunctions.Utility_DisplayArrayInTable(Fuel_SourceData.Fuel_Scope1Scope3EmissionFactorsTransport_Data(), Table_Fuel_EFs_Transport[[#Headers],[Transport type]], 0)</f>
        <v>59</v>
      </c>
      <c r="L19" s="210" cm="1">
        <f t="array" ref="L19">Common_InputFunctions.Utility_DisplayArrayInTable(Fuel_SourceData.Fuel_Scope1Scope3EmissionFactorsTransport_Data(), Table_Fuel_EFs_Transport[[#Headers],[Transport type]], 0)</f>
        <v>18</v>
      </c>
    </row>
    <row r="20" spans="1:12" ht="20.100000000000001" customHeight="1" x14ac:dyDescent="0.2">
      <c r="A20" s="5" t="str">
        <f>HYPERLINK("#'Input - Data quality'!A1", "Data quality")</f>
        <v>Data quality</v>
      </c>
      <c r="D20" s="210" t="str" cm="1">
        <f t="array" ref="D20">Common_InputFunctions.Utility_DisplayArrayInTable(Fuel_SourceData.Fuel_Scope1Scope3EmissionFactorsTransport_Data(), Table_Fuel_EFs_Transport[[#Headers],[Transport type]], 0)</f>
        <v>Heavy duty vehicles</v>
      </c>
      <c r="E20" s="210" t="str" cm="1">
        <f t="array" ref="E20">Common_InputFunctions.Utility_DisplayArrayInTable(Fuel_SourceData.Fuel_Scope1Scope3EmissionFactorsTransport_Data(), Table_Fuel_EFs_Transport[[#Headers],[Transport type]], 0)</f>
        <v>Compressed natural gas</v>
      </c>
      <c r="F20" s="210" cm="1">
        <f t="array" ref="F20">Common_InputFunctions.Utility_DisplayArrayInTable(Fuel_SourceData.Fuel_Scope1Scope3EmissionFactorsTransport_Data(), Table_Fuel_EFs_Transport[[#Headers],[Transport type]], 0)</f>
        <v>3.9300000000000002E-2</v>
      </c>
      <c r="G20" s="210" t="str" cm="1">
        <f t="array" ref="G20">Common_InputFunctions.Utility_DisplayArrayInTable(Fuel_SourceData.Fuel_Scope1Scope3EmissionFactorsTransport_Data(), Table_Fuel_EFs_Transport[[#Headers],[Transport type]], 0)</f>
        <v>m3</v>
      </c>
      <c r="H20" s="210" cm="1">
        <f t="array" ref="H20">Common_InputFunctions.Utility_DisplayArrayInTable(Fuel_SourceData.Fuel_Scope1Scope3EmissionFactorsTransport_Data(), Table_Fuel_EFs_Transport[[#Headers],[Transport type]], 0)</f>
        <v>51.4</v>
      </c>
      <c r="I20" s="210" cm="1">
        <f t="array" ref="I20">Common_InputFunctions.Utility_DisplayArrayInTable(Fuel_SourceData.Fuel_Scope1Scope3EmissionFactorsTransport_Data(), Table_Fuel_EFs_Transport[[#Headers],[Transport type]], 0)</f>
        <v>2.8</v>
      </c>
      <c r="J20" s="210" cm="1">
        <f t="array" ref="J20">Common_InputFunctions.Utility_DisplayArrayInTable(Fuel_SourceData.Fuel_Scope1Scope3EmissionFactorsTransport_Data(), Table_Fuel_EFs_Transport[[#Headers],[Transport type]], 0)</f>
        <v>0.3</v>
      </c>
      <c r="K20" s="210" cm="1">
        <f t="array" ref="K20">Common_InputFunctions.Utility_DisplayArrayInTable(Fuel_SourceData.Fuel_Scope1Scope3EmissionFactorsTransport_Data(), Table_Fuel_EFs_Transport[[#Headers],[Transport type]], 0)</f>
        <v>54.5</v>
      </c>
      <c r="L20" s="210" cm="1">
        <f t="array" ref="L20">Common_InputFunctions.Utility_DisplayArrayInTable(Fuel_SourceData.Fuel_Scope1Scope3EmissionFactorsTransport_Data(), Table_Fuel_EFs_Transport[[#Headers],[Transport type]], 0)</f>
        <v>18</v>
      </c>
    </row>
    <row r="21" spans="1:12" ht="20.100000000000001" customHeight="1" x14ac:dyDescent="0.2">
      <c r="D21" s="210" t="str" cm="1">
        <f t="array" ref="D21">Common_InputFunctions.Utility_DisplayArrayInTable(Fuel_SourceData.Fuel_Scope1Scope3EmissionFactorsTransport_Data(), Table_Fuel_EFs_Transport[[#Headers],[Transport type]], 0)</f>
        <v>Heavy duty vehicles</v>
      </c>
      <c r="E21" s="210" t="str" cm="1">
        <f t="array" ref="E21">Common_InputFunctions.Utility_DisplayArrayInTable(Fuel_SourceData.Fuel_Scope1Scope3EmissionFactorsTransport_Data(), Table_Fuel_EFs_Transport[[#Headers],[Transport type]], 0)</f>
        <v>Liquefied natural gas</v>
      </c>
      <c r="F21" s="210" cm="1">
        <f t="array" ref="F21">Common_InputFunctions.Utility_DisplayArrayInTable(Fuel_SourceData.Fuel_Scope1Scope3EmissionFactorsTransport_Data(), Table_Fuel_EFs_Transport[[#Headers],[Transport type]], 0)</f>
        <v>25.3</v>
      </c>
      <c r="G21" s="210" t="str" cm="1">
        <f t="array" ref="G21">Common_InputFunctions.Utility_DisplayArrayInTable(Fuel_SourceData.Fuel_Scope1Scope3EmissionFactorsTransport_Data(), Table_Fuel_EFs_Transport[[#Headers],[Transport type]], 0)</f>
        <v>kl</v>
      </c>
      <c r="H21" s="210" cm="1">
        <f t="array" ref="H21">Common_InputFunctions.Utility_DisplayArrayInTable(Fuel_SourceData.Fuel_Scope1Scope3EmissionFactorsTransport_Data(), Table_Fuel_EFs_Transport[[#Headers],[Transport type]], 0)</f>
        <v>51.4</v>
      </c>
      <c r="I21" s="210" cm="1">
        <f t="array" ref="I21">Common_InputFunctions.Utility_DisplayArrayInTable(Fuel_SourceData.Fuel_Scope1Scope3EmissionFactorsTransport_Data(), Table_Fuel_EFs_Transport[[#Headers],[Transport type]], 0)</f>
        <v>2.8</v>
      </c>
      <c r="J21" s="210" cm="1">
        <f t="array" ref="J21">Common_InputFunctions.Utility_DisplayArrayInTable(Fuel_SourceData.Fuel_Scope1Scope3EmissionFactorsTransport_Data(), Table_Fuel_EFs_Transport[[#Headers],[Transport type]], 0)</f>
        <v>0.3</v>
      </c>
      <c r="K21" s="210" cm="1">
        <f t="array" ref="K21">Common_InputFunctions.Utility_DisplayArrayInTable(Fuel_SourceData.Fuel_Scope1Scope3EmissionFactorsTransport_Data(), Table_Fuel_EFs_Transport[[#Headers],[Transport type]], 0)</f>
        <v>54.5</v>
      </c>
      <c r="L21" s="210" cm="1">
        <f t="array" ref="L21">Common_InputFunctions.Utility_DisplayArrayInTable(Fuel_SourceData.Fuel_Scope1Scope3EmissionFactorsTransport_Data(), Table_Fuel_EFs_Transport[[#Headers],[Transport type]], 0)</f>
        <v>18</v>
      </c>
    </row>
    <row r="22" spans="1:12" ht="20.100000000000001" customHeight="1" x14ac:dyDescent="0.2">
      <c r="D22" s="210" t="str" cm="1">
        <f t="array" ref="D22">Common_InputFunctions.Utility_DisplayArrayInTable(Fuel_SourceData.Fuel_Scope1Scope3EmissionFactorsTransport_Data(), Table_Fuel_EFs_Transport[[#Headers],[Transport type]], 0)</f>
        <v>Heavy duty vehicles</v>
      </c>
      <c r="E22" s="210" t="str" cm="1">
        <f t="array" ref="E22">Common_InputFunctions.Utility_DisplayArrayInTable(Fuel_SourceData.Fuel_Scope1Scope3EmissionFactorsTransport_Data(), Table_Fuel_EFs_Transport[[#Headers],[Transport type]], 0)</f>
        <v>Diesel oil - Euro iv or higher</v>
      </c>
      <c r="F22" s="210" cm="1">
        <f t="array" ref="F22">Common_InputFunctions.Utility_DisplayArrayInTable(Fuel_SourceData.Fuel_Scope1Scope3EmissionFactorsTransport_Data(), Table_Fuel_EFs_Transport[[#Headers],[Transport type]], 0)</f>
        <v>38.6</v>
      </c>
      <c r="G22" s="210" t="str" cm="1">
        <f t="array" ref="G22">Common_InputFunctions.Utility_DisplayArrayInTable(Fuel_SourceData.Fuel_Scope1Scope3EmissionFactorsTransport_Data(), Table_Fuel_EFs_Transport[[#Headers],[Transport type]], 0)</f>
        <v>kl</v>
      </c>
      <c r="H22" s="210" cm="1">
        <f t="array" ref="H22">Common_InputFunctions.Utility_DisplayArrayInTable(Fuel_SourceData.Fuel_Scope1Scope3EmissionFactorsTransport_Data(), Table_Fuel_EFs_Transport[[#Headers],[Transport type]], 0)</f>
        <v>69.900000000000006</v>
      </c>
      <c r="I22" s="210" cm="1">
        <f t="array" ref="I22">Common_InputFunctions.Utility_DisplayArrayInTable(Fuel_SourceData.Fuel_Scope1Scope3EmissionFactorsTransport_Data(), Table_Fuel_EFs_Transport[[#Headers],[Transport type]], 0)</f>
        <v>7.0000000000000007E-2</v>
      </c>
      <c r="J22" s="210" cm="1">
        <f t="array" ref="J22">Common_InputFunctions.Utility_DisplayArrayInTable(Fuel_SourceData.Fuel_Scope1Scope3EmissionFactorsTransport_Data(), Table_Fuel_EFs_Transport[[#Headers],[Transport type]], 0)</f>
        <v>0.4</v>
      </c>
      <c r="K22" s="210" cm="1">
        <f t="array" ref="K22">Common_InputFunctions.Utility_DisplayArrayInTable(Fuel_SourceData.Fuel_Scope1Scope3EmissionFactorsTransport_Data(), Table_Fuel_EFs_Transport[[#Headers],[Transport type]], 0)</f>
        <v>70.37</v>
      </c>
      <c r="L22" s="210" cm="1">
        <f t="array" ref="L22">Common_InputFunctions.Utility_DisplayArrayInTable(Fuel_SourceData.Fuel_Scope1Scope3EmissionFactorsTransport_Data(), Table_Fuel_EFs_Transport[[#Headers],[Transport type]], 0)</f>
        <v>17.3</v>
      </c>
    </row>
    <row r="23" spans="1:12" ht="20.100000000000001" customHeight="1" x14ac:dyDescent="0.2">
      <c r="A23" s="6" t="s">
        <v>2</v>
      </c>
      <c r="D23" s="210" t="str" cm="1">
        <f t="array" ref="D23">Common_InputFunctions.Utility_DisplayArrayInTable(Fuel_SourceData.Fuel_Scope1Scope3EmissionFactorsTransport_Data(), Table_Fuel_EFs_Transport[[#Headers],[Transport type]], 0)</f>
        <v>Heavy duty vehicles</v>
      </c>
      <c r="E23" s="210" t="str" cm="1">
        <f t="array" ref="E23">Common_InputFunctions.Utility_DisplayArrayInTable(Fuel_SourceData.Fuel_Scope1Scope3EmissionFactorsTransport_Data(), Table_Fuel_EFs_Transport[[#Headers],[Transport type]], 0)</f>
        <v>Diesel oil - Euro iii</v>
      </c>
      <c r="F23" s="210" cm="1">
        <f t="array" ref="F23">Common_InputFunctions.Utility_DisplayArrayInTable(Fuel_SourceData.Fuel_Scope1Scope3EmissionFactorsTransport_Data(), Table_Fuel_EFs_Transport[[#Headers],[Transport type]], 0)</f>
        <v>38.6</v>
      </c>
      <c r="G23" s="210" t="str" cm="1">
        <f t="array" ref="G23">Common_InputFunctions.Utility_DisplayArrayInTable(Fuel_SourceData.Fuel_Scope1Scope3EmissionFactorsTransport_Data(), Table_Fuel_EFs_Transport[[#Headers],[Transport type]], 0)</f>
        <v>kl</v>
      </c>
      <c r="H23" s="210" cm="1">
        <f t="array" ref="H23">Common_InputFunctions.Utility_DisplayArrayInTable(Fuel_SourceData.Fuel_Scope1Scope3EmissionFactorsTransport_Data(), Table_Fuel_EFs_Transport[[#Headers],[Transport type]], 0)</f>
        <v>69.900000000000006</v>
      </c>
      <c r="I23" s="210" cm="1">
        <f t="array" ref="I23">Common_InputFunctions.Utility_DisplayArrayInTable(Fuel_SourceData.Fuel_Scope1Scope3EmissionFactorsTransport_Data(), Table_Fuel_EFs_Transport[[#Headers],[Transport type]], 0)</f>
        <v>0.1</v>
      </c>
      <c r="J23" s="210" cm="1">
        <f t="array" ref="J23">Common_InputFunctions.Utility_DisplayArrayInTable(Fuel_SourceData.Fuel_Scope1Scope3EmissionFactorsTransport_Data(), Table_Fuel_EFs_Transport[[#Headers],[Transport type]], 0)</f>
        <v>0.4</v>
      </c>
      <c r="K23" s="210" cm="1">
        <f t="array" ref="K23">Common_InputFunctions.Utility_DisplayArrayInTable(Fuel_SourceData.Fuel_Scope1Scope3EmissionFactorsTransport_Data(), Table_Fuel_EFs_Transport[[#Headers],[Transport type]], 0)</f>
        <v>70.400000000000006</v>
      </c>
      <c r="L23" s="210" cm="1">
        <f t="array" ref="L23">Common_InputFunctions.Utility_DisplayArrayInTable(Fuel_SourceData.Fuel_Scope1Scope3EmissionFactorsTransport_Data(), Table_Fuel_EFs_Transport[[#Headers],[Transport type]], 0)</f>
        <v>17.3</v>
      </c>
    </row>
    <row r="24" spans="1:12" ht="20.100000000000001" customHeight="1" x14ac:dyDescent="0.2">
      <c r="A24" s="5" t="str">
        <f>HYPERLINK("#'5.1.1.1-2 Inorganic fert N2O'!A1", "5.1.1.1-2 Inorganic fert N2O")</f>
        <v>5.1.1.1-2 Inorganic fert N2O</v>
      </c>
      <c r="D24" s="210" t="str" cm="1">
        <f t="array" ref="D24">Common_InputFunctions.Utility_DisplayArrayInTable(Fuel_SourceData.Fuel_Scope1Scope3EmissionFactorsTransport_Data(), Table_Fuel_EFs_Transport[[#Headers],[Transport type]], 0)</f>
        <v>Heavy duty vehicles</v>
      </c>
      <c r="E24" s="210" t="str" cm="1">
        <f t="array" ref="E24">Common_InputFunctions.Utility_DisplayArrayInTable(Fuel_SourceData.Fuel_Scope1Scope3EmissionFactorsTransport_Data(), Table_Fuel_EFs_Transport[[#Headers],[Transport type]], 0)</f>
        <v>Diesel oil - Euro i</v>
      </c>
      <c r="F24" s="210" cm="1">
        <f t="array" ref="F24">Common_InputFunctions.Utility_DisplayArrayInTable(Fuel_SourceData.Fuel_Scope1Scope3EmissionFactorsTransport_Data(), Table_Fuel_EFs_Transport[[#Headers],[Transport type]], 0)</f>
        <v>38.6</v>
      </c>
      <c r="G24" s="210" t="str" cm="1">
        <f t="array" ref="G24">Common_InputFunctions.Utility_DisplayArrayInTable(Fuel_SourceData.Fuel_Scope1Scope3EmissionFactorsTransport_Data(), Table_Fuel_EFs_Transport[[#Headers],[Transport type]], 0)</f>
        <v>kl</v>
      </c>
      <c r="H24" s="210" cm="1">
        <f t="array" ref="H24">Common_InputFunctions.Utility_DisplayArrayInTable(Fuel_SourceData.Fuel_Scope1Scope3EmissionFactorsTransport_Data(), Table_Fuel_EFs_Transport[[#Headers],[Transport type]], 0)</f>
        <v>69.900000000000006</v>
      </c>
      <c r="I24" s="210" cm="1">
        <f t="array" ref="I24">Common_InputFunctions.Utility_DisplayArrayInTable(Fuel_SourceData.Fuel_Scope1Scope3EmissionFactorsTransport_Data(), Table_Fuel_EFs_Transport[[#Headers],[Transport type]], 0)</f>
        <v>0.2</v>
      </c>
      <c r="J24" s="210" cm="1">
        <f t="array" ref="J24">Common_InputFunctions.Utility_DisplayArrayInTable(Fuel_SourceData.Fuel_Scope1Scope3EmissionFactorsTransport_Data(), Table_Fuel_EFs_Transport[[#Headers],[Transport type]], 0)</f>
        <v>0.4</v>
      </c>
      <c r="K24" s="210" cm="1">
        <f t="array" ref="K24">Common_InputFunctions.Utility_DisplayArrayInTable(Fuel_SourceData.Fuel_Scope1Scope3EmissionFactorsTransport_Data(), Table_Fuel_EFs_Transport[[#Headers],[Transport type]], 0)</f>
        <v>70.5</v>
      </c>
      <c r="L24" s="210" cm="1">
        <f t="array" ref="L24">Common_InputFunctions.Utility_DisplayArrayInTable(Fuel_SourceData.Fuel_Scope1Scope3EmissionFactorsTransport_Data(), Table_Fuel_EFs_Transport[[#Headers],[Transport type]], 0)</f>
        <v>17.3</v>
      </c>
    </row>
    <row r="25" spans="1:12" ht="20.100000000000001" customHeight="1" x14ac:dyDescent="0.2">
      <c r="A25" s="5" t="str">
        <f>HYPERLINK("#'5.1.1.3-4 Inorganic fert CO2'!A1", "5.1.1.3-4 Inorganic fert CO2")</f>
        <v>5.1.1.3-4 Inorganic fert CO2</v>
      </c>
      <c r="D25" s="210" t="str" cm="1">
        <f t="array" ref="D25">Common_InputFunctions.Utility_DisplayArrayInTable(Fuel_SourceData.Fuel_Scope1Scope3EmissionFactorsTransport_Data(), Table_Fuel_EFs_Transport[[#Headers],[Transport type]], 0)</f>
        <v>Heavy duty vehicles</v>
      </c>
      <c r="E25" s="210" t="str" cm="1">
        <f t="array" ref="E25">Common_InputFunctions.Utility_DisplayArrayInTable(Fuel_SourceData.Fuel_Scope1Scope3EmissionFactorsTransport_Data(), Table_Fuel_EFs_Transport[[#Headers],[Transport type]], 0)</f>
        <v>Renewable diesel – Euro iv or higher</v>
      </c>
      <c r="F25" s="210" cm="1">
        <f t="array" ref="F25">Common_InputFunctions.Utility_DisplayArrayInTable(Fuel_SourceData.Fuel_Scope1Scope3EmissionFactorsTransport_Data(), Table_Fuel_EFs_Transport[[#Headers],[Transport type]], 0)</f>
        <v>38.6</v>
      </c>
      <c r="G25" s="210" t="str" cm="1">
        <f t="array" ref="G25">Common_InputFunctions.Utility_DisplayArrayInTable(Fuel_SourceData.Fuel_Scope1Scope3EmissionFactorsTransport_Data(), Table_Fuel_EFs_Transport[[#Headers],[Transport type]], 0)</f>
        <v>kl</v>
      </c>
      <c r="H25" s="210" cm="1">
        <f t="array" ref="H25">Common_InputFunctions.Utility_DisplayArrayInTable(Fuel_SourceData.Fuel_Scope1Scope3EmissionFactorsTransport_Data(), Table_Fuel_EFs_Transport[[#Headers],[Transport type]], 0)</f>
        <v>0</v>
      </c>
      <c r="I25" s="210" cm="1">
        <f t="array" ref="I25">Common_InputFunctions.Utility_DisplayArrayInTable(Fuel_SourceData.Fuel_Scope1Scope3EmissionFactorsTransport_Data(), Table_Fuel_EFs_Transport[[#Headers],[Transport type]], 0)</f>
        <v>7.0000000000000007E-2</v>
      </c>
      <c r="J25" s="210" cm="1">
        <f t="array" ref="J25">Common_InputFunctions.Utility_DisplayArrayInTable(Fuel_SourceData.Fuel_Scope1Scope3EmissionFactorsTransport_Data(), Table_Fuel_EFs_Transport[[#Headers],[Transport type]], 0)</f>
        <v>0.4</v>
      </c>
      <c r="K25" s="210" cm="1">
        <f t="array" ref="K25">Common_InputFunctions.Utility_DisplayArrayInTable(Fuel_SourceData.Fuel_Scope1Scope3EmissionFactorsTransport_Data(), Table_Fuel_EFs_Transport[[#Headers],[Transport type]], 0)</f>
        <v>0.47</v>
      </c>
      <c r="L25" s="210" t="str" cm="1">
        <f t="array" ref="L25">Common_InputFunctions.Utility_DisplayArrayInTable(Fuel_SourceData.Fuel_Scope1Scope3EmissionFactorsTransport_Data(), Table_Fuel_EFs_Transport[[#Headers],[Transport type]], 0)</f>
        <v>NE</v>
      </c>
    </row>
    <row r="26" spans="1:12" ht="20.100000000000001" customHeight="1" x14ac:dyDescent="0.2">
      <c r="A26" s="5" t="str">
        <f>HYPERLINK("#'5.2.1.1-2 Organic Fert N2O'!A1", "5.2.1.1-2 Organic fert N2O")</f>
        <v>5.2.1.1-2 Organic fert N2O</v>
      </c>
      <c r="D26" s="210" t="str" cm="1">
        <f t="array" ref="D26">Common_InputFunctions.Utility_DisplayArrayInTable(Fuel_SourceData.Fuel_Scope1Scope3EmissionFactorsTransport_Data(), Table_Fuel_EFs_Transport[[#Headers],[Transport type]], 0)</f>
        <v>Heavy duty vehicles</v>
      </c>
      <c r="E26" s="210" t="str" cm="1">
        <f t="array" ref="E26">Common_InputFunctions.Utility_DisplayArrayInTable(Fuel_SourceData.Fuel_Scope1Scope3EmissionFactorsTransport_Data(), Table_Fuel_EFs_Transport[[#Headers],[Transport type]], 0)</f>
        <v>Renewable diesel – Euro iii</v>
      </c>
      <c r="F26" s="210" cm="1">
        <f t="array" ref="F26">Common_InputFunctions.Utility_DisplayArrayInTable(Fuel_SourceData.Fuel_Scope1Scope3EmissionFactorsTransport_Data(), Table_Fuel_EFs_Transport[[#Headers],[Transport type]], 0)</f>
        <v>38.6</v>
      </c>
      <c r="G26" s="210" t="str" cm="1">
        <f t="array" ref="G26">Common_InputFunctions.Utility_DisplayArrayInTable(Fuel_SourceData.Fuel_Scope1Scope3EmissionFactorsTransport_Data(), Table_Fuel_EFs_Transport[[#Headers],[Transport type]], 0)</f>
        <v>kl</v>
      </c>
      <c r="H26" s="210" cm="1">
        <f t="array" ref="H26">Common_InputFunctions.Utility_DisplayArrayInTable(Fuel_SourceData.Fuel_Scope1Scope3EmissionFactorsTransport_Data(), Table_Fuel_EFs_Transport[[#Headers],[Transport type]], 0)</f>
        <v>0</v>
      </c>
      <c r="I26" s="210" cm="1">
        <f t="array" ref="I26">Common_InputFunctions.Utility_DisplayArrayInTable(Fuel_SourceData.Fuel_Scope1Scope3EmissionFactorsTransport_Data(), Table_Fuel_EFs_Transport[[#Headers],[Transport type]], 0)</f>
        <v>0.1</v>
      </c>
      <c r="J26" s="210" cm="1">
        <f t="array" ref="J26">Common_InputFunctions.Utility_DisplayArrayInTable(Fuel_SourceData.Fuel_Scope1Scope3EmissionFactorsTransport_Data(), Table_Fuel_EFs_Transport[[#Headers],[Transport type]], 0)</f>
        <v>0.4</v>
      </c>
      <c r="K26" s="210" cm="1">
        <f t="array" ref="K26">Common_InputFunctions.Utility_DisplayArrayInTable(Fuel_SourceData.Fuel_Scope1Scope3EmissionFactorsTransport_Data(), Table_Fuel_EFs_Transport[[#Headers],[Transport type]], 0)</f>
        <v>0.5</v>
      </c>
      <c r="L26" s="210" t="str" cm="1">
        <f t="array" ref="L26">Common_InputFunctions.Utility_DisplayArrayInTable(Fuel_SourceData.Fuel_Scope1Scope3EmissionFactorsTransport_Data(), Table_Fuel_EFs_Transport[[#Headers],[Transport type]], 0)</f>
        <v>NE</v>
      </c>
    </row>
    <row r="27" spans="1:12" ht="20.100000000000001" customHeight="1" x14ac:dyDescent="0.2">
      <c r="A27" s="5" t="str">
        <f>HYPERLINK("#'5.3.1.1-2 Lime CO2'!A1", "5.3.1.1-2 Lime CO2")</f>
        <v>5.3.1.1-2 Lime CO2</v>
      </c>
      <c r="D27" s="210" t="str" cm="1">
        <f t="array" ref="D27">Common_InputFunctions.Utility_DisplayArrayInTable(Fuel_SourceData.Fuel_Scope1Scope3EmissionFactorsTransport_Data(), Table_Fuel_EFs_Transport[[#Headers],[Transport type]], 0)</f>
        <v>Heavy duty vehicles</v>
      </c>
      <c r="E27" s="210" t="str" cm="1">
        <f t="array" ref="E27">Common_InputFunctions.Utility_DisplayArrayInTable(Fuel_SourceData.Fuel_Scope1Scope3EmissionFactorsTransport_Data(), Table_Fuel_EFs_Transport[[#Headers],[Transport type]], 0)</f>
        <v>Renewable diesel – Euro i</v>
      </c>
      <c r="F27" s="210" cm="1">
        <f t="array" ref="F27">Common_InputFunctions.Utility_DisplayArrayInTable(Fuel_SourceData.Fuel_Scope1Scope3EmissionFactorsTransport_Data(), Table_Fuel_EFs_Transport[[#Headers],[Transport type]], 0)</f>
        <v>38.6</v>
      </c>
      <c r="G27" s="210" t="str" cm="1">
        <f t="array" ref="G27">Common_InputFunctions.Utility_DisplayArrayInTable(Fuel_SourceData.Fuel_Scope1Scope3EmissionFactorsTransport_Data(), Table_Fuel_EFs_Transport[[#Headers],[Transport type]], 0)</f>
        <v>kl</v>
      </c>
      <c r="H27" s="210" cm="1">
        <f t="array" ref="H27">Common_InputFunctions.Utility_DisplayArrayInTable(Fuel_SourceData.Fuel_Scope1Scope3EmissionFactorsTransport_Data(), Table_Fuel_EFs_Transport[[#Headers],[Transport type]], 0)</f>
        <v>0</v>
      </c>
      <c r="I27" s="210" cm="1">
        <f t="array" ref="I27">Common_InputFunctions.Utility_DisplayArrayInTable(Fuel_SourceData.Fuel_Scope1Scope3EmissionFactorsTransport_Data(), Table_Fuel_EFs_Transport[[#Headers],[Transport type]], 0)</f>
        <v>0.2</v>
      </c>
      <c r="J27" s="210" cm="1">
        <f t="array" ref="J27">Common_InputFunctions.Utility_DisplayArrayInTable(Fuel_SourceData.Fuel_Scope1Scope3EmissionFactorsTransport_Data(), Table_Fuel_EFs_Transport[[#Headers],[Transport type]], 0)</f>
        <v>0.4</v>
      </c>
      <c r="K27" s="210" cm="1">
        <f t="array" ref="K27">Common_InputFunctions.Utility_DisplayArrayInTable(Fuel_SourceData.Fuel_Scope1Scope3EmissionFactorsTransport_Data(), Table_Fuel_EFs_Transport[[#Headers],[Transport type]], 0)</f>
        <v>0.6</v>
      </c>
      <c r="L27" s="210" t="str" cm="1">
        <f t="array" ref="L27">Common_InputFunctions.Utility_DisplayArrayInTable(Fuel_SourceData.Fuel_Scope1Scope3EmissionFactorsTransport_Data(), Table_Fuel_EFs_Transport[[#Headers],[Transport type]], 0)</f>
        <v>NE</v>
      </c>
    </row>
    <row r="28" spans="1:12" ht="20.100000000000001" customHeight="1" x14ac:dyDescent="0.2">
      <c r="A28" s="5" t="str">
        <f>HYPERLINK("#'5.4.1.1-4 Atmos deposition'!A1", "5.4.1.1-4 Atmos. deposition")</f>
        <v>5.4.1.1-4 Atmos. deposition</v>
      </c>
      <c r="D28" s="210" t="str" cm="1">
        <f t="array" ref="D28">Common_InputFunctions.Utility_DisplayArrayInTable(Fuel_SourceData.Fuel_Scope1Scope3EmissionFactorsTransport_Data(), Table_Fuel_EFs_Transport[[#Headers],[Transport type]], 0)</f>
        <v>Aviation</v>
      </c>
      <c r="E28" s="210" t="str" cm="1">
        <f t="array" ref="E28">Common_InputFunctions.Utility_DisplayArrayInTable(Fuel_SourceData.Fuel_Scope1Scope3EmissionFactorsTransport_Data(), Table_Fuel_EFs_Transport[[#Headers],[Transport type]], 0)</f>
        <v>Gasoline for use as fuel in an aircraft</v>
      </c>
      <c r="F28" s="210" cm="1">
        <f t="array" ref="F28">Common_InputFunctions.Utility_DisplayArrayInTable(Fuel_SourceData.Fuel_Scope1Scope3EmissionFactorsTransport_Data(), Table_Fuel_EFs_Transport[[#Headers],[Transport type]], 0)</f>
        <v>33.1</v>
      </c>
      <c r="G28" s="210" t="str" cm="1">
        <f t="array" ref="G28">Common_InputFunctions.Utility_DisplayArrayInTable(Fuel_SourceData.Fuel_Scope1Scope3EmissionFactorsTransport_Data(), Table_Fuel_EFs_Transport[[#Headers],[Transport type]], 0)</f>
        <v>kl</v>
      </c>
      <c r="H28" s="210" cm="1">
        <f t="array" ref="H28">Common_InputFunctions.Utility_DisplayArrayInTable(Fuel_SourceData.Fuel_Scope1Scope3EmissionFactorsTransport_Data(), Table_Fuel_EFs_Transport[[#Headers],[Transport type]], 0)</f>
        <v>67</v>
      </c>
      <c r="I28" s="210" cm="1">
        <f t="array" ref="I28">Common_InputFunctions.Utility_DisplayArrayInTable(Fuel_SourceData.Fuel_Scope1Scope3EmissionFactorsTransport_Data(), Table_Fuel_EFs_Transport[[#Headers],[Transport type]], 0)</f>
        <v>0.06</v>
      </c>
      <c r="J28" s="210" cm="1">
        <f t="array" ref="J28">Common_InputFunctions.Utility_DisplayArrayInTable(Fuel_SourceData.Fuel_Scope1Scope3EmissionFactorsTransport_Data(), Table_Fuel_EFs_Transport[[#Headers],[Transport type]], 0)</f>
        <v>0.6</v>
      </c>
      <c r="K28" s="210" cm="1">
        <f t="array" ref="K28">Common_InputFunctions.Utility_DisplayArrayInTable(Fuel_SourceData.Fuel_Scope1Scope3EmissionFactorsTransport_Data(), Table_Fuel_EFs_Transport[[#Headers],[Transport type]], 0)</f>
        <v>67.66</v>
      </c>
      <c r="L28" s="210" cm="1">
        <f t="array" ref="L28">Common_InputFunctions.Utility_DisplayArrayInTable(Fuel_SourceData.Fuel_Scope1Scope3EmissionFactorsTransport_Data(), Table_Fuel_EFs_Transport[[#Headers],[Transport type]], 0)</f>
        <v>18</v>
      </c>
    </row>
    <row r="29" spans="1:12" ht="20.100000000000001" customHeight="1" x14ac:dyDescent="0.2">
      <c r="A29" s="5" t="str">
        <f>HYPERLINK("#'5.5.1.1-2 Leaching and runoff'!A1", "5.5.1.1-2 Leaching &amp; runoff")</f>
        <v>5.5.1.1-2 Leaching &amp; runoff</v>
      </c>
      <c r="D29" s="210" t="str" cm="1">
        <f t="array" ref="D29">Common_InputFunctions.Utility_DisplayArrayInTable(Fuel_SourceData.Fuel_Scope1Scope3EmissionFactorsTransport_Data(), Table_Fuel_EFs_Transport[[#Headers],[Transport type]], 0)</f>
        <v>Aviation</v>
      </c>
      <c r="E29" s="210" t="str" cm="1">
        <f t="array" ref="E29">Common_InputFunctions.Utility_DisplayArrayInTable(Fuel_SourceData.Fuel_Scope1Scope3EmissionFactorsTransport_Data(), Table_Fuel_EFs_Transport[[#Headers],[Transport type]], 0)</f>
        <v>Kerosene for use as fuel in an aircraft</v>
      </c>
      <c r="F29" s="210" cm="1">
        <f t="array" ref="F29">Common_InputFunctions.Utility_DisplayArrayInTable(Fuel_SourceData.Fuel_Scope1Scope3EmissionFactorsTransport_Data(), Table_Fuel_EFs_Transport[[#Headers],[Transport type]], 0)</f>
        <v>36.799999999999997</v>
      </c>
      <c r="G29" s="210" t="str" cm="1">
        <f t="array" ref="G29">Common_InputFunctions.Utility_DisplayArrayInTable(Fuel_SourceData.Fuel_Scope1Scope3EmissionFactorsTransport_Data(), Table_Fuel_EFs_Transport[[#Headers],[Transport type]], 0)</f>
        <v>kl</v>
      </c>
      <c r="H29" s="210" cm="1">
        <f t="array" ref="H29">Common_InputFunctions.Utility_DisplayArrayInTable(Fuel_SourceData.Fuel_Scope1Scope3EmissionFactorsTransport_Data(), Table_Fuel_EFs_Transport[[#Headers],[Transport type]], 0)</f>
        <v>69.599999999999994</v>
      </c>
      <c r="I29" s="210" cm="1">
        <f t="array" ref="I29">Common_InputFunctions.Utility_DisplayArrayInTable(Fuel_SourceData.Fuel_Scope1Scope3EmissionFactorsTransport_Data(), Table_Fuel_EFs_Transport[[#Headers],[Transport type]], 0)</f>
        <v>0.01</v>
      </c>
      <c r="J29" s="210" cm="1">
        <f t="array" ref="J29">Common_InputFunctions.Utility_DisplayArrayInTable(Fuel_SourceData.Fuel_Scope1Scope3EmissionFactorsTransport_Data(), Table_Fuel_EFs_Transport[[#Headers],[Transport type]], 0)</f>
        <v>0.6</v>
      </c>
      <c r="K29" s="210" cm="1">
        <f t="array" ref="K29">Common_InputFunctions.Utility_DisplayArrayInTable(Fuel_SourceData.Fuel_Scope1Scope3EmissionFactorsTransport_Data(), Table_Fuel_EFs_Transport[[#Headers],[Transport type]], 0)</f>
        <v>70.209999999999994</v>
      </c>
      <c r="L29" s="210" cm="1">
        <f t="array" ref="L29">Common_InputFunctions.Utility_DisplayArrayInTable(Fuel_SourceData.Fuel_Scope1Scope3EmissionFactorsTransport_Data(), Table_Fuel_EFs_Transport[[#Headers],[Transport type]], 0)</f>
        <v>18</v>
      </c>
    </row>
    <row r="30" spans="1:12" ht="20.100000000000001" customHeight="1" x14ac:dyDescent="0.2">
      <c r="A30" s="5" t="str">
        <f>HYPERLINK("#'6.1.1.1-2 Crop residue N2O'!A1", "6.1.1.1-2 Crop residue N2O")</f>
        <v>6.1.1.1-2 Crop residue N2O</v>
      </c>
      <c r="D30" s="210" t="str" cm="1">
        <f t="array" ref="D30">Common_InputFunctions.Utility_DisplayArrayInTable(Fuel_SourceData.Fuel_Scope1Scope3EmissionFactorsTransport_Data(), Table_Fuel_EFs_Transport[[#Headers],[Transport type]], 0)</f>
        <v>Aviation</v>
      </c>
      <c r="E30" s="210" t="str" cm="1">
        <f t="array" ref="E30">Common_InputFunctions.Utility_DisplayArrayInTable(Fuel_SourceData.Fuel_Scope1Scope3EmissionFactorsTransport_Data(), Table_Fuel_EFs_Transport[[#Headers],[Transport type]], 0)</f>
        <v>Renewable aviation kerosene</v>
      </c>
      <c r="F30" s="210" cm="1">
        <f t="array" ref="F30">Common_InputFunctions.Utility_DisplayArrayInTable(Fuel_SourceData.Fuel_Scope1Scope3EmissionFactorsTransport_Data(), Table_Fuel_EFs_Transport[[#Headers],[Transport type]], 0)</f>
        <v>36.799999999999997</v>
      </c>
      <c r="G30" s="210" t="str" cm="1">
        <f t="array" ref="G30">Common_InputFunctions.Utility_DisplayArrayInTable(Fuel_SourceData.Fuel_Scope1Scope3EmissionFactorsTransport_Data(), Table_Fuel_EFs_Transport[[#Headers],[Transport type]], 0)</f>
        <v>kl</v>
      </c>
      <c r="H30" s="210" cm="1">
        <f t="array" ref="H30">Common_InputFunctions.Utility_DisplayArrayInTable(Fuel_SourceData.Fuel_Scope1Scope3EmissionFactorsTransport_Data(), Table_Fuel_EFs_Transport[[#Headers],[Transport type]], 0)</f>
        <v>0</v>
      </c>
      <c r="I30" s="210" cm="1">
        <f t="array" ref="I30">Common_InputFunctions.Utility_DisplayArrayInTable(Fuel_SourceData.Fuel_Scope1Scope3EmissionFactorsTransport_Data(), Table_Fuel_EFs_Transport[[#Headers],[Transport type]], 0)</f>
        <v>0.01</v>
      </c>
      <c r="J30" s="210" cm="1">
        <f t="array" ref="J30">Common_InputFunctions.Utility_DisplayArrayInTable(Fuel_SourceData.Fuel_Scope1Scope3EmissionFactorsTransport_Data(), Table_Fuel_EFs_Transport[[#Headers],[Transport type]], 0)</f>
        <v>0.6</v>
      </c>
      <c r="K30" s="210" cm="1">
        <f t="array" ref="K30">Common_InputFunctions.Utility_DisplayArrayInTable(Fuel_SourceData.Fuel_Scope1Scope3EmissionFactorsTransport_Data(), Table_Fuel_EFs_Transport[[#Headers],[Transport type]], 0)</f>
        <v>0.61</v>
      </c>
      <c r="L30" s="210" t="str" cm="1">
        <f t="array" ref="L30">Common_InputFunctions.Utility_DisplayArrayInTable(Fuel_SourceData.Fuel_Scope1Scope3EmissionFactorsTransport_Data(), Table_Fuel_EFs_Transport[[#Headers],[Transport type]], 0)</f>
        <v>NE</v>
      </c>
    </row>
    <row r="31" spans="1:12" ht="20.100000000000001" customHeight="1" x14ac:dyDescent="0.2">
      <c r="A31" s="5" t="str">
        <f>HYPERLINK("#'6.3.1.1-2 Leach runoff crop'!A1", "6.3.1.1-2 Leach &amp; runoff (crop)")</f>
        <v>6.3.1.1-2 Leach &amp; runoff (crop)</v>
      </c>
      <c r="D31" s="210" t="str" cm="1">
        <f t="array" ref="D31">Common_InputFunctions.Utility_DisplayArrayInTable(Fuel_SourceData.Fuel_Scope1Scope3EmissionFactorsTransport_Data(), Table_Fuel_EFs_Transport[[#Headers],[Transport type]], 0)</f>
        <v>Vessels</v>
      </c>
      <c r="E31" s="210" t="str" cm="1">
        <f t="array" ref="E31">Common_InputFunctions.Utility_DisplayArrayInTable(Fuel_SourceData.Fuel_Scope1Scope3EmissionFactorsTransport_Data(), Table_Fuel_EFs_Transport[[#Headers],[Transport type]], 0)</f>
        <v>Gasoline</v>
      </c>
      <c r="F31" s="210" cm="1">
        <f t="array" ref="F31">Common_InputFunctions.Utility_DisplayArrayInTable(Fuel_SourceData.Fuel_Scope1Scope3EmissionFactorsTransport_Data(), Table_Fuel_EFs_Transport[[#Headers],[Transport type]], 0)</f>
        <v>34.200000000000003</v>
      </c>
      <c r="G31" s="210" t="str" cm="1">
        <f t="array" ref="G31">Common_InputFunctions.Utility_DisplayArrayInTable(Fuel_SourceData.Fuel_Scope1Scope3EmissionFactorsTransport_Data(), Table_Fuel_EFs_Transport[[#Headers],[Transport type]], 0)</f>
        <v>kL</v>
      </c>
      <c r="H31" s="210" cm="1">
        <f t="array" ref="H31">Common_InputFunctions.Utility_DisplayArrayInTable(Fuel_SourceData.Fuel_Scope1Scope3EmissionFactorsTransport_Data(), Table_Fuel_EFs_Transport[[#Headers],[Transport type]], 0)</f>
        <v>67.400000000000006</v>
      </c>
      <c r="I31" s="210" cm="1">
        <f t="array" ref="I31">Common_InputFunctions.Utility_DisplayArrayInTable(Fuel_SourceData.Fuel_Scope1Scope3EmissionFactorsTransport_Data(), Table_Fuel_EFs_Transport[[#Headers],[Transport type]], 0)</f>
        <v>10.1</v>
      </c>
      <c r="J31" s="210" cm="1">
        <f t="array" ref="J31">Common_InputFunctions.Utility_DisplayArrayInTable(Fuel_SourceData.Fuel_Scope1Scope3EmissionFactorsTransport_Data(), Table_Fuel_EFs_Transport[[#Headers],[Transport type]], 0)</f>
        <v>0.3</v>
      </c>
      <c r="K31" s="210" t="str" cm="1">
        <f t="array" ref="K31">Common_InputFunctions.Utility_DisplayArrayInTable(Fuel_SourceData.Fuel_Scope1Scope3EmissionFactorsTransport_Data(), Table_Fuel_EFs_Transport[[#Headers],[Transport type]], 0)</f>
        <v/>
      </c>
      <c r="L31" s="210" cm="1">
        <f t="array" ref="L31">Common_InputFunctions.Utility_DisplayArrayInTable(Fuel_SourceData.Fuel_Scope1Scope3EmissionFactorsTransport_Data(), Table_Fuel_EFs_Transport[[#Headers],[Transport type]], 0)</f>
        <v>17.2</v>
      </c>
    </row>
    <row r="32" spans="1:12" ht="20.100000000000001" customHeight="1" x14ac:dyDescent="0.2">
      <c r="A32" s="5" t="str">
        <f>HYPERLINK("#'8.1.1.1-2 Transport fuel'!A1", "8.1.1.1-2 Transport fuel")</f>
        <v>8.1.1.1-2 Transport fuel</v>
      </c>
      <c r="D32" s="211" t="str" cm="1">
        <f t="array" ref="D32">Common_InputFunctions.Utility_DisplayArrayInTable(Fuel_SourceData.Fuel_Scope1Scope3EmissionFactorsTransport_Data(), Table_Fuel_EFs_Transport[[#Headers],[Transport type]], 0)</f>
        <v>Vessels</v>
      </c>
      <c r="E32" s="211" t="str" cm="1">
        <f t="array" ref="E32">Common_InputFunctions.Utility_DisplayArrayInTable(Fuel_SourceData.Fuel_Scope1Scope3EmissionFactorsTransport_Data(), Table_Fuel_EFs_Transport[[#Headers],[Transport type]], 0)</f>
        <v>Diesel oil</v>
      </c>
      <c r="F32" s="211" cm="1">
        <f t="array" ref="F32">Common_InputFunctions.Utility_DisplayArrayInTable(Fuel_SourceData.Fuel_Scope1Scope3EmissionFactorsTransport_Data(), Table_Fuel_EFs_Transport[[#Headers],[Transport type]], 0)</f>
        <v>38.6</v>
      </c>
      <c r="G32" s="211" t="str" cm="1">
        <f t="array" ref="G32">Common_InputFunctions.Utility_DisplayArrayInTable(Fuel_SourceData.Fuel_Scope1Scope3EmissionFactorsTransport_Data(), Table_Fuel_EFs_Transport[[#Headers],[Transport type]], 0)</f>
        <v>kL</v>
      </c>
      <c r="H32" s="211" cm="1">
        <f t="array" ref="H32">Common_InputFunctions.Utility_DisplayArrayInTable(Fuel_SourceData.Fuel_Scope1Scope3EmissionFactorsTransport_Data(), Table_Fuel_EFs_Transport[[#Headers],[Transport type]], 0)</f>
        <v>69.900000000000006</v>
      </c>
      <c r="I32" s="211" cm="1">
        <f t="array" ref="I32">Common_InputFunctions.Utility_DisplayArrayInTable(Fuel_SourceData.Fuel_Scope1Scope3EmissionFactorsTransport_Data(), Table_Fuel_EFs_Transport[[#Headers],[Transport type]], 0)</f>
        <v>0.2</v>
      </c>
      <c r="J32" s="211" cm="1">
        <f t="array" ref="J32">Common_InputFunctions.Utility_DisplayArrayInTable(Fuel_SourceData.Fuel_Scope1Scope3EmissionFactorsTransport_Data(), Table_Fuel_EFs_Transport[[#Headers],[Transport type]], 0)</f>
        <v>0.5</v>
      </c>
      <c r="K32" s="211" t="str" cm="1">
        <f t="array" ref="K32">Common_InputFunctions.Utility_DisplayArrayInTable(Fuel_SourceData.Fuel_Scope1Scope3EmissionFactorsTransport_Data(), Table_Fuel_EFs_Transport[[#Headers],[Transport type]], 0)</f>
        <v/>
      </c>
      <c r="L32" s="211" cm="1">
        <f t="array" ref="L32">Common_InputFunctions.Utility_DisplayArrayInTable(Fuel_SourceData.Fuel_Scope1Scope3EmissionFactorsTransport_Data(), Table_Fuel_EFs_Transport[[#Headers],[Transport type]], 0)</f>
        <v>17.3</v>
      </c>
    </row>
    <row r="33" spans="1:12" ht="20.100000000000001" customHeight="1" x14ac:dyDescent="0.2">
      <c r="A33" s="5" t="str">
        <f>HYPERLINK("#'8.2.1.1-2 Stationary fuel'!A1", "8.2.1.1-2 Stationary fuel")</f>
        <v>8.2.1.1-2 Stationary fuel</v>
      </c>
      <c r="D33" s="211" t="str" cm="1">
        <f t="array" ref="D33">Common_InputFunctions.Utility_DisplayArrayInTable(Fuel_SourceData.Fuel_Scope1Scope3EmissionFactorsTransport_Data(), Table_Fuel_EFs_Transport[[#Headers],[Transport type]], 0)</f>
        <v>Vessels</v>
      </c>
      <c r="E33" s="211" t="str" cm="1">
        <f t="array" ref="E33">Common_InputFunctions.Utility_DisplayArrayInTable(Fuel_SourceData.Fuel_Scope1Scope3EmissionFactorsTransport_Data(), Table_Fuel_EFs_Transport[[#Headers],[Transport type]], 0)</f>
        <v>Fuel Oil</v>
      </c>
      <c r="F33" s="211" cm="1">
        <f t="array" ref="F33">Common_InputFunctions.Utility_DisplayArrayInTable(Fuel_SourceData.Fuel_Scope1Scope3EmissionFactorsTransport_Data(), Table_Fuel_EFs_Transport[[#Headers],[Transport type]], 0)</f>
        <v>39.700000000000003</v>
      </c>
      <c r="G33" s="211" t="str" cm="1">
        <f t="array" ref="G33">Common_InputFunctions.Utility_DisplayArrayInTable(Fuel_SourceData.Fuel_Scope1Scope3EmissionFactorsTransport_Data(), Table_Fuel_EFs_Transport[[#Headers],[Transport type]], 0)</f>
        <v>kL</v>
      </c>
      <c r="H33" s="211" cm="1">
        <f t="array" ref="H33">Common_InputFunctions.Utility_DisplayArrayInTable(Fuel_SourceData.Fuel_Scope1Scope3EmissionFactorsTransport_Data(), Table_Fuel_EFs_Transport[[#Headers],[Transport type]], 0)</f>
        <v>73.599999999999994</v>
      </c>
      <c r="I33" s="211" cm="1">
        <f t="array" ref="I33">Common_InputFunctions.Utility_DisplayArrayInTable(Fuel_SourceData.Fuel_Scope1Scope3EmissionFactorsTransport_Data(), Table_Fuel_EFs_Transport[[#Headers],[Transport type]], 0)</f>
        <v>0.2</v>
      </c>
      <c r="J33" s="211" cm="1">
        <f t="array" ref="J33">Common_InputFunctions.Utility_DisplayArrayInTable(Fuel_SourceData.Fuel_Scope1Scope3EmissionFactorsTransport_Data(), Table_Fuel_EFs_Transport[[#Headers],[Transport type]], 0)</f>
        <v>0.5</v>
      </c>
      <c r="K33" s="211" t="str" cm="1">
        <f t="array" ref="K33">Common_InputFunctions.Utility_DisplayArrayInTable(Fuel_SourceData.Fuel_Scope1Scope3EmissionFactorsTransport_Data(), Table_Fuel_EFs_Transport[[#Headers],[Transport type]], 0)</f>
        <v/>
      </c>
      <c r="L33" s="211" cm="1">
        <f t="array" ref="L33">Common_InputFunctions.Utility_DisplayArrayInTable(Fuel_SourceData.Fuel_Scope1Scope3EmissionFactorsTransport_Data(), Table_Fuel_EFs_Transport[[#Headers],[Transport type]], 0)</f>
        <v>18</v>
      </c>
    </row>
    <row r="34" spans="1:12" ht="20.100000000000001" customHeight="1" x14ac:dyDescent="0.2">
      <c r="A34" s="5" t="str">
        <f>HYPERLINK("#'10.1.1-2 Solid waste treatment'!A1", "10.1.1.1-2 Solid waste")</f>
        <v>10.1.1.1-2 Solid waste</v>
      </c>
      <c r="D34" s="211" t="str" cm="1">
        <f t="array" ref="D34">Common_InputFunctions.Utility_DisplayArrayInTable(Fuel_SourceData.Fuel_Scope1Scope3EmissionFactorsTransport_Data(), Table_Fuel_EFs_Transport[[#Headers],[Transport type]], 0)</f>
        <v>Off-road Agriculture and forestry equipment</v>
      </c>
      <c r="E34" s="211" t="str" cm="1">
        <f t="array" ref="E34">Common_InputFunctions.Utility_DisplayArrayInTable(Fuel_SourceData.Fuel_Scope1Scope3EmissionFactorsTransport_Data(), Table_Fuel_EFs_Transport[[#Headers],[Transport type]], 0)</f>
        <v>Diesel oil</v>
      </c>
      <c r="F34" s="211" cm="1">
        <f t="array" ref="F34">Common_InputFunctions.Utility_DisplayArrayInTable(Fuel_SourceData.Fuel_Scope1Scope3EmissionFactorsTransport_Data(), Table_Fuel_EFs_Transport[[#Headers],[Transport type]], 0)</f>
        <v>38.6</v>
      </c>
      <c r="G34" s="211" t="str" cm="1">
        <f t="array" ref="G34">Common_InputFunctions.Utility_DisplayArrayInTable(Fuel_SourceData.Fuel_Scope1Scope3EmissionFactorsTransport_Data(), Table_Fuel_EFs_Transport[[#Headers],[Transport type]], 0)</f>
        <v>kL</v>
      </c>
      <c r="H34" s="211" cm="1">
        <f t="array" ref="H34">Common_InputFunctions.Utility_DisplayArrayInTable(Fuel_SourceData.Fuel_Scope1Scope3EmissionFactorsTransport_Data(), Table_Fuel_EFs_Transport[[#Headers],[Transport type]], 0)</f>
        <v>69.900000000000006</v>
      </c>
      <c r="I34" s="211" cm="1">
        <f t="array" ref="I34">Common_InputFunctions.Utility_DisplayArrayInTable(Fuel_SourceData.Fuel_Scope1Scope3EmissionFactorsTransport_Data(), Table_Fuel_EFs_Transport[[#Headers],[Transport type]], 0)</f>
        <v>0.3</v>
      </c>
      <c r="J34" s="211" cm="1">
        <f t="array" ref="J34">Common_InputFunctions.Utility_DisplayArrayInTable(Fuel_SourceData.Fuel_Scope1Scope3EmissionFactorsTransport_Data(), Table_Fuel_EFs_Transport[[#Headers],[Transport type]], 0)</f>
        <v>0.5</v>
      </c>
      <c r="K34" s="211" t="str" cm="1">
        <f t="array" ref="K34">Common_InputFunctions.Utility_DisplayArrayInTable(Fuel_SourceData.Fuel_Scope1Scope3EmissionFactorsTransport_Data(), Table_Fuel_EFs_Transport[[#Headers],[Transport type]], 0)</f>
        <v/>
      </c>
      <c r="L34" s="211" cm="1">
        <f t="array" ref="L34">Common_InputFunctions.Utility_DisplayArrayInTable(Fuel_SourceData.Fuel_Scope1Scope3EmissionFactorsTransport_Data(), Table_Fuel_EFs_Transport[[#Headers],[Transport type]], 0)</f>
        <v>17.3</v>
      </c>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row>
    <row r="37" spans="1:12" ht="20.100000000000001" customHeight="1" x14ac:dyDescent="0.2">
      <c r="D37" s="2" t="str" cm="1">
        <f t="array" ref="D37">Fuel_SourceData.Fuel_Scope1Scope3EmissionFactorsTransportOffRoad_Title()</f>
        <v>Fuel scope 1 and 3 emission factors - Off-road equipment and vessels</v>
      </c>
    </row>
    <row r="38" spans="1:12" ht="20.100000000000001" customHeight="1" x14ac:dyDescent="0.2">
      <c r="D38" s="17" t="str" cm="1">
        <f t="array" ref="D38">Fuel_SourceData.Fuel_Scope1Scope3EmissionFactorsTransportOffRoad_Source()</f>
        <v>VEERG 2026: Table A.4.2.1</v>
      </c>
    </row>
    <row r="39" spans="1:12" ht="20.100000000000001" customHeight="1" x14ac:dyDescent="0.2">
      <c r="A39" s="82" t="s">
        <v>1</v>
      </c>
      <c r="D39" s="20" t="s">
        <v>640</v>
      </c>
      <c r="E39" s="20" t="s">
        <v>641</v>
      </c>
      <c r="F39" s="20" t="s">
        <v>642</v>
      </c>
      <c r="G39" s="20" t="s">
        <v>643</v>
      </c>
      <c r="H39" s="20" t="s">
        <v>644</v>
      </c>
      <c r="I39" s="20" t="s">
        <v>645</v>
      </c>
      <c r="J39" s="20" t="s">
        <v>646</v>
      </c>
    </row>
    <row r="40" spans="1:12" ht="20.100000000000001" customHeight="1" x14ac:dyDescent="0.2">
      <c r="A40" s="5" t="str">
        <f>HYPERLINK("#'Constants - Ag Residue'!A1", "Constants - Ag residue")</f>
        <v>Constants - Ag residue</v>
      </c>
      <c r="D40" s="20" t="str" cm="1">
        <f t="array" ref="D40">Common_InputFunctions.Utility_DisplayArrayInTable(Fuel_SourceData.Fuel_Scope1Scope3EmissionFactorsTransportOffRoad_Data(), Table_SourceData_Fuel_TransportOffroad[[#Headers],[Transport type t]],0)</f>
        <v>Vessel</v>
      </c>
      <c r="E40" s="20" t="str" cm="1">
        <f t="array" ref="E40">Common_InputFunctions.Utility_DisplayArrayInTable(Fuel_SourceData.Fuel_Scope1Scope3EmissionFactorsTransportOffRoad_Data(), Table_SourceData_Fuel_TransportOffroad[[#Headers],[Transport type t]],0)</f>
        <v>Petrol</v>
      </c>
      <c r="F40" s="20" cm="1">
        <f t="array" ref="F40">Common_InputFunctions.Utility_DisplayArrayInTable(Fuel_SourceData.Fuel_Scope1Scope3EmissionFactorsTransportOffRoad_Data(), Table_SourceData_Fuel_TransportOffroad[[#Headers],[Transport type t]],0)</f>
        <v>34.200000000000003</v>
      </c>
      <c r="G40" s="20" cm="1">
        <f t="array" ref="G40">Common_InputFunctions.Utility_DisplayArrayInTable(Fuel_SourceData.Fuel_Scope1Scope3EmissionFactorsTransportOffRoad_Data(), Table_SourceData_Fuel_TransportOffroad[[#Headers],[Transport type t]],0)</f>
        <v>67.400000000000006</v>
      </c>
      <c r="H40" s="20" cm="1">
        <f t="array" ref="H40">Common_InputFunctions.Utility_DisplayArrayInTable(Fuel_SourceData.Fuel_Scope1Scope3EmissionFactorsTransportOffRoad_Data(), Table_SourceData_Fuel_TransportOffroad[[#Headers],[Transport type t]],0)</f>
        <v>10.1</v>
      </c>
      <c r="I40" s="20" cm="1">
        <f t="array" ref="I40">Common_InputFunctions.Utility_DisplayArrayInTable(Fuel_SourceData.Fuel_Scope1Scope3EmissionFactorsTransportOffRoad_Data(), Table_SourceData_Fuel_TransportOffroad[[#Headers],[Transport type t]],0)</f>
        <v>0.3</v>
      </c>
      <c r="J40" s="2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
      <c r="A41" s="5" t="str">
        <f>HYPERLINK("#'Constants - Electricity'!A1", "Constants - Electricity")</f>
        <v>Constants - Electricity</v>
      </c>
      <c r="D41" s="1" t="str" cm="1">
        <f t="array" ref="D41">Common_InputFunctions.Utility_DisplayArrayInTable(Fuel_SourceData.Fuel_Scope1Scope3EmissionFactorsTransportOffRoad_Data(), Table_SourceData_Fuel_TransportOffroad[[#Headers],[Transport type t]],0)</f>
        <v>Vessel</v>
      </c>
      <c r="E41" s="20" t="str" cm="1">
        <f t="array" ref="E41">Common_InputFunctions.Utility_DisplayArrayInTable(Fuel_SourceData.Fuel_Scope1Scope3EmissionFactorsTransportOffRoad_Data(), Table_SourceData_Fuel_TransportOffroad[[#Headers],[Transport type t]],0)</f>
        <v>Diesel</v>
      </c>
      <c r="F41" s="20" cm="1">
        <f t="array" ref="F41">Common_InputFunctions.Utility_DisplayArrayInTable(Fuel_SourceData.Fuel_Scope1Scope3EmissionFactorsTransportOffRoad_Data(), Table_SourceData_Fuel_TransportOffroad[[#Headers],[Transport type t]],0)</f>
        <v>38.6</v>
      </c>
      <c r="G41" s="20" cm="1">
        <f t="array" ref="G41">Common_InputFunctions.Utility_DisplayArrayInTable(Fuel_SourceData.Fuel_Scope1Scope3EmissionFactorsTransportOffRoad_Data(), Table_SourceData_Fuel_TransportOffroad[[#Headers],[Transport type t]],0)</f>
        <v>69.900000000000006</v>
      </c>
      <c r="H41" s="20" cm="1">
        <f t="array" ref="H41">Common_InputFunctions.Utility_DisplayArrayInTable(Fuel_SourceData.Fuel_Scope1Scope3EmissionFactorsTransportOffRoad_Data(), Table_SourceData_Fuel_TransportOffroad[[#Headers],[Transport type t]],0)</f>
        <v>0.2</v>
      </c>
      <c r="I41" s="20" cm="1">
        <f t="array" ref="I41">Common_InputFunctions.Utility_DisplayArrayInTable(Fuel_SourceData.Fuel_Scope1Scope3EmissionFactorsTransportOffRoad_Data(), Table_SourceData_Fuel_TransportOffroad[[#Headers],[Transport type t]],0)</f>
        <v>0.5</v>
      </c>
      <c r="J41" s="2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
      <c r="A42" s="5" t="str">
        <f>HYPERLINK("#'Constants - Fertiliser'!A1", "Constants - Fertiliser")</f>
        <v>Constants - Fertiliser</v>
      </c>
      <c r="D42" s="1" t="str" cm="1">
        <f t="array" ref="D42">Common_InputFunctions.Utility_DisplayArrayInTable(Fuel_SourceData.Fuel_Scope1Scope3EmissionFactorsTransportOffRoad_Data(), Table_SourceData_Fuel_TransportOffroad[[#Headers],[Transport type t]],0)</f>
        <v>Vessel</v>
      </c>
      <c r="E42" s="20" t="str" cm="1">
        <f t="array" ref="E42">Common_InputFunctions.Utility_DisplayArrayInTable(Fuel_SourceData.Fuel_Scope1Scope3EmissionFactorsTransportOffRoad_Data(), Table_SourceData_Fuel_TransportOffroad[[#Headers],[Transport type t]],0)</f>
        <v>Fuel Oil</v>
      </c>
      <c r="F42" s="20" cm="1">
        <f t="array" ref="F42">Common_InputFunctions.Utility_DisplayArrayInTable(Fuel_SourceData.Fuel_Scope1Scope3EmissionFactorsTransportOffRoad_Data(), Table_SourceData_Fuel_TransportOffroad[[#Headers],[Transport type t]],0)</f>
        <v>39.700000000000003</v>
      </c>
      <c r="G42" s="20" cm="1">
        <f t="array" ref="G42">Common_InputFunctions.Utility_DisplayArrayInTable(Fuel_SourceData.Fuel_Scope1Scope3EmissionFactorsTransportOffRoad_Data(), Table_SourceData_Fuel_TransportOffroad[[#Headers],[Transport type t]],0)</f>
        <v>73.599999999999994</v>
      </c>
      <c r="H42" s="20" cm="1">
        <f t="array" ref="H42">Common_InputFunctions.Utility_DisplayArrayInTable(Fuel_SourceData.Fuel_Scope1Scope3EmissionFactorsTransportOffRoad_Data(), Table_SourceData_Fuel_TransportOffroad[[#Headers],[Transport type t]],0)</f>
        <v>0.2</v>
      </c>
      <c r="I42" s="20" cm="1">
        <f t="array" ref="I42">Common_InputFunctions.Utility_DisplayArrayInTable(Fuel_SourceData.Fuel_Scope1Scope3EmissionFactorsTransportOffRoad_Data(), Table_SourceData_Fuel_TransportOffroad[[#Headers],[Transport type t]],0)</f>
        <v>0.5</v>
      </c>
      <c r="J42" s="2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
      <c r="A43" s="83" t="str">
        <f>HYPERLINK("#'Constants - Fuel'!A1", "Constants - Fuel")</f>
        <v>Constants - Fuel</v>
      </c>
      <c r="D43" s="1" t="str" cm="1">
        <f t="array" ref="D43">Common_InputFunctions.Utility_DisplayArrayInTable(Fuel_SourceData.Fuel_Scope1Scope3EmissionFactorsTransportOffRoad_Data(), Table_SourceData_Fuel_TransportOffroad[[#Headers],[Transport type t]],0)</f>
        <v>Off-road Agriculture and forestry equipment</v>
      </c>
      <c r="E43" s="20" t="str" cm="1">
        <f t="array" ref="E43">Common_InputFunctions.Utility_DisplayArrayInTable(Fuel_SourceData.Fuel_Scope1Scope3EmissionFactorsTransportOffRoad_Data(), Table_SourceData_Fuel_TransportOffroad[[#Headers],[Transport type t]],0)</f>
        <v>Diesel</v>
      </c>
      <c r="F43" s="20" cm="1">
        <f t="array" ref="F43">Common_InputFunctions.Utility_DisplayArrayInTable(Fuel_SourceData.Fuel_Scope1Scope3EmissionFactorsTransportOffRoad_Data(), Table_SourceData_Fuel_TransportOffroad[[#Headers],[Transport type t]],0)</f>
        <v>38.6</v>
      </c>
      <c r="G43" s="20" cm="1">
        <f t="array" ref="G43">Common_InputFunctions.Utility_DisplayArrayInTable(Fuel_SourceData.Fuel_Scope1Scope3EmissionFactorsTransportOffRoad_Data(), Table_SourceData_Fuel_TransportOffroad[[#Headers],[Transport type t]],0)</f>
        <v>69.900000000000006</v>
      </c>
      <c r="H43" s="20" cm="1">
        <f t="array" ref="H43">Common_InputFunctions.Utility_DisplayArrayInTable(Fuel_SourceData.Fuel_Scope1Scope3EmissionFactorsTransportOffRoad_Data(), Table_SourceData_Fuel_TransportOffroad[[#Headers],[Transport type t]],0)</f>
        <v>0.3</v>
      </c>
      <c r="I43" s="20" cm="1">
        <f t="array" ref="I43">Common_InputFunctions.Utility_DisplayArrayInTable(Fuel_SourceData.Fuel_Scope1Scope3EmissionFactorsTransportOffRoad_Data(), Table_SourceData_Fuel_TransportOffroad[[#Headers],[Transport type t]],0)</f>
        <v>0.5</v>
      </c>
      <c r="J43" s="2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row>
    <row r="46" spans="1:12" ht="20.100000000000001" customHeight="1" x14ac:dyDescent="0.2">
      <c r="A46" s="5" t="str">
        <f>HYPERLINK("#'Constants - Common'!A1", "Constants - Common")</f>
        <v>Constants - Common</v>
      </c>
    </row>
    <row r="47" spans="1:12" ht="20.100000000000001" customHeight="1" x14ac:dyDescent="0.2">
      <c r="A47" s="5" t="str">
        <f>HYPERLINK("#'Constants - Common Livestock'!A1", "Constants - Common Livestock")</f>
        <v>Constants - Common Livestock</v>
      </c>
    </row>
    <row r="49" spans="1:12" ht="20.100000000000001" customHeight="1" x14ac:dyDescent="0.2">
      <c r="D49" s="2" t="str" cm="1">
        <f t="array" ref="D49">Fuel_SourceData.Fuel_Scope1Scope3EmissionFactorsStationaryLiquid_Title()</f>
        <v>Fuel scope 1 and 3 emission factors - Stationary liquid fuels</v>
      </c>
      <c r="E49" s="161"/>
      <c r="F49" s="161"/>
      <c r="G49" s="161"/>
      <c r="H49" s="161"/>
      <c r="I49" s="161"/>
      <c r="J49" s="161"/>
      <c r="K49" s="161"/>
      <c r="L49" s="161"/>
    </row>
    <row r="50" spans="1:12" ht="20.100000000000001" customHeight="1" x14ac:dyDescent="0.2">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61"/>
      <c r="F50" s="161"/>
      <c r="G50" s="161"/>
      <c r="H50" s="161"/>
      <c r="I50" s="161"/>
      <c r="J50" s="161"/>
      <c r="K50" s="161"/>
      <c r="L50" s="161"/>
    </row>
    <row r="51" spans="1:12" ht="20.100000000000001" customHeight="1" x14ac:dyDescent="0.2">
      <c r="D51" s="17" t="str" cm="1">
        <f t="array" ref="D51">Fuel_SourceData.Fuel_Scope1Scope3EmissionFactorsStationaryLiquid_Source()</f>
        <v>Australian National Greenhouse Accounts Factors 2025 - Table 8</v>
      </c>
      <c r="E51" s="161"/>
      <c r="F51" s="161"/>
      <c r="G51" s="161"/>
      <c r="H51" s="161"/>
      <c r="I51" s="161"/>
      <c r="J51" s="161"/>
      <c r="K51" s="161"/>
      <c r="L51" s="161"/>
    </row>
    <row r="52" spans="1:12" ht="20.100000000000001" customHeight="1" x14ac:dyDescent="0.2">
      <c r="D52" s="26" t="str" cm="1">
        <f t="array" ref="D52">"⚠️" &amp; Fuel_SourceData.Fuel_Scope1Scope3EmissionFactorsStationaryLiquid_Variation()</f>
        <v>⚠️VARIATION OF SOURCE DATA: 'NE' values returned as zero for calculations.</v>
      </c>
      <c r="E52" s="161"/>
      <c r="F52" s="161"/>
      <c r="G52" s="161"/>
      <c r="H52" s="161"/>
      <c r="I52" s="161"/>
      <c r="J52" s="161"/>
      <c r="K52" s="161"/>
      <c r="L52" s="161"/>
    </row>
    <row r="53" spans="1:12" ht="20.100000000000001" customHeight="1" x14ac:dyDescent="0.2">
      <c r="D53" s="178" t="s">
        <v>632</v>
      </c>
      <c r="E53" s="209" t="s">
        <v>633</v>
      </c>
      <c r="F53" s="178" t="s">
        <v>634</v>
      </c>
      <c r="G53" s="209" t="s">
        <v>635</v>
      </c>
      <c r="H53" s="209" t="s">
        <v>636</v>
      </c>
      <c r="I53" s="209" t="s">
        <v>637</v>
      </c>
      <c r="J53" s="209" t="s">
        <v>638</v>
      </c>
      <c r="K53" s="209" t="s">
        <v>639</v>
      </c>
      <c r="L53" s="161"/>
    </row>
    <row r="54" spans="1:12" ht="20.100000000000001" customHeight="1" x14ac:dyDescent="0.2">
      <c r="D54" s="210"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10" cm="1">
        <f t="array" ref="E54">Common_InputFunctions.Utility_DisplayArrayInTable(Fuel_SourceData.Fuel_Scope1Scope3EmissionFactorsStationaryLiquid_Data(), Table_Fuel_EFs_StationaryLiquid[[#Headers],[Fuel combusted]],0)</f>
        <v>38.799999999999997</v>
      </c>
      <c r="F54" s="210" t="str" cm="1">
        <f t="array" ref="F54">Common_InputFunctions.Utility_DisplayArrayInTable(Fuel_SourceData.Fuel_Scope1Scope3EmissionFactorsStationaryLiquid_Data(), Table_Fuel_EFs_StationaryLiquid[[#Headers],[Fuel combusted]],0)</f>
        <v>kl</v>
      </c>
      <c r="G54" s="210" cm="1">
        <f t="array" ref="G54">Common_InputFunctions.Utility_DisplayArrayInTable(Fuel_SourceData.Fuel_Scope1Scope3EmissionFactorsStationaryLiquid_Data(), Table_Fuel_EFs_StationaryLiquid[[#Headers],[Fuel combusted]],0)</f>
        <v>13.9</v>
      </c>
      <c r="H54" s="210" cm="1">
        <f t="array" ref="H54">Common_InputFunctions.Utility_DisplayArrayInTable(Fuel_SourceData.Fuel_Scope1Scope3EmissionFactorsStationaryLiquid_Data(), Table_Fuel_EFs_StationaryLiquid[[#Headers],[Fuel combusted]],0)</f>
        <v>0</v>
      </c>
      <c r="I54" s="210" cm="1">
        <f t="array" ref="I54">Common_InputFunctions.Utility_DisplayArrayInTable(Fuel_SourceData.Fuel_Scope1Scope3EmissionFactorsStationaryLiquid_Data(), Table_Fuel_EFs_StationaryLiquid[[#Headers],[Fuel combusted]],0)</f>
        <v>0</v>
      </c>
      <c r="J54" s="210" cm="1">
        <f t="array" ref="J54">Common_InputFunctions.Utility_DisplayArrayInTable(Fuel_SourceData.Fuel_Scope1Scope3EmissionFactorsStationaryLiquid_Data(), Table_Fuel_EFs_StationaryLiquid[[#Headers],[Fuel combusted]],0)</f>
        <v>13.9</v>
      </c>
      <c r="K54" s="210" cm="1">
        <f t="array" ref="K54">Common_InputFunctions.Utility_DisplayArrayInTable(Fuel_SourceData.Fuel_Scope1Scope3EmissionFactorsStationaryLiquid_Data(), Table_Fuel_EFs_StationaryLiquid[[#Headers],[Fuel combusted]],0)</f>
        <v>18</v>
      </c>
      <c r="L54" s="161"/>
    </row>
    <row r="55" spans="1:12" ht="20.100000000000001" customHeight="1" x14ac:dyDescent="0.2">
      <c r="D55" s="210" t="str" cm="1">
        <f t="array" ref="D55">Common_InputFunctions.Utility_DisplayArrayInTable(Fuel_SourceData.Fuel_Scope1Scope3EmissionFactorsStationaryLiquid_Data(), Table_Fuel_EFs_StationaryLiquid[[#Headers],[Fuel combusted]],0)</f>
        <v>Petroleum based greases</v>
      </c>
      <c r="E55" s="210" cm="1">
        <f t="array" ref="E55">Common_InputFunctions.Utility_DisplayArrayInTable(Fuel_SourceData.Fuel_Scope1Scope3EmissionFactorsStationaryLiquid_Data(), Table_Fuel_EFs_StationaryLiquid[[#Headers],[Fuel combusted]],0)</f>
        <v>38.799999999999997</v>
      </c>
      <c r="F55" s="210" t="str" cm="1">
        <f t="array" ref="F55">Common_InputFunctions.Utility_DisplayArrayInTable(Fuel_SourceData.Fuel_Scope1Scope3EmissionFactorsStationaryLiquid_Data(), Table_Fuel_EFs_StationaryLiquid[[#Headers],[Fuel combusted]],0)</f>
        <v>kl</v>
      </c>
      <c r="G55" s="210" cm="1">
        <f t="array" ref="G55">Common_InputFunctions.Utility_DisplayArrayInTable(Fuel_SourceData.Fuel_Scope1Scope3EmissionFactorsStationaryLiquid_Data(), Table_Fuel_EFs_StationaryLiquid[[#Headers],[Fuel combusted]],0)</f>
        <v>3.5</v>
      </c>
      <c r="H55" s="210" cm="1">
        <f t="array" ref="H55">Common_InputFunctions.Utility_DisplayArrayInTable(Fuel_SourceData.Fuel_Scope1Scope3EmissionFactorsStationaryLiquid_Data(), Table_Fuel_EFs_StationaryLiquid[[#Headers],[Fuel combusted]],0)</f>
        <v>0</v>
      </c>
      <c r="I55" s="210" cm="1">
        <f t="array" ref="I55">Common_InputFunctions.Utility_DisplayArrayInTable(Fuel_SourceData.Fuel_Scope1Scope3EmissionFactorsStationaryLiquid_Data(), Table_Fuel_EFs_StationaryLiquid[[#Headers],[Fuel combusted]],0)</f>
        <v>0</v>
      </c>
      <c r="J55" s="210" cm="1">
        <f t="array" ref="J55">Common_InputFunctions.Utility_DisplayArrayInTable(Fuel_SourceData.Fuel_Scope1Scope3EmissionFactorsStationaryLiquid_Data(), Table_Fuel_EFs_StationaryLiquid[[#Headers],[Fuel combusted]],0)</f>
        <v>3.5</v>
      </c>
      <c r="K55" s="210" cm="1">
        <f t="array" ref="K55">Common_InputFunctions.Utility_DisplayArrayInTable(Fuel_SourceData.Fuel_Scope1Scope3EmissionFactorsStationaryLiquid_Data(), Table_Fuel_EFs_StationaryLiquid[[#Headers],[Fuel combusted]],0)</f>
        <v>18</v>
      </c>
      <c r="L55" s="161"/>
    </row>
    <row r="56" spans="1:12" ht="20.100000000000001" customHeight="1" x14ac:dyDescent="0.2">
      <c r="D56" s="210" t="str" cm="1">
        <f t="array" ref="D56">Common_InputFunctions.Utility_DisplayArrayInTable(Fuel_SourceData.Fuel_Scope1Scope3EmissionFactorsStationaryLiquid_Data(), Table_Fuel_EFs_StationaryLiquid[[#Headers],[Fuel combusted]],0)</f>
        <v>Crude oil including crude oil condensates</v>
      </c>
      <c r="E56" s="210" cm="1">
        <f t="array" ref="E56">Common_InputFunctions.Utility_DisplayArrayInTable(Fuel_SourceData.Fuel_Scope1Scope3EmissionFactorsStationaryLiquid_Data(), Table_Fuel_EFs_StationaryLiquid[[#Headers],[Fuel combusted]],0)</f>
        <v>45.3</v>
      </c>
      <c r="F56" s="210" t="str" cm="1">
        <f t="array" ref="F56">Common_InputFunctions.Utility_DisplayArrayInTable(Fuel_SourceData.Fuel_Scope1Scope3EmissionFactorsStationaryLiquid_Data(), Table_Fuel_EFs_StationaryLiquid[[#Headers],[Fuel combusted]],0)</f>
        <v>t</v>
      </c>
      <c r="G56" s="210" cm="1">
        <f t="array" ref="G56">Common_InputFunctions.Utility_DisplayArrayInTable(Fuel_SourceData.Fuel_Scope1Scope3EmissionFactorsStationaryLiquid_Data(), Table_Fuel_EFs_StationaryLiquid[[#Headers],[Fuel combusted]],0)</f>
        <v>69.599999999999994</v>
      </c>
      <c r="H56" s="210" cm="1">
        <f t="array" ref="H56">Common_InputFunctions.Utility_DisplayArrayInTable(Fuel_SourceData.Fuel_Scope1Scope3EmissionFactorsStationaryLiquid_Data(), Table_Fuel_EFs_StationaryLiquid[[#Headers],[Fuel combusted]],0)</f>
        <v>0.08</v>
      </c>
      <c r="I56" s="210" cm="1">
        <f t="array" ref="I56">Common_InputFunctions.Utility_DisplayArrayInTable(Fuel_SourceData.Fuel_Scope1Scope3EmissionFactorsStationaryLiquid_Data(), Table_Fuel_EFs_StationaryLiquid[[#Headers],[Fuel combusted]],0)</f>
        <v>0.2</v>
      </c>
      <c r="J56" s="210" cm="1">
        <f t="array" ref="J56">Common_InputFunctions.Utility_DisplayArrayInTable(Fuel_SourceData.Fuel_Scope1Scope3EmissionFactorsStationaryLiquid_Data(), Table_Fuel_EFs_StationaryLiquid[[#Headers],[Fuel combusted]],0)</f>
        <v>69.88</v>
      </c>
      <c r="K56" s="210" t="str" cm="1">
        <f t="array" ref="K56">Common_InputFunctions.Utility_DisplayArrayInTable(Fuel_SourceData.Fuel_Scope1Scope3EmissionFactorsStationaryLiquid_Data(), Table_Fuel_EFs_StationaryLiquid[[#Headers],[Fuel combusted]],0)</f>
        <v>NE</v>
      </c>
      <c r="L56" s="161"/>
    </row>
    <row r="57" spans="1:12" ht="20.100000000000001" customHeight="1" x14ac:dyDescent="0.2">
      <c r="D57" s="210" t="str" cm="1">
        <f t="array" ref="D57">Common_InputFunctions.Utility_DisplayArrayInTable(Fuel_SourceData.Fuel_Scope1Scope3EmissionFactorsStationaryLiquid_Data(), Table_Fuel_EFs_StationaryLiquid[[#Headers],[Fuel combusted]],0)</f>
        <v>Other natural gas liquids</v>
      </c>
      <c r="E57" s="210" cm="1">
        <f t="array" ref="E57">Common_InputFunctions.Utility_DisplayArrayInTable(Fuel_SourceData.Fuel_Scope1Scope3EmissionFactorsStationaryLiquid_Data(), Table_Fuel_EFs_StationaryLiquid[[#Headers],[Fuel combusted]],0)</f>
        <v>46.5</v>
      </c>
      <c r="F57" s="210" t="str" cm="1">
        <f t="array" ref="F57">Common_InputFunctions.Utility_DisplayArrayInTable(Fuel_SourceData.Fuel_Scope1Scope3EmissionFactorsStationaryLiquid_Data(), Table_Fuel_EFs_StationaryLiquid[[#Headers],[Fuel combusted]],0)</f>
        <v>t</v>
      </c>
      <c r="G57" s="210" cm="1">
        <f t="array" ref="G57">Common_InputFunctions.Utility_DisplayArrayInTable(Fuel_SourceData.Fuel_Scope1Scope3EmissionFactorsStationaryLiquid_Data(), Table_Fuel_EFs_StationaryLiquid[[#Headers],[Fuel combusted]],0)</f>
        <v>61</v>
      </c>
      <c r="H57" s="210" cm="1">
        <f t="array" ref="H57">Common_InputFunctions.Utility_DisplayArrayInTable(Fuel_SourceData.Fuel_Scope1Scope3EmissionFactorsStationaryLiquid_Data(), Table_Fuel_EFs_StationaryLiquid[[#Headers],[Fuel combusted]],0)</f>
        <v>0.08</v>
      </c>
      <c r="I57" s="210" cm="1">
        <f t="array" ref="I57">Common_InputFunctions.Utility_DisplayArrayInTable(Fuel_SourceData.Fuel_Scope1Scope3EmissionFactorsStationaryLiquid_Data(), Table_Fuel_EFs_StationaryLiquid[[#Headers],[Fuel combusted]],0)</f>
        <v>0.2</v>
      </c>
      <c r="J57" s="210" cm="1">
        <f t="array" ref="J57">Common_InputFunctions.Utility_DisplayArrayInTable(Fuel_SourceData.Fuel_Scope1Scope3EmissionFactorsStationaryLiquid_Data(), Table_Fuel_EFs_StationaryLiquid[[#Headers],[Fuel combusted]],0)</f>
        <v>61.28</v>
      </c>
      <c r="K57" s="210" t="str" cm="1">
        <f t="array" ref="K57">Common_InputFunctions.Utility_DisplayArrayInTable(Fuel_SourceData.Fuel_Scope1Scope3EmissionFactorsStationaryLiquid_Data(), Table_Fuel_EFs_StationaryLiquid[[#Headers],[Fuel combusted]],0)</f>
        <v>NE</v>
      </c>
      <c r="L57" s="161"/>
    </row>
    <row r="58" spans="1:12" ht="20.100000000000001" customHeight="1" x14ac:dyDescent="0.2">
      <c r="A58" s="81" t="str">
        <f>HYPERLINK("#A1", "▲ Back to top")</f>
        <v>▲ Back to top</v>
      </c>
      <c r="D58" s="210"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10" cm="1">
        <f t="array" ref="E58">Common_InputFunctions.Utility_DisplayArrayInTable(Fuel_SourceData.Fuel_Scope1Scope3EmissionFactorsStationaryLiquid_Data(), Table_Fuel_EFs_StationaryLiquid[[#Headers],[Fuel combusted]],0)</f>
        <v>34.200000000000003</v>
      </c>
      <c r="F58" s="210" t="str" cm="1">
        <f t="array" ref="F58">Common_InputFunctions.Utility_DisplayArrayInTable(Fuel_SourceData.Fuel_Scope1Scope3EmissionFactorsStationaryLiquid_Data(), Table_Fuel_EFs_StationaryLiquid[[#Headers],[Fuel combusted]],0)</f>
        <v>kL</v>
      </c>
      <c r="G58" s="210" cm="1">
        <f t="array" ref="G58">Common_InputFunctions.Utility_DisplayArrayInTable(Fuel_SourceData.Fuel_Scope1Scope3EmissionFactorsStationaryLiquid_Data(), Table_Fuel_EFs_StationaryLiquid[[#Headers],[Fuel combusted]],0)</f>
        <v>67.400000000000006</v>
      </c>
      <c r="H58" s="210" cm="1">
        <f t="array" ref="H58">Common_InputFunctions.Utility_DisplayArrayInTable(Fuel_SourceData.Fuel_Scope1Scope3EmissionFactorsStationaryLiquid_Data(), Table_Fuel_EFs_StationaryLiquid[[#Headers],[Fuel combusted]],0)</f>
        <v>0.2</v>
      </c>
      <c r="I58" s="210" cm="1">
        <f t="array" ref="I58">Common_InputFunctions.Utility_DisplayArrayInTable(Fuel_SourceData.Fuel_Scope1Scope3EmissionFactorsStationaryLiquid_Data(), Table_Fuel_EFs_StationaryLiquid[[#Headers],[Fuel combusted]],0)</f>
        <v>0.2</v>
      </c>
      <c r="J58" s="210" cm="1">
        <f t="array" ref="J58">Common_InputFunctions.Utility_DisplayArrayInTable(Fuel_SourceData.Fuel_Scope1Scope3EmissionFactorsStationaryLiquid_Data(), Table_Fuel_EFs_StationaryLiquid[[#Headers],[Fuel combusted]],0)</f>
        <v>67.8</v>
      </c>
      <c r="K58" s="210" cm="1">
        <f t="array" ref="K58">Common_InputFunctions.Utility_DisplayArrayInTable(Fuel_SourceData.Fuel_Scope1Scope3EmissionFactorsStationaryLiquid_Data(), Table_Fuel_EFs_StationaryLiquid[[#Headers],[Fuel combusted]],0)</f>
        <v>17.2</v>
      </c>
      <c r="L58" s="161"/>
    </row>
    <row r="59" spans="1:12" ht="20.100000000000001" customHeight="1" x14ac:dyDescent="0.2">
      <c r="D59" s="210" t="str" cm="1">
        <f t="array" ref="D59">Common_InputFunctions.Utility_DisplayArrayInTable(Fuel_SourceData.Fuel_Scope1Scope3EmissionFactorsStationaryLiquid_Data(), Table_Fuel_EFs_StationaryLiquid[[#Headers],[Fuel combusted]],0)</f>
        <v>Aviation gasoline</v>
      </c>
      <c r="E59" s="210" cm="1">
        <f t="array" ref="E59">Common_InputFunctions.Utility_DisplayArrayInTable(Fuel_SourceData.Fuel_Scope1Scope3EmissionFactorsStationaryLiquid_Data(), Table_Fuel_EFs_StationaryLiquid[[#Headers],[Fuel combusted]],0)</f>
        <v>33.1</v>
      </c>
      <c r="F59" s="210" t="str" cm="1">
        <f t="array" ref="F59">Common_InputFunctions.Utility_DisplayArrayInTable(Fuel_SourceData.Fuel_Scope1Scope3EmissionFactorsStationaryLiquid_Data(), Table_Fuel_EFs_StationaryLiquid[[#Headers],[Fuel combusted]],0)</f>
        <v>kL</v>
      </c>
      <c r="G59" s="210" cm="1">
        <f t="array" ref="G59">Common_InputFunctions.Utility_DisplayArrayInTable(Fuel_SourceData.Fuel_Scope1Scope3EmissionFactorsStationaryLiquid_Data(), Table_Fuel_EFs_StationaryLiquid[[#Headers],[Fuel combusted]],0)</f>
        <v>67</v>
      </c>
      <c r="H59" s="210" cm="1">
        <f t="array" ref="H59">Common_InputFunctions.Utility_DisplayArrayInTable(Fuel_SourceData.Fuel_Scope1Scope3EmissionFactorsStationaryLiquid_Data(), Table_Fuel_EFs_StationaryLiquid[[#Headers],[Fuel combusted]],0)</f>
        <v>0.2</v>
      </c>
      <c r="I59" s="210" cm="1">
        <f t="array" ref="I59">Common_InputFunctions.Utility_DisplayArrayInTable(Fuel_SourceData.Fuel_Scope1Scope3EmissionFactorsStationaryLiquid_Data(), Table_Fuel_EFs_StationaryLiquid[[#Headers],[Fuel combusted]],0)</f>
        <v>0.2</v>
      </c>
      <c r="J59" s="210" cm="1">
        <f t="array" ref="J59">Common_InputFunctions.Utility_DisplayArrayInTable(Fuel_SourceData.Fuel_Scope1Scope3EmissionFactorsStationaryLiquid_Data(), Table_Fuel_EFs_StationaryLiquid[[#Headers],[Fuel combusted]],0)</f>
        <v>67.400000000000006</v>
      </c>
      <c r="K59" s="210" cm="1">
        <f t="array" ref="K59">Common_InputFunctions.Utility_DisplayArrayInTable(Fuel_SourceData.Fuel_Scope1Scope3EmissionFactorsStationaryLiquid_Data(), Table_Fuel_EFs_StationaryLiquid[[#Headers],[Fuel combusted]],0)</f>
        <v>18</v>
      </c>
      <c r="L59" s="161"/>
    </row>
    <row r="60" spans="1:12" ht="20.100000000000001" customHeight="1" x14ac:dyDescent="0.2">
      <c r="D60" s="210" t="str" cm="1">
        <f t="array" ref="D60">Common_InputFunctions.Utility_DisplayArrayInTable(Fuel_SourceData.Fuel_Scope1Scope3EmissionFactorsStationaryLiquid_Data(), Table_Fuel_EFs_StationaryLiquid[[#Headers],[Fuel combusted]],0)</f>
        <v>Kerosene (other than for use as fuel in an aircraft)</v>
      </c>
      <c r="E60" s="210" cm="1">
        <f t="array" ref="E60">Common_InputFunctions.Utility_DisplayArrayInTable(Fuel_SourceData.Fuel_Scope1Scope3EmissionFactorsStationaryLiquid_Data(), Table_Fuel_EFs_StationaryLiquid[[#Headers],[Fuel combusted]],0)</f>
        <v>37.5</v>
      </c>
      <c r="F60" s="210" t="str" cm="1">
        <f t="array" ref="F60">Common_InputFunctions.Utility_DisplayArrayInTable(Fuel_SourceData.Fuel_Scope1Scope3EmissionFactorsStationaryLiquid_Data(), Table_Fuel_EFs_StationaryLiquid[[#Headers],[Fuel combusted]],0)</f>
        <v>kL</v>
      </c>
      <c r="G60" s="210" cm="1">
        <f t="array" ref="G60">Common_InputFunctions.Utility_DisplayArrayInTable(Fuel_SourceData.Fuel_Scope1Scope3EmissionFactorsStationaryLiquid_Data(), Table_Fuel_EFs_StationaryLiquid[[#Headers],[Fuel combusted]],0)</f>
        <v>68.900000000000006</v>
      </c>
      <c r="H60" s="210" cm="1">
        <f t="array" ref="H60">Common_InputFunctions.Utility_DisplayArrayInTable(Fuel_SourceData.Fuel_Scope1Scope3EmissionFactorsStationaryLiquid_Data(), Table_Fuel_EFs_StationaryLiquid[[#Headers],[Fuel combusted]],0)</f>
        <v>0.01</v>
      </c>
      <c r="I60" s="210" cm="1">
        <f t="array" ref="I60">Common_InputFunctions.Utility_DisplayArrayInTable(Fuel_SourceData.Fuel_Scope1Scope3EmissionFactorsStationaryLiquid_Data(), Table_Fuel_EFs_StationaryLiquid[[#Headers],[Fuel combusted]],0)</f>
        <v>0.2</v>
      </c>
      <c r="J60" s="210" cm="1">
        <f t="array" ref="J60">Common_InputFunctions.Utility_DisplayArrayInTable(Fuel_SourceData.Fuel_Scope1Scope3EmissionFactorsStationaryLiquid_Data(), Table_Fuel_EFs_StationaryLiquid[[#Headers],[Fuel combusted]],0)</f>
        <v>69.11</v>
      </c>
      <c r="K60" s="210" cm="1">
        <f t="array" ref="K60">Common_InputFunctions.Utility_DisplayArrayInTable(Fuel_SourceData.Fuel_Scope1Scope3EmissionFactorsStationaryLiquid_Data(), Table_Fuel_EFs_StationaryLiquid[[#Headers],[Fuel combusted]],0)</f>
        <v>18</v>
      </c>
      <c r="L60" s="161"/>
    </row>
    <row r="61" spans="1:12" ht="20.100000000000001" customHeight="1" x14ac:dyDescent="0.2">
      <c r="D61" s="210" t="str" cm="1">
        <f t="array" ref="D61">Common_InputFunctions.Utility_DisplayArrayInTable(Fuel_SourceData.Fuel_Scope1Scope3EmissionFactorsStationaryLiquid_Data(), Table_Fuel_EFs_StationaryLiquid[[#Headers],[Fuel combusted]],0)</f>
        <v>Aviation turbine fuel / kerosene</v>
      </c>
      <c r="E61" s="210" cm="1">
        <f t="array" ref="E61">Common_InputFunctions.Utility_DisplayArrayInTable(Fuel_SourceData.Fuel_Scope1Scope3EmissionFactorsStationaryLiquid_Data(), Table_Fuel_EFs_StationaryLiquid[[#Headers],[Fuel combusted]],0)</f>
        <v>36.799999999999997</v>
      </c>
      <c r="F61" s="210" t="str" cm="1">
        <f t="array" ref="F61">Common_InputFunctions.Utility_DisplayArrayInTable(Fuel_SourceData.Fuel_Scope1Scope3EmissionFactorsStationaryLiquid_Data(), Table_Fuel_EFs_StationaryLiquid[[#Headers],[Fuel combusted]],0)</f>
        <v>kL</v>
      </c>
      <c r="G61" s="210" cm="1">
        <f t="array" ref="G61">Common_InputFunctions.Utility_DisplayArrayInTable(Fuel_SourceData.Fuel_Scope1Scope3EmissionFactorsStationaryLiquid_Data(), Table_Fuel_EFs_StationaryLiquid[[#Headers],[Fuel combusted]],0)</f>
        <v>69.599999999999994</v>
      </c>
      <c r="H61" s="210" cm="1">
        <f t="array" ref="H61">Common_InputFunctions.Utility_DisplayArrayInTable(Fuel_SourceData.Fuel_Scope1Scope3EmissionFactorsStationaryLiquid_Data(), Table_Fuel_EFs_StationaryLiquid[[#Headers],[Fuel combusted]],0)</f>
        <v>0.02</v>
      </c>
      <c r="I61" s="210" cm="1">
        <f t="array" ref="I61">Common_InputFunctions.Utility_DisplayArrayInTable(Fuel_SourceData.Fuel_Scope1Scope3EmissionFactorsStationaryLiquid_Data(), Table_Fuel_EFs_StationaryLiquid[[#Headers],[Fuel combusted]],0)</f>
        <v>0.2</v>
      </c>
      <c r="J61" s="210" cm="1">
        <f t="array" ref="J61">Common_InputFunctions.Utility_DisplayArrayInTable(Fuel_SourceData.Fuel_Scope1Scope3EmissionFactorsStationaryLiquid_Data(), Table_Fuel_EFs_StationaryLiquid[[#Headers],[Fuel combusted]],0)</f>
        <v>69.819999999999993</v>
      </c>
      <c r="K61" s="210" cm="1">
        <f t="array" ref="K61">Common_InputFunctions.Utility_DisplayArrayInTable(Fuel_SourceData.Fuel_Scope1Scope3EmissionFactorsStationaryLiquid_Data(), Table_Fuel_EFs_StationaryLiquid[[#Headers],[Fuel combusted]],0)</f>
        <v>18</v>
      </c>
      <c r="L61" s="161"/>
    </row>
    <row r="62" spans="1:12" ht="20.100000000000001" customHeight="1" x14ac:dyDescent="0.2">
      <c r="D62" s="210" t="str" cm="1">
        <f t="array" ref="D62">Common_InputFunctions.Utility_DisplayArrayInTable(Fuel_SourceData.Fuel_Scope1Scope3EmissionFactorsStationaryLiquid_Data(), Table_Fuel_EFs_StationaryLiquid[[#Headers],[Fuel combusted]],0)</f>
        <v>Heating oil</v>
      </c>
      <c r="E62" s="210" cm="1">
        <f t="array" ref="E62">Common_InputFunctions.Utility_DisplayArrayInTable(Fuel_SourceData.Fuel_Scope1Scope3EmissionFactorsStationaryLiquid_Data(), Table_Fuel_EFs_StationaryLiquid[[#Headers],[Fuel combusted]],0)</f>
        <v>37.299999999999997</v>
      </c>
      <c r="F62" s="210" t="str" cm="1">
        <f t="array" ref="F62">Common_InputFunctions.Utility_DisplayArrayInTable(Fuel_SourceData.Fuel_Scope1Scope3EmissionFactorsStationaryLiquid_Data(), Table_Fuel_EFs_StationaryLiquid[[#Headers],[Fuel combusted]],0)</f>
        <v>kL</v>
      </c>
      <c r="G62" s="210" cm="1">
        <f t="array" ref="G62">Common_InputFunctions.Utility_DisplayArrayInTable(Fuel_SourceData.Fuel_Scope1Scope3EmissionFactorsStationaryLiquid_Data(), Table_Fuel_EFs_StationaryLiquid[[#Headers],[Fuel combusted]],0)</f>
        <v>69.5</v>
      </c>
      <c r="H62" s="210" cm="1">
        <f t="array" ref="H62">Common_InputFunctions.Utility_DisplayArrayInTable(Fuel_SourceData.Fuel_Scope1Scope3EmissionFactorsStationaryLiquid_Data(), Table_Fuel_EFs_StationaryLiquid[[#Headers],[Fuel combusted]],0)</f>
        <v>0.03</v>
      </c>
      <c r="I62" s="210" cm="1">
        <f t="array" ref="I62">Common_InputFunctions.Utility_DisplayArrayInTable(Fuel_SourceData.Fuel_Scope1Scope3EmissionFactorsStationaryLiquid_Data(), Table_Fuel_EFs_StationaryLiquid[[#Headers],[Fuel combusted]],0)</f>
        <v>0.2</v>
      </c>
      <c r="J62" s="210" cm="1">
        <f t="array" ref="J62">Common_InputFunctions.Utility_DisplayArrayInTable(Fuel_SourceData.Fuel_Scope1Scope3EmissionFactorsStationaryLiquid_Data(), Table_Fuel_EFs_StationaryLiquid[[#Headers],[Fuel combusted]],0)</f>
        <v>69.73</v>
      </c>
      <c r="K62" s="210" cm="1">
        <f t="array" ref="K62">Common_InputFunctions.Utility_DisplayArrayInTable(Fuel_SourceData.Fuel_Scope1Scope3EmissionFactorsStationaryLiquid_Data(), Table_Fuel_EFs_StationaryLiquid[[#Headers],[Fuel combusted]],0)</f>
        <v>18</v>
      </c>
      <c r="L62" s="161"/>
    </row>
    <row r="63" spans="1:12" ht="20.100000000000001" customHeight="1" x14ac:dyDescent="0.2">
      <c r="D63" s="210" t="str" cm="1">
        <f t="array" ref="D63">Common_InputFunctions.Utility_DisplayArrayInTable(Fuel_SourceData.Fuel_Scope1Scope3EmissionFactorsStationaryLiquid_Data(), Table_Fuel_EFs_StationaryLiquid[[#Headers],[Fuel combusted]],0)</f>
        <v>Diesel oil</v>
      </c>
      <c r="E63" s="210" cm="1">
        <f t="array" ref="E63">Common_InputFunctions.Utility_DisplayArrayInTable(Fuel_SourceData.Fuel_Scope1Scope3EmissionFactorsStationaryLiquid_Data(), Table_Fuel_EFs_StationaryLiquid[[#Headers],[Fuel combusted]],0)</f>
        <v>38.6</v>
      </c>
      <c r="F63" s="210" t="str" cm="1">
        <f t="array" ref="F63">Common_InputFunctions.Utility_DisplayArrayInTable(Fuel_SourceData.Fuel_Scope1Scope3EmissionFactorsStationaryLiquid_Data(), Table_Fuel_EFs_StationaryLiquid[[#Headers],[Fuel combusted]],0)</f>
        <v>kL</v>
      </c>
      <c r="G63" s="210" cm="1">
        <f t="array" ref="G63">Common_InputFunctions.Utility_DisplayArrayInTable(Fuel_SourceData.Fuel_Scope1Scope3EmissionFactorsStationaryLiquid_Data(), Table_Fuel_EFs_StationaryLiquid[[#Headers],[Fuel combusted]],0)</f>
        <v>69.900000000000006</v>
      </c>
      <c r="H63" s="210" cm="1">
        <f t="array" ref="H63">Common_InputFunctions.Utility_DisplayArrayInTable(Fuel_SourceData.Fuel_Scope1Scope3EmissionFactorsStationaryLiquid_Data(), Table_Fuel_EFs_StationaryLiquid[[#Headers],[Fuel combusted]],0)</f>
        <v>0.1</v>
      </c>
      <c r="I63" s="210" cm="1">
        <f t="array" ref="I63">Common_InputFunctions.Utility_DisplayArrayInTable(Fuel_SourceData.Fuel_Scope1Scope3EmissionFactorsStationaryLiquid_Data(), Table_Fuel_EFs_StationaryLiquid[[#Headers],[Fuel combusted]],0)</f>
        <v>0.2</v>
      </c>
      <c r="J63" s="210" cm="1">
        <f t="array" ref="J63">Common_InputFunctions.Utility_DisplayArrayInTable(Fuel_SourceData.Fuel_Scope1Scope3EmissionFactorsStationaryLiquid_Data(), Table_Fuel_EFs_StationaryLiquid[[#Headers],[Fuel combusted]],0)</f>
        <v>70.2</v>
      </c>
      <c r="K63" s="210" cm="1">
        <f t="array" ref="K63">Common_InputFunctions.Utility_DisplayArrayInTable(Fuel_SourceData.Fuel_Scope1Scope3EmissionFactorsStationaryLiquid_Data(), Table_Fuel_EFs_StationaryLiquid[[#Headers],[Fuel combusted]],0)</f>
        <v>17.3</v>
      </c>
      <c r="L63" s="161"/>
    </row>
    <row r="64" spans="1:12" ht="20.100000000000001" customHeight="1" x14ac:dyDescent="0.2">
      <c r="D64" s="210" t="str" cm="1">
        <f t="array" ref="D64">Common_InputFunctions.Utility_DisplayArrayInTable(Fuel_SourceData.Fuel_Scope1Scope3EmissionFactorsStationaryLiquid_Data(), Table_Fuel_EFs_StationaryLiquid[[#Headers],[Fuel combusted]],0)</f>
        <v>Fuel oil</v>
      </c>
      <c r="E64" s="210" cm="1">
        <f t="array" ref="E64">Common_InputFunctions.Utility_DisplayArrayInTable(Fuel_SourceData.Fuel_Scope1Scope3EmissionFactorsStationaryLiquid_Data(), Table_Fuel_EFs_StationaryLiquid[[#Headers],[Fuel combusted]],0)</f>
        <v>39.700000000000003</v>
      </c>
      <c r="F64" s="210" t="str" cm="1">
        <f t="array" ref="F64">Common_InputFunctions.Utility_DisplayArrayInTable(Fuel_SourceData.Fuel_Scope1Scope3EmissionFactorsStationaryLiquid_Data(), Table_Fuel_EFs_StationaryLiquid[[#Headers],[Fuel combusted]],0)</f>
        <v>kL</v>
      </c>
      <c r="G64" s="210" cm="1">
        <f t="array" ref="G64">Common_InputFunctions.Utility_DisplayArrayInTable(Fuel_SourceData.Fuel_Scope1Scope3EmissionFactorsStationaryLiquid_Data(), Table_Fuel_EFs_StationaryLiquid[[#Headers],[Fuel combusted]],0)</f>
        <v>73.599999999999994</v>
      </c>
      <c r="H64" s="210" cm="1">
        <f t="array" ref="H64">Common_InputFunctions.Utility_DisplayArrayInTable(Fuel_SourceData.Fuel_Scope1Scope3EmissionFactorsStationaryLiquid_Data(), Table_Fuel_EFs_StationaryLiquid[[#Headers],[Fuel combusted]],0)</f>
        <v>0.04</v>
      </c>
      <c r="I64" s="210" cm="1">
        <f t="array" ref="I64">Common_InputFunctions.Utility_DisplayArrayInTable(Fuel_SourceData.Fuel_Scope1Scope3EmissionFactorsStationaryLiquid_Data(), Table_Fuel_EFs_StationaryLiquid[[#Headers],[Fuel combusted]],0)</f>
        <v>0.2</v>
      </c>
      <c r="J64" s="210" cm="1">
        <f t="array" ref="J64">Common_InputFunctions.Utility_DisplayArrayInTable(Fuel_SourceData.Fuel_Scope1Scope3EmissionFactorsStationaryLiquid_Data(), Table_Fuel_EFs_StationaryLiquid[[#Headers],[Fuel combusted]],0)</f>
        <v>73.84</v>
      </c>
      <c r="K64" s="210" cm="1">
        <f t="array" ref="K64">Common_InputFunctions.Utility_DisplayArrayInTable(Fuel_SourceData.Fuel_Scope1Scope3EmissionFactorsStationaryLiquid_Data(), Table_Fuel_EFs_StationaryLiquid[[#Headers],[Fuel combusted]],0)</f>
        <v>18</v>
      </c>
      <c r="L64" s="161"/>
    </row>
    <row r="65" spans="4:13" ht="20.100000000000001" customHeight="1" x14ac:dyDescent="0.2">
      <c r="D65" s="210" t="str" cm="1">
        <f t="array" ref="D65">Common_InputFunctions.Utility_DisplayArrayInTable(Fuel_SourceData.Fuel_Scope1Scope3EmissionFactorsStationaryLiquid_Data(), Table_Fuel_EFs_StationaryLiquid[[#Headers],[Fuel combusted]],0)</f>
        <v>Liquefied aromatic hydrocarbons</v>
      </c>
      <c r="E65" s="210" cm="1">
        <f t="array" ref="E65">Common_InputFunctions.Utility_DisplayArrayInTable(Fuel_SourceData.Fuel_Scope1Scope3EmissionFactorsStationaryLiquid_Data(), Table_Fuel_EFs_StationaryLiquid[[#Headers],[Fuel combusted]],0)</f>
        <v>34.4</v>
      </c>
      <c r="F65" s="210" t="str" cm="1">
        <f t="array" ref="F65">Common_InputFunctions.Utility_DisplayArrayInTable(Fuel_SourceData.Fuel_Scope1Scope3EmissionFactorsStationaryLiquid_Data(), Table_Fuel_EFs_StationaryLiquid[[#Headers],[Fuel combusted]],0)</f>
        <v>kL</v>
      </c>
      <c r="G65" s="210" cm="1">
        <f t="array" ref="G65">Common_InputFunctions.Utility_DisplayArrayInTable(Fuel_SourceData.Fuel_Scope1Scope3EmissionFactorsStationaryLiquid_Data(), Table_Fuel_EFs_StationaryLiquid[[#Headers],[Fuel combusted]],0)</f>
        <v>69.7</v>
      </c>
      <c r="H65" s="210" cm="1">
        <f t="array" ref="H65">Common_InputFunctions.Utility_DisplayArrayInTable(Fuel_SourceData.Fuel_Scope1Scope3EmissionFactorsStationaryLiquid_Data(), Table_Fuel_EFs_StationaryLiquid[[#Headers],[Fuel combusted]],0)</f>
        <v>0.03</v>
      </c>
      <c r="I65" s="210" cm="1">
        <f t="array" ref="I65">Common_InputFunctions.Utility_DisplayArrayInTable(Fuel_SourceData.Fuel_Scope1Scope3EmissionFactorsStationaryLiquid_Data(), Table_Fuel_EFs_StationaryLiquid[[#Headers],[Fuel combusted]],0)</f>
        <v>0.2</v>
      </c>
      <c r="J65" s="210" cm="1">
        <f t="array" ref="J65">Common_InputFunctions.Utility_DisplayArrayInTable(Fuel_SourceData.Fuel_Scope1Scope3EmissionFactorsStationaryLiquid_Data(), Table_Fuel_EFs_StationaryLiquid[[#Headers],[Fuel combusted]],0)</f>
        <v>69.930000000000007</v>
      </c>
      <c r="K65" s="210" cm="1">
        <f t="array" ref="K65">Common_InputFunctions.Utility_DisplayArrayInTable(Fuel_SourceData.Fuel_Scope1Scope3EmissionFactorsStationaryLiquid_Data(), Table_Fuel_EFs_StationaryLiquid[[#Headers],[Fuel combusted]],0)</f>
        <v>18</v>
      </c>
      <c r="L65" s="161"/>
    </row>
    <row r="66" spans="4:13" ht="20.100000000000001" customHeight="1" x14ac:dyDescent="0.2">
      <c r="D66" s="210" t="str" cm="1">
        <f t="array" ref="D66">Common_InputFunctions.Utility_DisplayArrayInTable(Fuel_SourceData.Fuel_Scope1Scope3EmissionFactorsStationaryLiquid_Data(), Table_Fuel_EFs_StationaryLiquid[[#Headers],[Fuel combusted]],0)</f>
        <v>Solvents: mineral turpentine or white spirits</v>
      </c>
      <c r="E66" s="210" cm="1">
        <f t="array" ref="E66">Common_InputFunctions.Utility_DisplayArrayInTable(Fuel_SourceData.Fuel_Scope1Scope3EmissionFactorsStationaryLiquid_Data(), Table_Fuel_EFs_StationaryLiquid[[#Headers],[Fuel combusted]],0)</f>
        <v>34.4</v>
      </c>
      <c r="F66" s="210" t="str" cm="1">
        <f t="array" ref="F66">Common_InputFunctions.Utility_DisplayArrayInTable(Fuel_SourceData.Fuel_Scope1Scope3EmissionFactorsStationaryLiquid_Data(), Table_Fuel_EFs_StationaryLiquid[[#Headers],[Fuel combusted]],0)</f>
        <v>kL</v>
      </c>
      <c r="G66" s="210" cm="1">
        <f t="array" ref="G66">Common_InputFunctions.Utility_DisplayArrayInTable(Fuel_SourceData.Fuel_Scope1Scope3EmissionFactorsStationaryLiquid_Data(), Table_Fuel_EFs_StationaryLiquid[[#Headers],[Fuel combusted]],0)</f>
        <v>69.7</v>
      </c>
      <c r="H66" s="210" cm="1">
        <f t="array" ref="H66">Common_InputFunctions.Utility_DisplayArrayInTable(Fuel_SourceData.Fuel_Scope1Scope3EmissionFactorsStationaryLiquid_Data(), Table_Fuel_EFs_StationaryLiquid[[#Headers],[Fuel combusted]],0)</f>
        <v>0.03</v>
      </c>
      <c r="I66" s="210" cm="1">
        <f t="array" ref="I66">Common_InputFunctions.Utility_DisplayArrayInTable(Fuel_SourceData.Fuel_Scope1Scope3EmissionFactorsStationaryLiquid_Data(), Table_Fuel_EFs_StationaryLiquid[[#Headers],[Fuel combusted]],0)</f>
        <v>0.2</v>
      </c>
      <c r="J66" s="210" cm="1">
        <f t="array" ref="J66">Common_InputFunctions.Utility_DisplayArrayInTable(Fuel_SourceData.Fuel_Scope1Scope3EmissionFactorsStationaryLiquid_Data(), Table_Fuel_EFs_StationaryLiquid[[#Headers],[Fuel combusted]],0)</f>
        <v>69.930000000000007</v>
      </c>
      <c r="K66" s="210" cm="1">
        <f t="array" ref="K66">Common_InputFunctions.Utility_DisplayArrayInTable(Fuel_SourceData.Fuel_Scope1Scope3EmissionFactorsStationaryLiquid_Data(), Table_Fuel_EFs_StationaryLiquid[[#Headers],[Fuel combusted]],0)</f>
        <v>18</v>
      </c>
      <c r="L66" s="161"/>
    </row>
    <row r="67" spans="4:13" ht="20.100000000000001" customHeight="1" x14ac:dyDescent="0.2">
      <c r="D67" s="210" t="str" cm="1">
        <f t="array" ref="D67">Common_InputFunctions.Utility_DisplayArrayInTable(Fuel_SourceData.Fuel_Scope1Scope3EmissionFactorsStationaryLiquid_Data(), Table_Fuel_EFs_StationaryLiquid[[#Headers],[Fuel combusted]],0)</f>
        <v>Liquefied petroleum gas (LPG)</v>
      </c>
      <c r="E67" s="210" cm="1">
        <f t="array" ref="E67">Common_InputFunctions.Utility_DisplayArrayInTable(Fuel_SourceData.Fuel_Scope1Scope3EmissionFactorsStationaryLiquid_Data(), Table_Fuel_EFs_StationaryLiquid[[#Headers],[Fuel combusted]],0)</f>
        <v>25.7</v>
      </c>
      <c r="F67" s="210" t="str" cm="1">
        <f t="array" ref="F67">Common_InputFunctions.Utility_DisplayArrayInTable(Fuel_SourceData.Fuel_Scope1Scope3EmissionFactorsStationaryLiquid_Data(), Table_Fuel_EFs_StationaryLiquid[[#Headers],[Fuel combusted]],0)</f>
        <v>kL</v>
      </c>
      <c r="G67" s="210" cm="1">
        <f t="array" ref="G67">Common_InputFunctions.Utility_DisplayArrayInTable(Fuel_SourceData.Fuel_Scope1Scope3EmissionFactorsStationaryLiquid_Data(), Table_Fuel_EFs_StationaryLiquid[[#Headers],[Fuel combusted]],0)</f>
        <v>60.2</v>
      </c>
      <c r="H67" s="210" cm="1">
        <f t="array" ref="H67">Common_InputFunctions.Utility_DisplayArrayInTable(Fuel_SourceData.Fuel_Scope1Scope3EmissionFactorsStationaryLiquid_Data(), Table_Fuel_EFs_StationaryLiquid[[#Headers],[Fuel combusted]],0)</f>
        <v>0.2</v>
      </c>
      <c r="I67" s="210" cm="1">
        <f t="array" ref="I67">Common_InputFunctions.Utility_DisplayArrayInTable(Fuel_SourceData.Fuel_Scope1Scope3EmissionFactorsStationaryLiquid_Data(), Table_Fuel_EFs_StationaryLiquid[[#Headers],[Fuel combusted]],0)</f>
        <v>0.2</v>
      </c>
      <c r="J67" s="210" cm="1">
        <f t="array" ref="J67">Common_InputFunctions.Utility_DisplayArrayInTable(Fuel_SourceData.Fuel_Scope1Scope3EmissionFactorsStationaryLiquid_Data(), Table_Fuel_EFs_StationaryLiquid[[#Headers],[Fuel combusted]],0)</f>
        <v>60.6</v>
      </c>
      <c r="K67" s="210" cm="1">
        <f t="array" ref="K67">Common_InputFunctions.Utility_DisplayArrayInTable(Fuel_SourceData.Fuel_Scope1Scope3EmissionFactorsStationaryLiquid_Data(), Table_Fuel_EFs_StationaryLiquid[[#Headers],[Fuel combusted]],0)</f>
        <v>20.2</v>
      </c>
      <c r="L67" s="161"/>
    </row>
    <row r="68" spans="4:13" ht="20.100000000000001" customHeight="1" x14ac:dyDescent="0.2">
      <c r="D68" s="210" t="str" cm="1">
        <f t="array" ref="D68">Common_InputFunctions.Utility_DisplayArrayInTable(Fuel_SourceData.Fuel_Scope1Scope3EmissionFactorsStationaryLiquid_Data(), Table_Fuel_EFs_StationaryLiquid[[#Headers],[Fuel combusted]],0)</f>
        <v>Naphtha</v>
      </c>
      <c r="E68" s="210" cm="1">
        <f t="array" ref="E68">Common_InputFunctions.Utility_DisplayArrayInTable(Fuel_SourceData.Fuel_Scope1Scope3EmissionFactorsStationaryLiquid_Data(), Table_Fuel_EFs_StationaryLiquid[[#Headers],[Fuel combusted]],0)</f>
        <v>31.4</v>
      </c>
      <c r="F68" s="210" t="str" cm="1">
        <f t="array" ref="F68">Common_InputFunctions.Utility_DisplayArrayInTable(Fuel_SourceData.Fuel_Scope1Scope3EmissionFactorsStationaryLiquid_Data(), Table_Fuel_EFs_StationaryLiquid[[#Headers],[Fuel combusted]],0)</f>
        <v>kL</v>
      </c>
      <c r="G68" s="210" cm="1">
        <f t="array" ref="G68">Common_InputFunctions.Utility_DisplayArrayInTable(Fuel_SourceData.Fuel_Scope1Scope3EmissionFactorsStationaryLiquid_Data(), Table_Fuel_EFs_StationaryLiquid[[#Headers],[Fuel combusted]],0)</f>
        <v>69.8</v>
      </c>
      <c r="H68" s="210" cm="1">
        <f t="array" ref="H68">Common_InputFunctions.Utility_DisplayArrayInTable(Fuel_SourceData.Fuel_Scope1Scope3EmissionFactorsStationaryLiquid_Data(), Table_Fuel_EFs_StationaryLiquid[[#Headers],[Fuel combusted]],0)</f>
        <v>0.01</v>
      </c>
      <c r="I68" s="210" cm="1">
        <f t="array" ref="I68">Common_InputFunctions.Utility_DisplayArrayInTable(Fuel_SourceData.Fuel_Scope1Scope3EmissionFactorsStationaryLiquid_Data(), Table_Fuel_EFs_StationaryLiquid[[#Headers],[Fuel combusted]],0)</f>
        <v>0.01</v>
      </c>
      <c r="J68" s="210" cm="1">
        <f t="array" ref="J68">Common_InputFunctions.Utility_DisplayArrayInTable(Fuel_SourceData.Fuel_Scope1Scope3EmissionFactorsStationaryLiquid_Data(), Table_Fuel_EFs_StationaryLiquid[[#Headers],[Fuel combusted]],0)</f>
        <v>69.819999999999993</v>
      </c>
      <c r="K68" s="210" cm="1">
        <f t="array" ref="K68">Common_InputFunctions.Utility_DisplayArrayInTable(Fuel_SourceData.Fuel_Scope1Scope3EmissionFactorsStationaryLiquid_Data(), Table_Fuel_EFs_StationaryLiquid[[#Headers],[Fuel combusted]],0)</f>
        <v>18</v>
      </c>
      <c r="L68" s="161"/>
    </row>
    <row r="69" spans="4:13" ht="20.100000000000001" customHeight="1" x14ac:dyDescent="0.2">
      <c r="D69" s="210" t="str" cm="1">
        <f t="array" ref="D69">Common_InputFunctions.Utility_DisplayArrayInTable(Fuel_SourceData.Fuel_Scope1Scope3EmissionFactorsStationaryLiquid_Data(), Table_Fuel_EFs_StationaryLiquid[[#Headers],[Fuel combusted]],0)</f>
        <v>Petroleum coke</v>
      </c>
      <c r="E69" s="210" cm="1">
        <f t="array" ref="E69">Common_InputFunctions.Utility_DisplayArrayInTable(Fuel_SourceData.Fuel_Scope1Scope3EmissionFactorsStationaryLiquid_Data(), Table_Fuel_EFs_StationaryLiquid[[#Headers],[Fuel combusted]],0)</f>
        <v>34.200000000000003</v>
      </c>
      <c r="F69" s="210" t="str" cm="1">
        <f t="array" ref="F69">Common_InputFunctions.Utility_DisplayArrayInTable(Fuel_SourceData.Fuel_Scope1Scope3EmissionFactorsStationaryLiquid_Data(), Table_Fuel_EFs_StationaryLiquid[[#Headers],[Fuel combusted]],0)</f>
        <v>t</v>
      </c>
      <c r="G69" s="210" cm="1">
        <f t="array" ref="G69">Common_InputFunctions.Utility_DisplayArrayInTable(Fuel_SourceData.Fuel_Scope1Scope3EmissionFactorsStationaryLiquid_Data(), Table_Fuel_EFs_StationaryLiquid[[#Headers],[Fuel combusted]],0)</f>
        <v>92.6</v>
      </c>
      <c r="H69" s="210" cm="1">
        <f t="array" ref="H69">Common_InputFunctions.Utility_DisplayArrayInTable(Fuel_SourceData.Fuel_Scope1Scope3EmissionFactorsStationaryLiquid_Data(), Table_Fuel_EFs_StationaryLiquid[[#Headers],[Fuel combusted]],0)</f>
        <v>0.08</v>
      </c>
      <c r="I69" s="210" cm="1">
        <f t="array" ref="I69">Common_InputFunctions.Utility_DisplayArrayInTable(Fuel_SourceData.Fuel_Scope1Scope3EmissionFactorsStationaryLiquid_Data(), Table_Fuel_EFs_StationaryLiquid[[#Headers],[Fuel combusted]],0)</f>
        <v>0.2</v>
      </c>
      <c r="J69" s="210" cm="1">
        <f t="array" ref="J69">Common_InputFunctions.Utility_DisplayArrayInTable(Fuel_SourceData.Fuel_Scope1Scope3EmissionFactorsStationaryLiquid_Data(), Table_Fuel_EFs_StationaryLiquid[[#Headers],[Fuel combusted]],0)</f>
        <v>92.88</v>
      </c>
      <c r="K69" s="210" cm="1">
        <f t="array" ref="K69">Common_InputFunctions.Utility_DisplayArrayInTable(Fuel_SourceData.Fuel_Scope1Scope3EmissionFactorsStationaryLiquid_Data(), Table_Fuel_EFs_StationaryLiquid[[#Headers],[Fuel combusted]],0)</f>
        <v>18</v>
      </c>
      <c r="L69" s="161"/>
    </row>
    <row r="70" spans="4:13" ht="20.100000000000001" customHeight="1" x14ac:dyDescent="0.2">
      <c r="D70" s="210" t="str" cm="1">
        <f t="array" ref="D70">Common_InputFunctions.Utility_DisplayArrayInTable(Fuel_SourceData.Fuel_Scope1Scope3EmissionFactorsStationaryLiquid_Data(), Table_Fuel_EFs_StationaryLiquid[[#Headers],[Fuel combusted]],0)</f>
        <v>Refinery gas and liquids</v>
      </c>
      <c r="E70" s="210" cm="1">
        <f t="array" ref="E70">Common_InputFunctions.Utility_DisplayArrayInTable(Fuel_SourceData.Fuel_Scope1Scope3EmissionFactorsStationaryLiquid_Data(), Table_Fuel_EFs_StationaryLiquid[[#Headers],[Fuel combusted]],0)</f>
        <v>42.9</v>
      </c>
      <c r="F70" s="210" t="str" cm="1">
        <f t="array" ref="F70">Common_InputFunctions.Utility_DisplayArrayInTable(Fuel_SourceData.Fuel_Scope1Scope3EmissionFactorsStationaryLiquid_Data(), Table_Fuel_EFs_StationaryLiquid[[#Headers],[Fuel combusted]],0)</f>
        <v>t</v>
      </c>
      <c r="G70" s="210" cm="1">
        <f t="array" ref="G70">Common_InputFunctions.Utility_DisplayArrayInTable(Fuel_SourceData.Fuel_Scope1Scope3EmissionFactorsStationaryLiquid_Data(), Table_Fuel_EFs_StationaryLiquid[[#Headers],[Fuel combusted]],0)</f>
        <v>54.7</v>
      </c>
      <c r="H70" s="210" cm="1">
        <f t="array" ref="H70">Common_InputFunctions.Utility_DisplayArrayInTable(Fuel_SourceData.Fuel_Scope1Scope3EmissionFactorsStationaryLiquid_Data(), Table_Fuel_EFs_StationaryLiquid[[#Headers],[Fuel combusted]],0)</f>
        <v>0.03</v>
      </c>
      <c r="I70" s="210" cm="1">
        <f t="array" ref="I70">Common_InputFunctions.Utility_DisplayArrayInTable(Fuel_SourceData.Fuel_Scope1Scope3EmissionFactorsStationaryLiquid_Data(), Table_Fuel_EFs_StationaryLiquid[[#Headers],[Fuel combusted]],0)</f>
        <v>0.03</v>
      </c>
      <c r="J70" s="210" cm="1">
        <f t="array" ref="J70">Common_InputFunctions.Utility_DisplayArrayInTable(Fuel_SourceData.Fuel_Scope1Scope3EmissionFactorsStationaryLiquid_Data(), Table_Fuel_EFs_StationaryLiquid[[#Headers],[Fuel combusted]],0)</f>
        <v>54.76</v>
      </c>
      <c r="K70" s="210" cm="1">
        <f t="array" ref="K70">Common_InputFunctions.Utility_DisplayArrayInTable(Fuel_SourceData.Fuel_Scope1Scope3EmissionFactorsStationaryLiquid_Data(), Table_Fuel_EFs_StationaryLiquid[[#Headers],[Fuel combusted]],0)</f>
        <v>18</v>
      </c>
      <c r="L70" s="161"/>
    </row>
    <row r="71" spans="4:13" ht="20.100000000000001" customHeight="1" x14ac:dyDescent="0.2">
      <c r="D71" s="210" t="str" cm="1">
        <f t="array" ref="D71">Common_InputFunctions.Utility_DisplayArrayInTable(Fuel_SourceData.Fuel_Scope1Scope3EmissionFactorsStationaryLiquid_Data(), Table_Fuel_EFs_StationaryLiquid[[#Headers],[Fuel combusted]],0)</f>
        <v>Refinery coke</v>
      </c>
      <c r="E71" s="210" cm="1">
        <f t="array" ref="E71">Common_InputFunctions.Utility_DisplayArrayInTable(Fuel_SourceData.Fuel_Scope1Scope3EmissionFactorsStationaryLiquid_Data(), Table_Fuel_EFs_StationaryLiquid[[#Headers],[Fuel combusted]],0)</f>
        <v>34.200000000000003</v>
      </c>
      <c r="F71" s="210" t="str" cm="1">
        <f t="array" ref="F71">Common_InputFunctions.Utility_DisplayArrayInTable(Fuel_SourceData.Fuel_Scope1Scope3EmissionFactorsStationaryLiquid_Data(), Table_Fuel_EFs_StationaryLiquid[[#Headers],[Fuel combusted]],0)</f>
        <v>t</v>
      </c>
      <c r="G71" s="210" cm="1">
        <f t="array" ref="G71">Common_InputFunctions.Utility_DisplayArrayInTable(Fuel_SourceData.Fuel_Scope1Scope3EmissionFactorsStationaryLiquid_Data(), Table_Fuel_EFs_StationaryLiquid[[#Headers],[Fuel combusted]],0)</f>
        <v>92.6</v>
      </c>
      <c r="H71" s="210" cm="1">
        <f t="array" ref="H71">Common_InputFunctions.Utility_DisplayArrayInTable(Fuel_SourceData.Fuel_Scope1Scope3EmissionFactorsStationaryLiquid_Data(), Table_Fuel_EFs_StationaryLiquid[[#Headers],[Fuel combusted]],0)</f>
        <v>0.08</v>
      </c>
      <c r="I71" s="210" cm="1">
        <f t="array" ref="I71">Common_InputFunctions.Utility_DisplayArrayInTable(Fuel_SourceData.Fuel_Scope1Scope3EmissionFactorsStationaryLiquid_Data(), Table_Fuel_EFs_StationaryLiquid[[#Headers],[Fuel combusted]],0)</f>
        <v>0.2</v>
      </c>
      <c r="J71" s="210" cm="1">
        <f t="array" ref="J71">Common_InputFunctions.Utility_DisplayArrayInTable(Fuel_SourceData.Fuel_Scope1Scope3EmissionFactorsStationaryLiquid_Data(), Table_Fuel_EFs_StationaryLiquid[[#Headers],[Fuel combusted]],0)</f>
        <v>92.88</v>
      </c>
      <c r="K71" s="210" cm="1">
        <f t="array" ref="K71">Common_InputFunctions.Utility_DisplayArrayInTable(Fuel_SourceData.Fuel_Scope1Scope3EmissionFactorsStationaryLiquid_Data(), Table_Fuel_EFs_StationaryLiquid[[#Headers],[Fuel combusted]],0)</f>
        <v>18</v>
      </c>
      <c r="L71" s="161"/>
    </row>
    <row r="72" spans="4:13" ht="20.100000000000001" customHeight="1" x14ac:dyDescent="0.2">
      <c r="D72" s="210" t="str" cm="1">
        <f t="array" ref="D72">Common_InputFunctions.Utility_DisplayArrayInTable(Fuel_SourceData.Fuel_Scope1Scope3EmissionFactorsStationaryLiquid_Data(), Table_Fuel_EFs_StationaryLiquid[[#Headers],[Fuel combusted]],0)</f>
        <v>Petroleum based products other than mentioned in the items above</v>
      </c>
      <c r="E72" s="210" cm="1">
        <f t="array" ref="E72">Common_InputFunctions.Utility_DisplayArrayInTable(Fuel_SourceData.Fuel_Scope1Scope3EmissionFactorsStationaryLiquid_Data(), Table_Fuel_EFs_StationaryLiquid[[#Headers],[Fuel combusted]],0)</f>
        <v>34.4</v>
      </c>
      <c r="F72" s="210" t="str" cm="1">
        <f t="array" ref="F72">Common_InputFunctions.Utility_DisplayArrayInTable(Fuel_SourceData.Fuel_Scope1Scope3EmissionFactorsStationaryLiquid_Data(), Table_Fuel_EFs_StationaryLiquid[[#Headers],[Fuel combusted]],0)</f>
        <v>kL</v>
      </c>
      <c r="G72" s="210" cm="1">
        <f t="array" ref="G72">Common_InputFunctions.Utility_DisplayArrayInTable(Fuel_SourceData.Fuel_Scope1Scope3EmissionFactorsStationaryLiquid_Data(), Table_Fuel_EFs_StationaryLiquid[[#Headers],[Fuel combusted]],0)</f>
        <v>69.8</v>
      </c>
      <c r="H72" s="210" cm="1">
        <f t="array" ref="H72">Common_InputFunctions.Utility_DisplayArrayInTable(Fuel_SourceData.Fuel_Scope1Scope3EmissionFactorsStationaryLiquid_Data(), Table_Fuel_EFs_StationaryLiquid[[#Headers],[Fuel combusted]],0)</f>
        <v>0.02</v>
      </c>
      <c r="I72" s="210" cm="1">
        <f t="array" ref="I72">Common_InputFunctions.Utility_DisplayArrayInTable(Fuel_SourceData.Fuel_Scope1Scope3EmissionFactorsStationaryLiquid_Data(), Table_Fuel_EFs_StationaryLiquid[[#Headers],[Fuel combusted]],0)</f>
        <v>0.1</v>
      </c>
      <c r="J72" s="210" cm="1">
        <f t="array" ref="J72">Common_InputFunctions.Utility_DisplayArrayInTable(Fuel_SourceData.Fuel_Scope1Scope3EmissionFactorsStationaryLiquid_Data(), Table_Fuel_EFs_StationaryLiquid[[#Headers],[Fuel combusted]],0)</f>
        <v>69.92</v>
      </c>
      <c r="K72" s="210" cm="1">
        <f t="array" ref="K72">Common_InputFunctions.Utility_DisplayArrayInTable(Fuel_SourceData.Fuel_Scope1Scope3EmissionFactorsStationaryLiquid_Data(), Table_Fuel_EFs_StationaryLiquid[[#Headers],[Fuel combusted]],0)</f>
        <v>18</v>
      </c>
      <c r="L72" s="161"/>
    </row>
    <row r="73" spans="4:13" ht="20.100000000000001" customHeight="1" x14ac:dyDescent="0.2">
      <c r="D73" s="210" t="str" cm="1">
        <f t="array" ref="D73">Common_InputFunctions.Utility_DisplayArrayInTable(Fuel_SourceData.Fuel_Scope1Scope3EmissionFactorsStationaryLiquid_Data(), Table_Fuel_EFs_StationaryLiquid[[#Headers],[Fuel combusted]],0)</f>
        <v>Biodiesel</v>
      </c>
      <c r="E73" s="210" cm="1">
        <f t="array" ref="E73">Common_InputFunctions.Utility_DisplayArrayInTable(Fuel_SourceData.Fuel_Scope1Scope3EmissionFactorsStationaryLiquid_Data(), Table_Fuel_EFs_StationaryLiquid[[#Headers],[Fuel combusted]],0)</f>
        <v>34.6</v>
      </c>
      <c r="F73" s="210" t="str" cm="1">
        <f t="array" ref="F73">Common_InputFunctions.Utility_DisplayArrayInTable(Fuel_SourceData.Fuel_Scope1Scope3EmissionFactorsStationaryLiquid_Data(), Table_Fuel_EFs_StationaryLiquid[[#Headers],[Fuel combusted]],0)</f>
        <v>kL</v>
      </c>
      <c r="G73" s="210" cm="1">
        <f t="array" ref="G73">Common_InputFunctions.Utility_DisplayArrayInTable(Fuel_SourceData.Fuel_Scope1Scope3EmissionFactorsStationaryLiquid_Data(), Table_Fuel_EFs_StationaryLiquid[[#Headers],[Fuel combusted]],0)</f>
        <v>0</v>
      </c>
      <c r="H73" s="210" cm="1">
        <f t="array" ref="H73">Common_InputFunctions.Utility_DisplayArrayInTable(Fuel_SourceData.Fuel_Scope1Scope3EmissionFactorsStationaryLiquid_Data(), Table_Fuel_EFs_StationaryLiquid[[#Headers],[Fuel combusted]],0)</f>
        <v>0.08</v>
      </c>
      <c r="I73" s="210" cm="1">
        <f t="array" ref="I73">Common_InputFunctions.Utility_DisplayArrayInTable(Fuel_SourceData.Fuel_Scope1Scope3EmissionFactorsStationaryLiquid_Data(), Table_Fuel_EFs_StationaryLiquid[[#Headers],[Fuel combusted]],0)</f>
        <v>0.2</v>
      </c>
      <c r="J73" s="210" cm="1">
        <f t="array" ref="J73">Common_InputFunctions.Utility_DisplayArrayInTable(Fuel_SourceData.Fuel_Scope1Scope3EmissionFactorsStationaryLiquid_Data(), Table_Fuel_EFs_StationaryLiquid[[#Headers],[Fuel combusted]],0)</f>
        <v>0.28000000000000003</v>
      </c>
      <c r="K73" s="210" t="str" cm="1">
        <f t="array" ref="K73">Common_InputFunctions.Utility_DisplayArrayInTable(Fuel_SourceData.Fuel_Scope1Scope3EmissionFactorsStationaryLiquid_Data(), Table_Fuel_EFs_StationaryLiquid[[#Headers],[Fuel combusted]],0)</f>
        <v>NE</v>
      </c>
      <c r="L73" s="161"/>
    </row>
    <row r="74" spans="4:13" ht="20.100000000000001" customHeight="1" x14ac:dyDescent="0.2">
      <c r="D74" s="210" t="str" cm="1">
        <f t="array" ref="D74">Common_InputFunctions.Utility_DisplayArrayInTable(Fuel_SourceData.Fuel_Scope1Scope3EmissionFactorsStationaryLiquid_Data(), Table_Fuel_EFs_StationaryLiquid[[#Headers],[Fuel combusted]],0)</f>
        <v>Ethanol for use as a fuel in an internal combustion engine</v>
      </c>
      <c r="E74" s="210" cm="1">
        <f t="array" ref="E74">Common_InputFunctions.Utility_DisplayArrayInTable(Fuel_SourceData.Fuel_Scope1Scope3EmissionFactorsStationaryLiquid_Data(), Table_Fuel_EFs_StationaryLiquid[[#Headers],[Fuel combusted]],0)</f>
        <v>23.4</v>
      </c>
      <c r="F74" s="210" t="str" cm="1">
        <f t="array" ref="F74">Common_InputFunctions.Utility_DisplayArrayInTable(Fuel_SourceData.Fuel_Scope1Scope3EmissionFactorsStationaryLiquid_Data(), Table_Fuel_EFs_StationaryLiquid[[#Headers],[Fuel combusted]],0)</f>
        <v>kL</v>
      </c>
      <c r="G74" s="210" cm="1">
        <f t="array" ref="G74">Common_InputFunctions.Utility_DisplayArrayInTable(Fuel_SourceData.Fuel_Scope1Scope3EmissionFactorsStationaryLiquid_Data(), Table_Fuel_EFs_StationaryLiquid[[#Headers],[Fuel combusted]],0)</f>
        <v>0</v>
      </c>
      <c r="H74" s="210" cm="1">
        <f t="array" ref="H74">Common_InputFunctions.Utility_DisplayArrayInTable(Fuel_SourceData.Fuel_Scope1Scope3EmissionFactorsStationaryLiquid_Data(), Table_Fuel_EFs_StationaryLiquid[[#Headers],[Fuel combusted]],0)</f>
        <v>0.08</v>
      </c>
      <c r="I74" s="210" cm="1">
        <f t="array" ref="I74">Common_InputFunctions.Utility_DisplayArrayInTable(Fuel_SourceData.Fuel_Scope1Scope3EmissionFactorsStationaryLiquid_Data(), Table_Fuel_EFs_StationaryLiquid[[#Headers],[Fuel combusted]],0)</f>
        <v>0.2</v>
      </c>
      <c r="J74" s="210" cm="1">
        <f t="array" ref="J74">Common_InputFunctions.Utility_DisplayArrayInTable(Fuel_SourceData.Fuel_Scope1Scope3EmissionFactorsStationaryLiquid_Data(), Table_Fuel_EFs_StationaryLiquid[[#Headers],[Fuel combusted]],0)</f>
        <v>0.28000000000000003</v>
      </c>
      <c r="K74" s="210" t="str" cm="1">
        <f t="array" ref="K74">Common_InputFunctions.Utility_DisplayArrayInTable(Fuel_SourceData.Fuel_Scope1Scope3EmissionFactorsStationaryLiquid_Data(), Table_Fuel_EFs_StationaryLiquid[[#Headers],[Fuel combusted]],0)</f>
        <v>NE</v>
      </c>
      <c r="L74" s="161"/>
    </row>
    <row r="75" spans="4:13" ht="20.100000000000001" customHeight="1" x14ac:dyDescent="0.2">
      <c r="D75" s="210" t="str" cm="1">
        <f t="array" ref="D75">Common_InputFunctions.Utility_DisplayArrayInTable(Fuel_SourceData.Fuel_Scope1Scope3EmissionFactorsStationaryLiquid_Data(), Table_Fuel_EFs_StationaryLiquid[[#Headers],[Fuel combusted]],0)</f>
        <v>Biofuels other than those mentioned in the items above and below</v>
      </c>
      <c r="E75" s="210" cm="1">
        <f t="array" ref="E75">Common_InputFunctions.Utility_DisplayArrayInTable(Fuel_SourceData.Fuel_Scope1Scope3EmissionFactorsStationaryLiquid_Data(), Table_Fuel_EFs_StationaryLiquid[[#Headers],[Fuel combusted]],0)</f>
        <v>23.4</v>
      </c>
      <c r="F75" s="210" t="str" cm="1">
        <f t="array" ref="F75">Common_InputFunctions.Utility_DisplayArrayInTable(Fuel_SourceData.Fuel_Scope1Scope3EmissionFactorsStationaryLiquid_Data(), Table_Fuel_EFs_StationaryLiquid[[#Headers],[Fuel combusted]],0)</f>
        <v>kL</v>
      </c>
      <c r="G75" s="210" cm="1">
        <f t="array" ref="G75">Common_InputFunctions.Utility_DisplayArrayInTable(Fuel_SourceData.Fuel_Scope1Scope3EmissionFactorsStationaryLiquid_Data(), Table_Fuel_EFs_StationaryLiquid[[#Headers],[Fuel combusted]],0)</f>
        <v>0</v>
      </c>
      <c r="H75" s="210" cm="1">
        <f t="array" ref="H75">Common_InputFunctions.Utility_DisplayArrayInTable(Fuel_SourceData.Fuel_Scope1Scope3EmissionFactorsStationaryLiquid_Data(), Table_Fuel_EFs_StationaryLiquid[[#Headers],[Fuel combusted]],0)</f>
        <v>0.08</v>
      </c>
      <c r="I75" s="210" cm="1">
        <f t="array" ref="I75">Common_InputFunctions.Utility_DisplayArrayInTable(Fuel_SourceData.Fuel_Scope1Scope3EmissionFactorsStationaryLiquid_Data(), Table_Fuel_EFs_StationaryLiquid[[#Headers],[Fuel combusted]],0)</f>
        <v>0.2</v>
      </c>
      <c r="J75" s="210" cm="1">
        <f t="array" ref="J75">Common_InputFunctions.Utility_DisplayArrayInTable(Fuel_SourceData.Fuel_Scope1Scope3EmissionFactorsStationaryLiquid_Data(), Table_Fuel_EFs_StationaryLiquid[[#Headers],[Fuel combusted]],0)</f>
        <v>0.28000000000000003</v>
      </c>
      <c r="K75" s="210" t="str" cm="1">
        <f t="array" ref="K75">Common_InputFunctions.Utility_DisplayArrayInTable(Fuel_SourceData.Fuel_Scope1Scope3EmissionFactorsStationaryLiquid_Data(), Table_Fuel_EFs_StationaryLiquid[[#Headers],[Fuel combusted]],0)</f>
        <v>NE</v>
      </c>
      <c r="L75" s="161"/>
    </row>
    <row r="76" spans="4:13" ht="20.100000000000001" customHeight="1" x14ac:dyDescent="0.2">
      <c r="D76" s="210" t="str" cm="1">
        <f t="array" ref="D76">Common_InputFunctions.Utility_DisplayArrayInTable(Fuel_SourceData.Fuel_Scope1Scope3EmissionFactorsStationaryLiquid_Data(), Table_Fuel_EFs_StationaryLiquid[[#Headers],[Fuel combusted]],0)</f>
        <v>Renewable aviation kerosene</v>
      </c>
      <c r="E76" s="210" cm="1">
        <f t="array" ref="E76">Common_InputFunctions.Utility_DisplayArrayInTable(Fuel_SourceData.Fuel_Scope1Scope3EmissionFactorsStationaryLiquid_Data(), Table_Fuel_EFs_StationaryLiquid[[#Headers],[Fuel combusted]],0)</f>
        <v>36.799999999999997</v>
      </c>
      <c r="F76" s="210" t="str" cm="1">
        <f t="array" ref="F76">Common_InputFunctions.Utility_DisplayArrayInTable(Fuel_SourceData.Fuel_Scope1Scope3EmissionFactorsStationaryLiquid_Data(), Table_Fuel_EFs_StationaryLiquid[[#Headers],[Fuel combusted]],0)</f>
        <v>kL</v>
      </c>
      <c r="G76" s="210" cm="1">
        <f t="array" ref="G76">Common_InputFunctions.Utility_DisplayArrayInTable(Fuel_SourceData.Fuel_Scope1Scope3EmissionFactorsStationaryLiquid_Data(), Table_Fuel_EFs_StationaryLiquid[[#Headers],[Fuel combusted]],0)</f>
        <v>0</v>
      </c>
      <c r="H76" s="210" cm="1">
        <f t="array" ref="H76">Common_InputFunctions.Utility_DisplayArrayInTable(Fuel_SourceData.Fuel_Scope1Scope3EmissionFactorsStationaryLiquid_Data(), Table_Fuel_EFs_StationaryLiquid[[#Headers],[Fuel combusted]],0)</f>
        <v>0.02</v>
      </c>
      <c r="I76" s="210" cm="1">
        <f t="array" ref="I76">Common_InputFunctions.Utility_DisplayArrayInTable(Fuel_SourceData.Fuel_Scope1Scope3EmissionFactorsStationaryLiquid_Data(), Table_Fuel_EFs_StationaryLiquid[[#Headers],[Fuel combusted]],0)</f>
        <v>0.2</v>
      </c>
      <c r="J76" s="210" cm="1">
        <f t="array" ref="J76">Common_InputFunctions.Utility_DisplayArrayInTable(Fuel_SourceData.Fuel_Scope1Scope3EmissionFactorsStationaryLiquid_Data(), Table_Fuel_EFs_StationaryLiquid[[#Headers],[Fuel combusted]],0)</f>
        <v>0.22</v>
      </c>
      <c r="K76" s="210" t="str" cm="1">
        <f t="array" ref="K76">Common_InputFunctions.Utility_DisplayArrayInTable(Fuel_SourceData.Fuel_Scope1Scope3EmissionFactorsStationaryLiquid_Data(), Table_Fuel_EFs_StationaryLiquid[[#Headers],[Fuel combusted]],0)</f>
        <v>NE</v>
      </c>
      <c r="L76" s="161"/>
    </row>
    <row r="77" spans="4:13" ht="20.100000000000001" customHeight="1" x14ac:dyDescent="0.2">
      <c r="D77" s="210" t="str" cm="1">
        <f t="array" ref="D77">Common_InputFunctions.Utility_DisplayArrayInTable(Fuel_SourceData.Fuel_Scope1Scope3EmissionFactorsStationaryLiquid_Data(), Table_Fuel_EFs_StationaryLiquid[[#Headers],[Fuel combusted]],0)</f>
        <v>Renewable diesel</v>
      </c>
      <c r="E77" s="210" cm="1">
        <f t="array" ref="E77">Common_InputFunctions.Utility_DisplayArrayInTable(Fuel_SourceData.Fuel_Scope1Scope3EmissionFactorsStationaryLiquid_Data(), Table_Fuel_EFs_StationaryLiquid[[#Headers],[Fuel combusted]],0)</f>
        <v>38.6</v>
      </c>
      <c r="F77" s="210" t="str" cm="1">
        <f t="array" ref="F77">Common_InputFunctions.Utility_DisplayArrayInTable(Fuel_SourceData.Fuel_Scope1Scope3EmissionFactorsStationaryLiquid_Data(), Table_Fuel_EFs_StationaryLiquid[[#Headers],[Fuel combusted]],0)</f>
        <v>kL</v>
      </c>
      <c r="G77" s="210" cm="1">
        <f t="array" ref="G77">Common_InputFunctions.Utility_DisplayArrayInTable(Fuel_SourceData.Fuel_Scope1Scope3EmissionFactorsStationaryLiquid_Data(), Table_Fuel_EFs_StationaryLiquid[[#Headers],[Fuel combusted]],0)</f>
        <v>0</v>
      </c>
      <c r="H77" s="210" cm="1">
        <f t="array" ref="H77">Common_InputFunctions.Utility_DisplayArrayInTable(Fuel_SourceData.Fuel_Scope1Scope3EmissionFactorsStationaryLiquid_Data(), Table_Fuel_EFs_StationaryLiquid[[#Headers],[Fuel combusted]],0)</f>
        <v>0.1</v>
      </c>
      <c r="I77" s="210" cm="1">
        <f t="array" ref="I77">Common_InputFunctions.Utility_DisplayArrayInTable(Fuel_SourceData.Fuel_Scope1Scope3EmissionFactorsStationaryLiquid_Data(), Table_Fuel_EFs_StationaryLiquid[[#Headers],[Fuel combusted]],0)</f>
        <v>0.2</v>
      </c>
      <c r="J77" s="210" cm="1">
        <f t="array" ref="J77">Common_InputFunctions.Utility_DisplayArrayInTable(Fuel_SourceData.Fuel_Scope1Scope3EmissionFactorsStationaryLiquid_Data(), Table_Fuel_EFs_StationaryLiquid[[#Headers],[Fuel combusted]],0)</f>
        <v>0.3</v>
      </c>
      <c r="K77" s="210" t="str" cm="1">
        <f t="array" ref="K77">Common_InputFunctions.Utility_DisplayArrayInTable(Fuel_SourceData.Fuel_Scope1Scope3EmissionFactorsStationaryLiquid_Data(), Table_Fuel_EFs_StationaryLiquid[[#Headers],[Fuel combusted]],0)</f>
        <v>NE</v>
      </c>
      <c r="L77" s="161"/>
    </row>
    <row r="78" spans="4:13" ht="20.100000000000001" customHeight="1" x14ac:dyDescent="0.2">
      <c r="D78" s="161"/>
      <c r="E78" s="161"/>
      <c r="F78" s="161"/>
      <c r="G78" s="161"/>
      <c r="H78" s="161"/>
      <c r="I78" s="161"/>
      <c r="J78" s="161"/>
      <c r="K78" s="161"/>
      <c r="L78" s="161"/>
    </row>
    <row r="79" spans="4:13" ht="20.100000000000001" customHeight="1" x14ac:dyDescent="0.2">
      <c r="D79" s="161"/>
      <c r="E79" s="161"/>
      <c r="F79" s="161"/>
      <c r="G79" s="161"/>
      <c r="H79" s="161"/>
      <c r="I79" s="161"/>
      <c r="J79" s="161"/>
      <c r="K79" s="161"/>
      <c r="L79" s="161"/>
      <c r="M79" s="161"/>
    </row>
    <row r="80" spans="4:13" ht="20.100000000000001" customHeight="1" x14ac:dyDescent="0.2">
      <c r="D80" s="161"/>
      <c r="E80" s="161"/>
      <c r="F80" s="161"/>
      <c r="G80" s="161"/>
      <c r="H80" s="161"/>
      <c r="I80" s="161"/>
      <c r="J80" s="161"/>
      <c r="K80" s="161"/>
      <c r="L80" s="161"/>
      <c r="M80" s="161"/>
    </row>
    <row r="81" spans="1:12" ht="20.100000000000001" customHeight="1" x14ac:dyDescent="0.2">
      <c r="D81" s="2" t="str" cm="1">
        <f t="array" ref="D81">Fuel_SourceData.Fuel_Scope1EmissionFactorsStationaryGaseous_Title()</f>
        <v>Fuel scope 1 emission factors - Stationary gaseous fuels</v>
      </c>
      <c r="E81" s="161"/>
      <c r="F81" s="161"/>
      <c r="G81" s="161"/>
      <c r="H81" s="161"/>
      <c r="I81" s="161"/>
      <c r="J81" s="161"/>
      <c r="K81" s="161"/>
      <c r="L81" s="161"/>
    </row>
    <row r="82" spans="1:12" ht="20.100000000000001" customHeight="1" x14ac:dyDescent="0.2">
      <c r="D82" s="1" t="str" cm="1">
        <f t="array" ref="D82">Fuel_SourceData.Fuel_Scope1EmissionFactorsStationaryGaseous_Description()</f>
        <v xml:space="preserve">Direct (Scope 1) emission factors for the consumption of gaseous fuels including liquefied natural gas  </v>
      </c>
      <c r="E82" s="161"/>
      <c r="F82" s="161"/>
      <c r="G82" s="161"/>
      <c r="H82" s="161"/>
      <c r="I82" s="161"/>
      <c r="J82" s="161"/>
      <c r="K82" s="161"/>
      <c r="L82" s="161"/>
    </row>
    <row r="83" spans="1:12" ht="20.100000000000001" customHeight="1" x14ac:dyDescent="0.2">
      <c r="D83" s="17" t="str" cm="1">
        <f t="array" ref="D83">Fuel_SourceData.Fuel_Scope1EmissionFactorsStationaryGaseous_Source()</f>
        <v>Australian National Greenhouse Accounts Factors 2025 - Table 5</v>
      </c>
      <c r="E83" s="161"/>
      <c r="F83" s="161"/>
      <c r="G83" s="161"/>
      <c r="H83" s="161"/>
      <c r="I83" s="161"/>
      <c r="J83" s="161"/>
      <c r="K83" s="161"/>
      <c r="L83" s="161"/>
    </row>
    <row r="84" spans="1:12" ht="20.100000000000001" customHeight="1" x14ac:dyDescent="0.2">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1"/>
      <c r="F84" s="161"/>
      <c r="G84" s="161"/>
      <c r="H84" s="161"/>
      <c r="I84" s="161"/>
      <c r="J84" s="161"/>
      <c r="K84" s="161"/>
      <c r="L84" s="161"/>
    </row>
    <row r="85" spans="1:12" ht="20.100000000000001" customHeight="1" x14ac:dyDescent="0.2">
      <c r="D85" s="161"/>
      <c r="E85" s="161"/>
      <c r="F85" s="161"/>
      <c r="G85" s="161"/>
      <c r="H85" s="161"/>
      <c r="I85" s="161"/>
      <c r="J85" s="161"/>
      <c r="K85" s="161"/>
      <c r="L85" s="161"/>
    </row>
    <row r="86" spans="1:12" ht="20.100000000000001" customHeight="1" x14ac:dyDescent="0.2">
      <c r="D86" s="178" t="s">
        <v>632</v>
      </c>
      <c r="E86" s="209" t="s">
        <v>633</v>
      </c>
      <c r="F86" s="178" t="s">
        <v>634</v>
      </c>
      <c r="G86" s="209" t="s">
        <v>635</v>
      </c>
      <c r="H86" s="209" t="s">
        <v>636</v>
      </c>
      <c r="I86" s="209" t="s">
        <v>637</v>
      </c>
      <c r="J86" s="209" t="s">
        <v>638</v>
      </c>
      <c r="K86" s="161"/>
      <c r="L86" s="161"/>
    </row>
    <row r="87" spans="1:12" ht="20.100000000000001" customHeight="1" x14ac:dyDescent="0.2">
      <c r="D87" s="210" t="str" cm="1">
        <f t="array" ref="D87">Common_InputFunctions.Utility_DisplayArrayInTable(Fuel_SourceData.Fuel_Scope1EmissionFactorsStationaryGaseous_Data(), Table_Fuel_EFs_StationaryGaseous[[#Headers],[Fuel combusted]],0)</f>
        <v>Natural gas distributed in a pipeline</v>
      </c>
      <c r="E87" s="210" cm="1">
        <f t="array" ref="E87">Common_InputFunctions.Utility_DisplayArrayInTable(Fuel_SourceData.Fuel_Scope1EmissionFactorsStationaryGaseous_Data(), Table_Fuel_EFs_StationaryGaseous[[#Headers],[Fuel combusted]],0)</f>
        <v>3.9300000000000002E-2</v>
      </c>
      <c r="F87" s="210" t="str" cm="1">
        <f t="array" ref="F87">Common_InputFunctions.Utility_DisplayArrayInTable(Fuel_SourceData.Fuel_Scope1EmissionFactorsStationaryGaseous_Data(), Table_Fuel_EFs_StationaryGaseous[[#Headers],[Fuel combusted]],0)</f>
        <v>m3</v>
      </c>
      <c r="G87" s="210" cm="1">
        <f t="array" ref="G87">Common_InputFunctions.Utility_DisplayArrayInTable(Fuel_SourceData.Fuel_Scope1EmissionFactorsStationaryGaseous_Data(), Table_Fuel_EFs_StationaryGaseous[[#Headers],[Fuel combusted]],0)</f>
        <v>51.4</v>
      </c>
      <c r="H87" s="210" cm="1">
        <f t="array" ref="H87">Common_InputFunctions.Utility_DisplayArrayInTable(Fuel_SourceData.Fuel_Scope1EmissionFactorsStationaryGaseous_Data(), Table_Fuel_EFs_StationaryGaseous[[#Headers],[Fuel combusted]],0)</f>
        <v>0.1</v>
      </c>
      <c r="I87" s="210" cm="1">
        <f t="array" ref="I87">Common_InputFunctions.Utility_DisplayArrayInTable(Fuel_SourceData.Fuel_Scope1EmissionFactorsStationaryGaseous_Data(), Table_Fuel_EFs_StationaryGaseous[[#Headers],[Fuel combusted]],0)</f>
        <v>0.03</v>
      </c>
      <c r="J87" s="210" cm="1">
        <f t="array" ref="J87">Common_InputFunctions.Utility_DisplayArrayInTable(Fuel_SourceData.Fuel_Scope1EmissionFactorsStationaryGaseous_Data(), Table_Fuel_EFs_StationaryGaseous[[#Headers],[Fuel combusted]],0)</f>
        <v>51.53</v>
      </c>
      <c r="K87" s="161"/>
      <c r="L87" s="161"/>
    </row>
    <row r="88" spans="1:12" ht="20.100000000000001" customHeight="1" x14ac:dyDescent="0.2">
      <c r="A88" s="81" t="str">
        <f>HYPERLINK("#A1", "▲ Back to top")</f>
        <v>▲ Back to top</v>
      </c>
      <c r="D88" s="210" t="str" cm="1">
        <f t="array" ref="D88">Common_InputFunctions.Utility_DisplayArrayInTable(Fuel_SourceData.Fuel_Scope1EmissionFactorsStationaryGaseous_Data(), Table_Fuel_EFs_StationaryGaseous[[#Headers],[Fuel combusted]],0)</f>
        <v>Coal seam methane that is captured for combustion</v>
      </c>
      <c r="E88" s="210" cm="1">
        <f t="array" ref="E88">Common_InputFunctions.Utility_DisplayArrayInTable(Fuel_SourceData.Fuel_Scope1EmissionFactorsStationaryGaseous_Data(), Table_Fuel_EFs_StationaryGaseous[[#Headers],[Fuel combusted]],0)</f>
        <v>3.7699999999999997E-2</v>
      </c>
      <c r="F88" s="210" t="str" cm="1">
        <f t="array" ref="F88">Common_InputFunctions.Utility_DisplayArrayInTable(Fuel_SourceData.Fuel_Scope1EmissionFactorsStationaryGaseous_Data(), Table_Fuel_EFs_StationaryGaseous[[#Headers],[Fuel combusted]],0)</f>
        <v>m3</v>
      </c>
      <c r="G88" s="210" cm="1">
        <f t="array" ref="G88">Common_InputFunctions.Utility_DisplayArrayInTable(Fuel_SourceData.Fuel_Scope1EmissionFactorsStationaryGaseous_Data(), Table_Fuel_EFs_StationaryGaseous[[#Headers],[Fuel combusted]],0)</f>
        <v>51.4</v>
      </c>
      <c r="H88" s="210" cm="1">
        <f t="array" ref="H88">Common_InputFunctions.Utility_DisplayArrayInTable(Fuel_SourceData.Fuel_Scope1EmissionFactorsStationaryGaseous_Data(), Table_Fuel_EFs_StationaryGaseous[[#Headers],[Fuel combusted]],0)</f>
        <v>0.2</v>
      </c>
      <c r="I88" s="210" cm="1">
        <f t="array" ref="I88">Common_InputFunctions.Utility_DisplayArrayInTable(Fuel_SourceData.Fuel_Scope1EmissionFactorsStationaryGaseous_Data(), Table_Fuel_EFs_StationaryGaseous[[#Headers],[Fuel combusted]],0)</f>
        <v>0.03</v>
      </c>
      <c r="J88" s="210" cm="1">
        <f t="array" ref="J88">Common_InputFunctions.Utility_DisplayArrayInTable(Fuel_SourceData.Fuel_Scope1EmissionFactorsStationaryGaseous_Data(), Table_Fuel_EFs_StationaryGaseous[[#Headers],[Fuel combusted]],0)</f>
        <v>51.63</v>
      </c>
      <c r="K88" s="161"/>
      <c r="L88" s="161"/>
    </row>
    <row r="89" spans="1:12" ht="20.100000000000001" customHeight="1" x14ac:dyDescent="0.2">
      <c r="D89" s="210" t="str" cm="1">
        <f t="array" ref="D89">Common_InputFunctions.Utility_DisplayArrayInTable(Fuel_SourceData.Fuel_Scope1EmissionFactorsStationaryGaseous_Data(), Table_Fuel_EFs_StationaryGaseous[[#Headers],[Fuel combusted]],0)</f>
        <v>Coal mine waste gas that is captured for combustion</v>
      </c>
      <c r="E89" s="210" cm="1">
        <f t="array" ref="E89">Common_InputFunctions.Utility_DisplayArrayInTable(Fuel_SourceData.Fuel_Scope1EmissionFactorsStationaryGaseous_Data(), Table_Fuel_EFs_StationaryGaseous[[#Headers],[Fuel combusted]],0)</f>
        <v>3.7699999999999997E-2</v>
      </c>
      <c r="F89" s="210" t="str" cm="1">
        <f t="array" ref="F89">Common_InputFunctions.Utility_DisplayArrayInTable(Fuel_SourceData.Fuel_Scope1EmissionFactorsStationaryGaseous_Data(), Table_Fuel_EFs_StationaryGaseous[[#Headers],[Fuel combusted]],0)</f>
        <v>m3</v>
      </c>
      <c r="G89" s="210" cm="1">
        <f t="array" ref="G89">Common_InputFunctions.Utility_DisplayArrayInTable(Fuel_SourceData.Fuel_Scope1EmissionFactorsStationaryGaseous_Data(), Table_Fuel_EFs_StationaryGaseous[[#Headers],[Fuel combusted]],0)</f>
        <v>51.9</v>
      </c>
      <c r="H89" s="210" cm="1">
        <f t="array" ref="H89">Common_InputFunctions.Utility_DisplayArrayInTable(Fuel_SourceData.Fuel_Scope1EmissionFactorsStationaryGaseous_Data(), Table_Fuel_EFs_StationaryGaseous[[#Headers],[Fuel combusted]],0)</f>
        <v>4.5999999999999996</v>
      </c>
      <c r="I89" s="210" cm="1">
        <f t="array" ref="I89">Common_InputFunctions.Utility_DisplayArrayInTable(Fuel_SourceData.Fuel_Scope1EmissionFactorsStationaryGaseous_Data(), Table_Fuel_EFs_StationaryGaseous[[#Headers],[Fuel combusted]],0)</f>
        <v>0.3</v>
      </c>
      <c r="J89" s="210" cm="1">
        <f t="array" ref="J89">Common_InputFunctions.Utility_DisplayArrayInTable(Fuel_SourceData.Fuel_Scope1EmissionFactorsStationaryGaseous_Data(), Table_Fuel_EFs_StationaryGaseous[[#Headers],[Fuel combusted]],0)</f>
        <v>56.8</v>
      </c>
      <c r="K89" s="161"/>
      <c r="L89" s="161"/>
    </row>
    <row r="90" spans="1:12" ht="20.100000000000001" customHeight="1" x14ac:dyDescent="0.2">
      <c r="D90" s="210" t="str" cm="1">
        <f t="array" ref="D90">Common_InputFunctions.Utility_DisplayArrayInTable(Fuel_SourceData.Fuel_Scope1EmissionFactorsStationaryGaseous_Data(), Table_Fuel_EFs_StationaryGaseous[[#Headers],[Fuel combusted]],0)</f>
        <v>Compressed natural gas(reverting to standard conditions)</v>
      </c>
      <c r="E90" s="210" cm="1">
        <f t="array" ref="E90">Common_InputFunctions.Utility_DisplayArrayInTable(Fuel_SourceData.Fuel_Scope1EmissionFactorsStationaryGaseous_Data(), Table_Fuel_EFs_StationaryGaseous[[#Headers],[Fuel combusted]],0)</f>
        <v>3.9300000000000002E-2</v>
      </c>
      <c r="F90" s="210" t="str" cm="1">
        <f t="array" ref="F90">Common_InputFunctions.Utility_DisplayArrayInTable(Fuel_SourceData.Fuel_Scope1EmissionFactorsStationaryGaseous_Data(), Table_Fuel_EFs_StationaryGaseous[[#Headers],[Fuel combusted]],0)</f>
        <v>m3</v>
      </c>
      <c r="G90" s="210" cm="1">
        <f t="array" ref="G90">Common_InputFunctions.Utility_DisplayArrayInTable(Fuel_SourceData.Fuel_Scope1EmissionFactorsStationaryGaseous_Data(), Table_Fuel_EFs_StationaryGaseous[[#Headers],[Fuel combusted]],0)</f>
        <v>51.4</v>
      </c>
      <c r="H90" s="210" cm="1">
        <f t="array" ref="H90">Common_InputFunctions.Utility_DisplayArrayInTable(Fuel_SourceData.Fuel_Scope1EmissionFactorsStationaryGaseous_Data(), Table_Fuel_EFs_StationaryGaseous[[#Headers],[Fuel combusted]],0)</f>
        <v>0.1</v>
      </c>
      <c r="I90" s="210" cm="1">
        <f t="array" ref="I90">Common_InputFunctions.Utility_DisplayArrayInTable(Fuel_SourceData.Fuel_Scope1EmissionFactorsStationaryGaseous_Data(), Table_Fuel_EFs_StationaryGaseous[[#Headers],[Fuel combusted]],0)</f>
        <v>0.03</v>
      </c>
      <c r="J90" s="210" cm="1">
        <f t="array" ref="J90">Common_InputFunctions.Utility_DisplayArrayInTable(Fuel_SourceData.Fuel_Scope1EmissionFactorsStationaryGaseous_Data(), Table_Fuel_EFs_StationaryGaseous[[#Headers],[Fuel combusted]],0)</f>
        <v>51.53</v>
      </c>
      <c r="K90" s="161"/>
      <c r="L90" s="161"/>
    </row>
    <row r="91" spans="1:12" ht="20.100000000000001" customHeight="1" x14ac:dyDescent="0.2">
      <c r="D91" s="210" t="str" cm="1">
        <f t="array" ref="D91">Common_InputFunctions.Utility_DisplayArrayInTable(Fuel_SourceData.Fuel_Scope1EmissionFactorsStationaryGaseous_Data(), Table_Fuel_EFs_StationaryGaseous[[#Headers],[Fuel combusted]],0)</f>
        <v>Unprocessed natural gas</v>
      </c>
      <c r="E91" s="210" cm="1">
        <f t="array" ref="E91">Common_InputFunctions.Utility_DisplayArrayInTable(Fuel_SourceData.Fuel_Scope1EmissionFactorsStationaryGaseous_Data(), Table_Fuel_EFs_StationaryGaseous[[#Headers],[Fuel combusted]],0)</f>
        <v>3.9300000000000002E-2</v>
      </c>
      <c r="F91" s="210" t="str" cm="1">
        <f t="array" ref="F91">Common_InputFunctions.Utility_DisplayArrayInTable(Fuel_SourceData.Fuel_Scope1EmissionFactorsStationaryGaseous_Data(), Table_Fuel_EFs_StationaryGaseous[[#Headers],[Fuel combusted]],0)</f>
        <v>m3</v>
      </c>
      <c r="G91" s="210" cm="1">
        <f t="array" ref="G91">Common_InputFunctions.Utility_DisplayArrayInTable(Fuel_SourceData.Fuel_Scope1EmissionFactorsStationaryGaseous_Data(), Table_Fuel_EFs_StationaryGaseous[[#Headers],[Fuel combusted]],0)</f>
        <v>51.4</v>
      </c>
      <c r="H91" s="210" cm="1">
        <f t="array" ref="H91">Common_InputFunctions.Utility_DisplayArrayInTable(Fuel_SourceData.Fuel_Scope1EmissionFactorsStationaryGaseous_Data(), Table_Fuel_EFs_StationaryGaseous[[#Headers],[Fuel combusted]],0)</f>
        <v>0.1</v>
      </c>
      <c r="I91" s="210" cm="1">
        <f t="array" ref="I91">Common_InputFunctions.Utility_DisplayArrayInTable(Fuel_SourceData.Fuel_Scope1EmissionFactorsStationaryGaseous_Data(), Table_Fuel_EFs_StationaryGaseous[[#Headers],[Fuel combusted]],0)</f>
        <v>0.03</v>
      </c>
      <c r="J91" s="210" cm="1">
        <f t="array" ref="J91">Common_InputFunctions.Utility_DisplayArrayInTable(Fuel_SourceData.Fuel_Scope1EmissionFactorsStationaryGaseous_Data(), Table_Fuel_EFs_StationaryGaseous[[#Headers],[Fuel combusted]],0)</f>
        <v>51.53</v>
      </c>
      <c r="K91" s="161"/>
      <c r="L91" s="161"/>
    </row>
    <row r="92" spans="1:12" ht="20.100000000000001" customHeight="1" x14ac:dyDescent="0.2">
      <c r="D92" s="210" t="str" cm="1">
        <f t="array" ref="D92">Common_InputFunctions.Utility_DisplayArrayInTable(Fuel_SourceData.Fuel_Scope1EmissionFactorsStationaryGaseous_Data(), Table_Fuel_EFs_StationaryGaseous[[#Headers],[Fuel combusted]],0)</f>
        <v>Ethane</v>
      </c>
      <c r="E92" s="210" cm="1">
        <f t="array" ref="E92">Common_InputFunctions.Utility_DisplayArrayInTable(Fuel_SourceData.Fuel_Scope1EmissionFactorsStationaryGaseous_Data(), Table_Fuel_EFs_StationaryGaseous[[#Headers],[Fuel combusted]],0)</f>
        <v>6.2899999999999998E-2</v>
      </c>
      <c r="F92" s="210" t="str" cm="1">
        <f t="array" ref="F92">Common_InputFunctions.Utility_DisplayArrayInTable(Fuel_SourceData.Fuel_Scope1EmissionFactorsStationaryGaseous_Data(), Table_Fuel_EFs_StationaryGaseous[[#Headers],[Fuel combusted]],0)</f>
        <v>m3</v>
      </c>
      <c r="G92" s="210" cm="1">
        <f t="array" ref="G92">Common_InputFunctions.Utility_DisplayArrayInTable(Fuel_SourceData.Fuel_Scope1EmissionFactorsStationaryGaseous_Data(), Table_Fuel_EFs_StationaryGaseous[[#Headers],[Fuel combusted]],0)</f>
        <v>56.5</v>
      </c>
      <c r="H92" s="210" cm="1">
        <f t="array" ref="H92">Common_InputFunctions.Utility_DisplayArrayInTable(Fuel_SourceData.Fuel_Scope1EmissionFactorsStationaryGaseous_Data(), Table_Fuel_EFs_StationaryGaseous[[#Headers],[Fuel combusted]],0)</f>
        <v>0.03</v>
      </c>
      <c r="I92" s="210" cm="1">
        <f t="array" ref="I92">Common_InputFunctions.Utility_DisplayArrayInTable(Fuel_SourceData.Fuel_Scope1EmissionFactorsStationaryGaseous_Data(), Table_Fuel_EFs_StationaryGaseous[[#Headers],[Fuel combusted]],0)</f>
        <v>0.03</v>
      </c>
      <c r="J92" s="210" cm="1">
        <f t="array" ref="J92">Common_InputFunctions.Utility_DisplayArrayInTable(Fuel_SourceData.Fuel_Scope1EmissionFactorsStationaryGaseous_Data(), Table_Fuel_EFs_StationaryGaseous[[#Headers],[Fuel combusted]],0)</f>
        <v>56.56</v>
      </c>
      <c r="K92" s="161"/>
      <c r="L92" s="161"/>
    </row>
    <row r="93" spans="1:12" ht="20.100000000000001" customHeight="1" x14ac:dyDescent="0.2">
      <c r="D93" s="210" t="str" cm="1">
        <f t="array" ref="D93">Common_InputFunctions.Utility_DisplayArrayInTable(Fuel_SourceData.Fuel_Scope1EmissionFactorsStationaryGaseous_Data(), Table_Fuel_EFs_StationaryGaseous[[#Headers],[Fuel combusted]],0)</f>
        <v>Coke oven gas</v>
      </c>
      <c r="E93" s="210" cm="1">
        <f t="array" ref="E93">Common_InputFunctions.Utility_DisplayArrayInTable(Fuel_SourceData.Fuel_Scope1EmissionFactorsStationaryGaseous_Data(), Table_Fuel_EFs_StationaryGaseous[[#Headers],[Fuel combusted]],0)</f>
        <v>1.8100000000000002E-2</v>
      </c>
      <c r="F93" s="210" t="str" cm="1">
        <f t="array" ref="F93">Common_InputFunctions.Utility_DisplayArrayInTable(Fuel_SourceData.Fuel_Scope1EmissionFactorsStationaryGaseous_Data(), Table_Fuel_EFs_StationaryGaseous[[#Headers],[Fuel combusted]],0)</f>
        <v>m3</v>
      </c>
      <c r="G93" s="210" cm="1">
        <f t="array" ref="G93">Common_InputFunctions.Utility_DisplayArrayInTable(Fuel_SourceData.Fuel_Scope1EmissionFactorsStationaryGaseous_Data(), Table_Fuel_EFs_StationaryGaseous[[#Headers],[Fuel combusted]],0)</f>
        <v>37</v>
      </c>
      <c r="H93" s="210" cm="1">
        <f t="array" ref="H93">Common_InputFunctions.Utility_DisplayArrayInTable(Fuel_SourceData.Fuel_Scope1EmissionFactorsStationaryGaseous_Data(), Table_Fuel_EFs_StationaryGaseous[[#Headers],[Fuel combusted]],0)</f>
        <v>0.03</v>
      </c>
      <c r="I93" s="210" cm="1">
        <f t="array" ref="I93">Common_InputFunctions.Utility_DisplayArrayInTable(Fuel_SourceData.Fuel_Scope1EmissionFactorsStationaryGaseous_Data(), Table_Fuel_EFs_StationaryGaseous[[#Headers],[Fuel combusted]],0)</f>
        <v>0.05</v>
      </c>
      <c r="J93" s="210" cm="1">
        <f t="array" ref="J93">Common_InputFunctions.Utility_DisplayArrayInTable(Fuel_SourceData.Fuel_Scope1EmissionFactorsStationaryGaseous_Data(), Table_Fuel_EFs_StationaryGaseous[[#Headers],[Fuel combusted]],0)</f>
        <v>37.08</v>
      </c>
      <c r="K93" s="161"/>
      <c r="L93" s="161"/>
    </row>
    <row r="94" spans="1:12" ht="20.100000000000001" customHeight="1" x14ac:dyDescent="0.2">
      <c r="D94" s="210" t="str" cm="1">
        <f t="array" ref="D94">Common_InputFunctions.Utility_DisplayArrayInTable(Fuel_SourceData.Fuel_Scope1EmissionFactorsStationaryGaseous_Data(), Table_Fuel_EFs_StationaryGaseous[[#Headers],[Fuel combusted]],0)</f>
        <v>Blast furnace gas</v>
      </c>
      <c r="E94" s="210" cm="1">
        <f t="array" ref="E94">Common_InputFunctions.Utility_DisplayArrayInTable(Fuel_SourceData.Fuel_Scope1EmissionFactorsStationaryGaseous_Data(), Table_Fuel_EFs_StationaryGaseous[[#Headers],[Fuel combusted]],0)</f>
        <v>4.0000000000000001E-3</v>
      </c>
      <c r="F94" s="210" t="str" cm="1">
        <f t="array" ref="F94">Common_InputFunctions.Utility_DisplayArrayInTable(Fuel_SourceData.Fuel_Scope1EmissionFactorsStationaryGaseous_Data(), Table_Fuel_EFs_StationaryGaseous[[#Headers],[Fuel combusted]],0)</f>
        <v>m3</v>
      </c>
      <c r="G94" s="210" cm="1">
        <f t="array" ref="G94">Common_InputFunctions.Utility_DisplayArrayInTable(Fuel_SourceData.Fuel_Scope1EmissionFactorsStationaryGaseous_Data(), Table_Fuel_EFs_StationaryGaseous[[#Headers],[Fuel combusted]],0)</f>
        <v>234</v>
      </c>
      <c r="H94" s="210" cm="1">
        <f t="array" ref="H94">Common_InputFunctions.Utility_DisplayArrayInTable(Fuel_SourceData.Fuel_Scope1EmissionFactorsStationaryGaseous_Data(), Table_Fuel_EFs_StationaryGaseous[[#Headers],[Fuel combusted]],0)</f>
        <v>0.03</v>
      </c>
      <c r="I94" s="210" cm="1">
        <f t="array" ref="I94">Common_InputFunctions.Utility_DisplayArrayInTable(Fuel_SourceData.Fuel_Scope1EmissionFactorsStationaryGaseous_Data(), Table_Fuel_EFs_StationaryGaseous[[#Headers],[Fuel combusted]],0)</f>
        <v>0.02</v>
      </c>
      <c r="J94" s="210" cm="1">
        <f t="array" ref="J94">Common_InputFunctions.Utility_DisplayArrayInTable(Fuel_SourceData.Fuel_Scope1EmissionFactorsStationaryGaseous_Data(), Table_Fuel_EFs_StationaryGaseous[[#Headers],[Fuel combusted]],0)</f>
        <v>234.05</v>
      </c>
      <c r="K94" s="161"/>
      <c r="L94" s="161"/>
    </row>
    <row r="95" spans="1:12" ht="20.100000000000001" customHeight="1" x14ac:dyDescent="0.2">
      <c r="D95" s="210" t="str" cm="1">
        <f t="array" ref="D95">Common_InputFunctions.Utility_DisplayArrayInTable(Fuel_SourceData.Fuel_Scope1EmissionFactorsStationaryGaseous_Data(), Table_Fuel_EFs_StationaryGaseous[[#Headers],[Fuel combusted]],0)</f>
        <v>Town gas</v>
      </c>
      <c r="E95" s="210" cm="1">
        <f t="array" ref="E95">Common_InputFunctions.Utility_DisplayArrayInTable(Fuel_SourceData.Fuel_Scope1EmissionFactorsStationaryGaseous_Data(), Table_Fuel_EFs_StationaryGaseous[[#Headers],[Fuel combusted]],0)</f>
        <v>3.9E-2</v>
      </c>
      <c r="F95" s="210" t="str" cm="1">
        <f t="array" ref="F95">Common_InputFunctions.Utility_DisplayArrayInTable(Fuel_SourceData.Fuel_Scope1EmissionFactorsStationaryGaseous_Data(), Table_Fuel_EFs_StationaryGaseous[[#Headers],[Fuel combusted]],0)</f>
        <v>m3</v>
      </c>
      <c r="G95" s="210" cm="1">
        <f t="array" ref="G95">Common_InputFunctions.Utility_DisplayArrayInTable(Fuel_SourceData.Fuel_Scope1EmissionFactorsStationaryGaseous_Data(), Table_Fuel_EFs_StationaryGaseous[[#Headers],[Fuel combusted]],0)</f>
        <v>60.2</v>
      </c>
      <c r="H95" s="210" cm="1">
        <f t="array" ref="H95">Common_InputFunctions.Utility_DisplayArrayInTable(Fuel_SourceData.Fuel_Scope1EmissionFactorsStationaryGaseous_Data(), Table_Fuel_EFs_StationaryGaseous[[#Headers],[Fuel combusted]],0)</f>
        <v>0.04</v>
      </c>
      <c r="I95" s="210" cm="1">
        <f t="array" ref="I95">Common_InputFunctions.Utility_DisplayArrayInTable(Fuel_SourceData.Fuel_Scope1EmissionFactorsStationaryGaseous_Data(), Table_Fuel_EFs_StationaryGaseous[[#Headers],[Fuel combusted]],0)</f>
        <v>0.03</v>
      </c>
      <c r="J95" s="210" cm="1">
        <f t="array" ref="J95">Common_InputFunctions.Utility_DisplayArrayInTable(Fuel_SourceData.Fuel_Scope1EmissionFactorsStationaryGaseous_Data(), Table_Fuel_EFs_StationaryGaseous[[#Headers],[Fuel combusted]],0)</f>
        <v>60.27</v>
      </c>
      <c r="K95" s="161"/>
      <c r="L95" s="161"/>
    </row>
    <row r="96" spans="1:12" ht="20.100000000000001" customHeight="1" x14ac:dyDescent="0.2">
      <c r="D96" s="210" t="str" cm="1">
        <f t="array" ref="D96">Common_InputFunctions.Utility_DisplayArrayInTable(Fuel_SourceData.Fuel_Scope1EmissionFactorsStationaryGaseous_Data(), Table_Fuel_EFs_StationaryGaseous[[#Headers],[Fuel combusted]],0)</f>
        <v>Liquefied natural gas</v>
      </c>
      <c r="E96" s="210" cm="1">
        <f t="array" ref="E96">Common_InputFunctions.Utility_DisplayArrayInTable(Fuel_SourceData.Fuel_Scope1EmissionFactorsStationaryGaseous_Data(), Table_Fuel_EFs_StationaryGaseous[[#Headers],[Fuel combusted]],0)</f>
        <v>25.3</v>
      </c>
      <c r="F96" s="210" t="str" cm="1">
        <f t="array" ref="F96">Common_InputFunctions.Utility_DisplayArrayInTable(Fuel_SourceData.Fuel_Scope1EmissionFactorsStationaryGaseous_Data(), Table_Fuel_EFs_StationaryGaseous[[#Headers],[Fuel combusted]],0)</f>
        <v>kL</v>
      </c>
      <c r="G96" s="210" cm="1">
        <f t="array" ref="G96">Common_InputFunctions.Utility_DisplayArrayInTable(Fuel_SourceData.Fuel_Scope1EmissionFactorsStationaryGaseous_Data(), Table_Fuel_EFs_StationaryGaseous[[#Headers],[Fuel combusted]],0)</f>
        <v>51.4</v>
      </c>
      <c r="H96" s="210" cm="1">
        <f t="array" ref="H96">Common_InputFunctions.Utility_DisplayArrayInTable(Fuel_SourceData.Fuel_Scope1EmissionFactorsStationaryGaseous_Data(), Table_Fuel_EFs_StationaryGaseous[[#Headers],[Fuel combusted]],0)</f>
        <v>0.1</v>
      </c>
      <c r="I96" s="210" cm="1">
        <f t="array" ref="I96">Common_InputFunctions.Utility_DisplayArrayInTable(Fuel_SourceData.Fuel_Scope1EmissionFactorsStationaryGaseous_Data(), Table_Fuel_EFs_StationaryGaseous[[#Headers],[Fuel combusted]],0)</f>
        <v>0.03</v>
      </c>
      <c r="J96" s="210" cm="1">
        <f t="array" ref="J96">Common_InputFunctions.Utility_DisplayArrayInTable(Fuel_SourceData.Fuel_Scope1EmissionFactorsStationaryGaseous_Data(), Table_Fuel_EFs_StationaryGaseous[[#Headers],[Fuel combusted]],0)</f>
        <v>51.53</v>
      </c>
      <c r="K96" s="161"/>
      <c r="L96" s="161"/>
    </row>
    <row r="97" spans="4:13" ht="20.100000000000001" customHeight="1" x14ac:dyDescent="0.2">
      <c r="D97" s="210" t="str" cm="1">
        <f t="array" ref="D97">Common_InputFunctions.Utility_DisplayArrayInTable(Fuel_SourceData.Fuel_Scope1EmissionFactorsStationaryGaseous_Data(), Table_Fuel_EFs_StationaryGaseous[[#Headers],[Fuel combusted]],0)</f>
        <v>Gaseous fossil fuels other than those mentioned in the items above</v>
      </c>
      <c r="E97" s="210" cm="1">
        <f t="array" ref="E97">Common_InputFunctions.Utility_DisplayArrayInTable(Fuel_SourceData.Fuel_Scope1EmissionFactorsStationaryGaseous_Data(), Table_Fuel_EFs_StationaryGaseous[[#Headers],[Fuel combusted]],0)</f>
        <v>3.9E-2</v>
      </c>
      <c r="F97" s="210" t="str" cm="1">
        <f t="array" ref="F97">Common_InputFunctions.Utility_DisplayArrayInTable(Fuel_SourceData.Fuel_Scope1EmissionFactorsStationaryGaseous_Data(), Table_Fuel_EFs_StationaryGaseous[[#Headers],[Fuel combusted]],0)</f>
        <v>m3</v>
      </c>
      <c r="G97" s="210" cm="1">
        <f t="array" ref="G97">Common_InputFunctions.Utility_DisplayArrayInTable(Fuel_SourceData.Fuel_Scope1EmissionFactorsStationaryGaseous_Data(), Table_Fuel_EFs_StationaryGaseous[[#Headers],[Fuel combusted]],0)</f>
        <v>51.4</v>
      </c>
      <c r="H97" s="210" cm="1">
        <f t="array" ref="H97">Common_InputFunctions.Utility_DisplayArrayInTable(Fuel_SourceData.Fuel_Scope1EmissionFactorsStationaryGaseous_Data(), Table_Fuel_EFs_StationaryGaseous[[#Headers],[Fuel combusted]],0)</f>
        <v>0.1</v>
      </c>
      <c r="I97" s="210" cm="1">
        <f t="array" ref="I97">Common_InputFunctions.Utility_DisplayArrayInTable(Fuel_SourceData.Fuel_Scope1EmissionFactorsStationaryGaseous_Data(), Table_Fuel_EFs_StationaryGaseous[[#Headers],[Fuel combusted]],0)</f>
        <v>0.03</v>
      </c>
      <c r="J97" s="210" cm="1">
        <f t="array" ref="J97">Common_InputFunctions.Utility_DisplayArrayInTable(Fuel_SourceData.Fuel_Scope1EmissionFactorsStationaryGaseous_Data(), Table_Fuel_EFs_StationaryGaseous[[#Headers],[Fuel combusted]],0)</f>
        <v>51.53</v>
      </c>
      <c r="K97" s="161"/>
      <c r="L97" s="161"/>
    </row>
    <row r="98" spans="4:13" ht="20.100000000000001" customHeight="1" x14ac:dyDescent="0.2">
      <c r="D98" s="210" t="str" cm="1">
        <f t="array" ref="D98">Common_InputFunctions.Utility_DisplayArrayInTable(Fuel_SourceData.Fuel_Scope1EmissionFactorsStationaryGaseous_Data(), Table_Fuel_EFs_StationaryGaseous[[#Headers],[Fuel combusted]],0)</f>
        <v>Landfill biogas that is captured for combustion (methane only)</v>
      </c>
      <c r="E98" s="210" cm="1">
        <f t="array" ref="E98">Common_InputFunctions.Utility_DisplayArrayInTable(Fuel_SourceData.Fuel_Scope1EmissionFactorsStationaryGaseous_Data(), Table_Fuel_EFs_StationaryGaseous[[#Headers],[Fuel combusted]],0)</f>
        <v>3.7699999999999997E-2</v>
      </c>
      <c r="F98" s="210" t="str" cm="1">
        <f t="array" ref="F98">Common_InputFunctions.Utility_DisplayArrayInTable(Fuel_SourceData.Fuel_Scope1EmissionFactorsStationaryGaseous_Data(), Table_Fuel_EFs_StationaryGaseous[[#Headers],[Fuel combusted]],0)</f>
        <v>m3</v>
      </c>
      <c r="G98" s="210" cm="1">
        <f t="array" ref="G98">Common_InputFunctions.Utility_DisplayArrayInTable(Fuel_SourceData.Fuel_Scope1EmissionFactorsStationaryGaseous_Data(), Table_Fuel_EFs_StationaryGaseous[[#Headers],[Fuel combusted]],0)</f>
        <v>0</v>
      </c>
      <c r="H98" s="210" cm="1">
        <f t="array" ref="H98">Common_InputFunctions.Utility_DisplayArrayInTable(Fuel_SourceData.Fuel_Scope1EmissionFactorsStationaryGaseous_Data(), Table_Fuel_EFs_StationaryGaseous[[#Headers],[Fuel combusted]],0)</f>
        <v>6.4</v>
      </c>
      <c r="I98" s="210" cm="1">
        <f t="array" ref="I98">Common_InputFunctions.Utility_DisplayArrayInTable(Fuel_SourceData.Fuel_Scope1EmissionFactorsStationaryGaseous_Data(), Table_Fuel_EFs_StationaryGaseous[[#Headers],[Fuel combusted]],0)</f>
        <v>0.03</v>
      </c>
      <c r="J98" s="210" cm="1">
        <f t="array" ref="J98">Common_InputFunctions.Utility_DisplayArrayInTable(Fuel_SourceData.Fuel_Scope1EmissionFactorsStationaryGaseous_Data(), Table_Fuel_EFs_StationaryGaseous[[#Headers],[Fuel combusted]],0)</f>
        <v>6.43</v>
      </c>
      <c r="K98" s="161"/>
      <c r="L98" s="161"/>
    </row>
    <row r="99" spans="4:13" ht="20.100000000000001" customHeight="1" x14ac:dyDescent="0.2">
      <c r="D99" s="210" t="str" cm="1">
        <f t="array" ref="D99">Common_InputFunctions.Utility_DisplayArrayInTable(Fuel_SourceData.Fuel_Scope1EmissionFactorsStationaryGaseous_Data(), Table_Fuel_EFs_StationaryGaseous[[#Headers],[Fuel combusted]],0)</f>
        <v>Sludge biogas that is captured for combustion (methane only)</v>
      </c>
      <c r="E99" s="210" cm="1">
        <f t="array" ref="E99">Common_InputFunctions.Utility_DisplayArrayInTable(Fuel_SourceData.Fuel_Scope1EmissionFactorsStationaryGaseous_Data(), Table_Fuel_EFs_StationaryGaseous[[#Headers],[Fuel combusted]],0)</f>
        <v>3.7699999999999997E-2</v>
      </c>
      <c r="F99" s="210" t="str" cm="1">
        <f t="array" ref="F99">Common_InputFunctions.Utility_DisplayArrayInTable(Fuel_SourceData.Fuel_Scope1EmissionFactorsStationaryGaseous_Data(), Table_Fuel_EFs_StationaryGaseous[[#Headers],[Fuel combusted]],0)</f>
        <v>m3</v>
      </c>
      <c r="G99" s="210" cm="1">
        <f t="array" ref="G99">Common_InputFunctions.Utility_DisplayArrayInTable(Fuel_SourceData.Fuel_Scope1EmissionFactorsStationaryGaseous_Data(), Table_Fuel_EFs_StationaryGaseous[[#Headers],[Fuel combusted]],0)</f>
        <v>0</v>
      </c>
      <c r="H99" s="210" cm="1">
        <f t="array" ref="H99">Common_InputFunctions.Utility_DisplayArrayInTable(Fuel_SourceData.Fuel_Scope1EmissionFactorsStationaryGaseous_Data(), Table_Fuel_EFs_StationaryGaseous[[#Headers],[Fuel combusted]],0)</f>
        <v>6.4</v>
      </c>
      <c r="I99" s="210" cm="1">
        <f t="array" ref="I99">Common_InputFunctions.Utility_DisplayArrayInTable(Fuel_SourceData.Fuel_Scope1EmissionFactorsStationaryGaseous_Data(), Table_Fuel_EFs_StationaryGaseous[[#Headers],[Fuel combusted]],0)</f>
        <v>0.03</v>
      </c>
      <c r="J99" s="210" cm="1">
        <f t="array" ref="J99">Common_InputFunctions.Utility_DisplayArrayInTable(Fuel_SourceData.Fuel_Scope1EmissionFactorsStationaryGaseous_Data(), Table_Fuel_EFs_StationaryGaseous[[#Headers],[Fuel combusted]],0)</f>
        <v>6.43</v>
      </c>
      <c r="K99" s="161"/>
      <c r="L99" s="161"/>
    </row>
    <row r="100" spans="4:13" ht="20.100000000000001" customHeight="1" x14ac:dyDescent="0.2">
      <c r="D100" s="210"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10" cm="1">
        <f t="array" ref="E100">Common_InputFunctions.Utility_DisplayArrayInTable(Fuel_SourceData.Fuel_Scope1EmissionFactorsStationaryGaseous_Data(), Table_Fuel_EFs_StationaryGaseous[[#Headers],[Fuel combusted]],0)</f>
        <v>3.6999999999999998E-2</v>
      </c>
      <c r="F100" s="210" t="str" cm="1">
        <f t="array" ref="F100">Common_InputFunctions.Utility_DisplayArrayInTable(Fuel_SourceData.Fuel_Scope1EmissionFactorsStationaryGaseous_Data(), Table_Fuel_EFs_StationaryGaseous[[#Headers],[Fuel combusted]],0)</f>
        <v>m3</v>
      </c>
      <c r="G100" s="210" cm="1">
        <f t="array" ref="G100">Common_InputFunctions.Utility_DisplayArrayInTable(Fuel_SourceData.Fuel_Scope1EmissionFactorsStationaryGaseous_Data(), Table_Fuel_EFs_StationaryGaseous[[#Headers],[Fuel combusted]],0)</f>
        <v>0</v>
      </c>
      <c r="H100" s="210" cm="1">
        <f t="array" ref="H100">Common_InputFunctions.Utility_DisplayArrayInTable(Fuel_SourceData.Fuel_Scope1EmissionFactorsStationaryGaseous_Data(), Table_Fuel_EFs_StationaryGaseous[[#Headers],[Fuel combusted]],0)</f>
        <v>6.4</v>
      </c>
      <c r="I100" s="210" cm="1">
        <f t="array" ref="I100">Common_InputFunctions.Utility_DisplayArrayInTable(Fuel_SourceData.Fuel_Scope1EmissionFactorsStationaryGaseous_Data(), Table_Fuel_EFs_StationaryGaseous[[#Headers],[Fuel combusted]],0)</f>
        <v>0.03</v>
      </c>
      <c r="J100" s="210" cm="1">
        <f t="array" ref="J100">Common_InputFunctions.Utility_DisplayArrayInTable(Fuel_SourceData.Fuel_Scope1EmissionFactorsStationaryGaseous_Data(), Table_Fuel_EFs_StationaryGaseous[[#Headers],[Fuel combusted]],0)</f>
        <v>6.43</v>
      </c>
      <c r="K100" s="161"/>
      <c r="L100" s="161"/>
    </row>
    <row r="101" spans="4:13" ht="20.100000000000001" customHeight="1" x14ac:dyDescent="0.2">
      <c r="D101" s="210" t="str" cm="1">
        <f t="array" ref="D101">Common_InputFunctions.Utility_DisplayArrayInTable(Fuel_SourceData.Fuel_Scope1EmissionFactorsStationaryGaseous_Data(), Table_Fuel_EFs_StationaryGaseous[[#Headers],[Fuel combusted]],0)</f>
        <v>Biomethane</v>
      </c>
      <c r="E101" s="210" cm="1">
        <f t="array" ref="E101">Common_InputFunctions.Utility_DisplayArrayInTable(Fuel_SourceData.Fuel_Scope1EmissionFactorsStationaryGaseous_Data(), Table_Fuel_EFs_StationaryGaseous[[#Headers],[Fuel combusted]],0)</f>
        <v>3.9300000000000002E-2</v>
      </c>
      <c r="F101" s="210" t="str" cm="1">
        <f t="array" ref="F101">Common_InputFunctions.Utility_DisplayArrayInTable(Fuel_SourceData.Fuel_Scope1EmissionFactorsStationaryGaseous_Data(), Table_Fuel_EFs_StationaryGaseous[[#Headers],[Fuel combusted]],0)</f>
        <v>m3</v>
      </c>
      <c r="G101" s="210" cm="1">
        <f t="array" ref="G101">Common_InputFunctions.Utility_DisplayArrayInTable(Fuel_SourceData.Fuel_Scope1EmissionFactorsStationaryGaseous_Data(), Table_Fuel_EFs_StationaryGaseous[[#Headers],[Fuel combusted]],0)</f>
        <v>0</v>
      </c>
      <c r="H101" s="210" cm="1">
        <f t="array" ref="H101">Common_InputFunctions.Utility_DisplayArrayInTable(Fuel_SourceData.Fuel_Scope1EmissionFactorsStationaryGaseous_Data(), Table_Fuel_EFs_StationaryGaseous[[#Headers],[Fuel combusted]],0)</f>
        <v>0.1</v>
      </c>
      <c r="I101" s="210" cm="1">
        <f t="array" ref="I101">Common_InputFunctions.Utility_DisplayArrayInTable(Fuel_SourceData.Fuel_Scope1EmissionFactorsStationaryGaseous_Data(), Table_Fuel_EFs_StationaryGaseous[[#Headers],[Fuel combusted]],0)</f>
        <v>0.03</v>
      </c>
      <c r="J101" s="210" cm="1">
        <f t="array" ref="J101">Common_InputFunctions.Utility_DisplayArrayInTable(Fuel_SourceData.Fuel_Scope1EmissionFactorsStationaryGaseous_Data(), Table_Fuel_EFs_StationaryGaseous[[#Headers],[Fuel combusted]],0)</f>
        <v>0.13</v>
      </c>
      <c r="K101" s="161"/>
      <c r="L101" s="161"/>
    </row>
    <row r="102" spans="4:13" ht="20.100000000000001" customHeight="1" x14ac:dyDescent="0.2">
      <c r="D102" s="210" t="str" cm="1">
        <f t="array" ref="D102">Common_InputFunctions.Utility_DisplayArrayInTable(Fuel_SourceData.Fuel_Scope1EmissionFactorsStationaryGaseous_Data(), Table_Fuel_EFs_StationaryGaseous[[#Headers],[Fuel combusted]],0)</f>
        <v>Hydrogen</v>
      </c>
      <c r="E102" s="210" cm="1">
        <f t="array" ref="E102">Common_InputFunctions.Utility_DisplayArrayInTable(Fuel_SourceData.Fuel_Scope1EmissionFactorsStationaryGaseous_Data(), Table_Fuel_EFs_StationaryGaseous[[#Headers],[Fuel combusted]],0)</f>
        <v>1.2200000000000001E-2</v>
      </c>
      <c r="F102" s="210" t="str" cm="1">
        <f t="array" ref="F102">Common_InputFunctions.Utility_DisplayArrayInTable(Fuel_SourceData.Fuel_Scope1EmissionFactorsStationaryGaseous_Data(), Table_Fuel_EFs_StationaryGaseous[[#Headers],[Fuel combusted]],0)</f>
        <v>m3</v>
      </c>
      <c r="G102" s="210" cm="1">
        <f t="array" ref="G102">Common_InputFunctions.Utility_DisplayArrayInTable(Fuel_SourceData.Fuel_Scope1EmissionFactorsStationaryGaseous_Data(), Table_Fuel_EFs_StationaryGaseous[[#Headers],[Fuel combusted]],0)</f>
        <v>0</v>
      </c>
      <c r="H102" s="210" cm="1">
        <f t="array" ref="H102">Common_InputFunctions.Utility_DisplayArrayInTable(Fuel_SourceData.Fuel_Scope1EmissionFactorsStationaryGaseous_Data(), Table_Fuel_EFs_StationaryGaseous[[#Headers],[Fuel combusted]],0)</f>
        <v>0</v>
      </c>
      <c r="I102" s="210" cm="1">
        <f t="array" ref="I102">Common_InputFunctions.Utility_DisplayArrayInTable(Fuel_SourceData.Fuel_Scope1EmissionFactorsStationaryGaseous_Data(), Table_Fuel_EFs_StationaryGaseous[[#Headers],[Fuel combusted]],0)</f>
        <v>0.5</v>
      </c>
      <c r="J102" s="210" cm="1">
        <f t="array" ref="J102">Common_InputFunctions.Utility_DisplayArrayInTable(Fuel_SourceData.Fuel_Scope1EmissionFactorsStationaryGaseous_Data(), Table_Fuel_EFs_StationaryGaseous[[#Headers],[Fuel combusted]],0)</f>
        <v>0.5</v>
      </c>
      <c r="K102" s="161"/>
      <c r="L102" s="161"/>
    </row>
    <row r="103" spans="4:13" ht="20.100000000000001" customHeight="1" x14ac:dyDescent="0.2">
      <c r="D103" s="210" t="str" cm="1">
        <f t="array" ref="D103">Common_InputFunctions.Utility_DisplayArrayInTable(Fuel_SourceData.Fuel_Scope1EmissionFactorsStationaryGaseous_Data(), Table_Fuel_EFs_StationaryGaseous[[#Headers],[Fuel combusted]],0)</f>
        <v>Natural gas distributed in a pipeline - Gigajoules</v>
      </c>
      <c r="E103" s="210" cm="1">
        <f t="array" ref="E103">Common_InputFunctions.Utility_DisplayArrayInTable(Fuel_SourceData.Fuel_Scope1EmissionFactorsStationaryGaseous_Data(), Table_Fuel_EFs_StationaryGaseous[[#Headers],[Fuel combusted]],0)</f>
        <v>1</v>
      </c>
      <c r="F103" s="210" t="str" cm="1">
        <f t="array" ref="F103">Common_InputFunctions.Utility_DisplayArrayInTable(Fuel_SourceData.Fuel_Scope1EmissionFactorsStationaryGaseous_Data(), Table_Fuel_EFs_StationaryGaseous[[#Headers],[Fuel combusted]],0)</f>
        <v>GJ</v>
      </c>
      <c r="G103" s="210" cm="1">
        <f t="array" ref="G103">Common_InputFunctions.Utility_DisplayArrayInTable(Fuel_SourceData.Fuel_Scope1EmissionFactorsStationaryGaseous_Data(), Table_Fuel_EFs_StationaryGaseous[[#Headers],[Fuel combusted]],0)</f>
        <v>51.4</v>
      </c>
      <c r="H103" s="210" cm="1">
        <f t="array" ref="H103">Common_InputFunctions.Utility_DisplayArrayInTable(Fuel_SourceData.Fuel_Scope1EmissionFactorsStationaryGaseous_Data(), Table_Fuel_EFs_StationaryGaseous[[#Headers],[Fuel combusted]],0)</f>
        <v>0.1</v>
      </c>
      <c r="I103" s="210" cm="1">
        <f t="array" ref="I103">Common_InputFunctions.Utility_DisplayArrayInTable(Fuel_SourceData.Fuel_Scope1EmissionFactorsStationaryGaseous_Data(), Table_Fuel_EFs_StationaryGaseous[[#Headers],[Fuel combusted]],0)</f>
        <v>0.03</v>
      </c>
      <c r="J103" s="210" cm="1">
        <f t="array" ref="J103">Common_InputFunctions.Utility_DisplayArrayInTable(Fuel_SourceData.Fuel_Scope1EmissionFactorsStationaryGaseous_Data(), Table_Fuel_EFs_StationaryGaseous[[#Headers],[Fuel combusted]],0)</f>
        <v>51.53</v>
      </c>
      <c r="K103" s="161"/>
      <c r="L103" s="161"/>
    </row>
    <row r="104" spans="4:13" ht="20.100000000000001" customHeight="1" x14ac:dyDescent="0.2">
      <c r="D104" s="210" t="str" cm="1">
        <f t="array" ref="D104">Common_InputFunctions.Utility_DisplayArrayInTable(Fuel_SourceData.Fuel_Scope1EmissionFactorsStationaryGaseous_Data(), Table_Fuel_EFs_StationaryGaseous[[#Headers],[Fuel combusted]],0)</f>
        <v>Town gas - Gigajoules</v>
      </c>
      <c r="E104" s="210" cm="1">
        <f t="array" ref="E104">Common_InputFunctions.Utility_DisplayArrayInTable(Fuel_SourceData.Fuel_Scope1EmissionFactorsStationaryGaseous_Data(), Table_Fuel_EFs_StationaryGaseous[[#Headers],[Fuel combusted]],0)</f>
        <v>1</v>
      </c>
      <c r="F104" s="210" t="str" cm="1">
        <f t="array" ref="F104">Common_InputFunctions.Utility_DisplayArrayInTable(Fuel_SourceData.Fuel_Scope1EmissionFactorsStationaryGaseous_Data(), Table_Fuel_EFs_StationaryGaseous[[#Headers],[Fuel combusted]],0)</f>
        <v>GJ</v>
      </c>
      <c r="G104" s="210" cm="1">
        <f t="array" ref="G104">Common_InputFunctions.Utility_DisplayArrayInTable(Fuel_SourceData.Fuel_Scope1EmissionFactorsStationaryGaseous_Data(), Table_Fuel_EFs_StationaryGaseous[[#Headers],[Fuel combusted]],0)</f>
        <v>60.2</v>
      </c>
      <c r="H104" s="210" cm="1">
        <f t="array" ref="H104">Common_InputFunctions.Utility_DisplayArrayInTable(Fuel_SourceData.Fuel_Scope1EmissionFactorsStationaryGaseous_Data(), Table_Fuel_EFs_StationaryGaseous[[#Headers],[Fuel combusted]],0)</f>
        <v>0.04</v>
      </c>
      <c r="I104" s="210" cm="1">
        <f t="array" ref="I104">Common_InputFunctions.Utility_DisplayArrayInTable(Fuel_SourceData.Fuel_Scope1EmissionFactorsStationaryGaseous_Data(), Table_Fuel_EFs_StationaryGaseous[[#Headers],[Fuel combusted]],0)</f>
        <v>0.03</v>
      </c>
      <c r="J104" s="210" cm="1">
        <f t="array" ref="J104">Common_InputFunctions.Utility_DisplayArrayInTable(Fuel_SourceData.Fuel_Scope1EmissionFactorsStationaryGaseous_Data(), Table_Fuel_EFs_StationaryGaseous[[#Headers],[Fuel combusted]],0)</f>
        <v>60.27</v>
      </c>
      <c r="K104" s="161"/>
      <c r="L104" s="161"/>
    </row>
    <row r="105" spans="4:13" ht="20.100000000000001" customHeight="1" x14ac:dyDescent="0.2">
      <c r="D105" s="161"/>
      <c r="E105" s="161"/>
      <c r="F105" s="161"/>
      <c r="G105" s="161"/>
      <c r="H105" s="161"/>
      <c r="I105" s="161"/>
      <c r="J105" s="161"/>
      <c r="K105" s="161"/>
      <c r="L105" s="161"/>
      <c r="M105" s="161"/>
    </row>
    <row r="106" spans="4:13" ht="20.100000000000001" customHeight="1" x14ac:dyDescent="0.2">
      <c r="D106" s="161"/>
      <c r="E106" s="161"/>
      <c r="F106" s="161"/>
      <c r="G106" s="161"/>
      <c r="H106" s="161"/>
      <c r="I106" s="161"/>
      <c r="J106" s="161"/>
      <c r="K106" s="161"/>
      <c r="L106" s="161"/>
      <c r="M106" s="161"/>
    </row>
    <row r="107" spans="4:13" ht="20.100000000000001" customHeight="1" x14ac:dyDescent="0.2">
      <c r="D107" s="2" t="str" cm="1">
        <f t="array" ref="D107">Fuel_SourceData.Fuel_Scope3EmissionFactorsStationaryGaseous_Title()</f>
        <v>Fuel scope 3 emission factors - Stationary gaseous fuels</v>
      </c>
      <c r="E107" s="161"/>
      <c r="F107" s="161"/>
      <c r="G107" s="161"/>
      <c r="H107" s="161"/>
      <c r="I107" s="161"/>
      <c r="J107" s="161"/>
      <c r="K107" s="161"/>
      <c r="L107" s="161"/>
    </row>
    <row r="108" spans="4:13" ht="20.100000000000001" customHeight="1" x14ac:dyDescent="0.2">
      <c r="D108" s="1" t="str" cm="1">
        <f t="array" ref="D108">Fuel_SourceData.Fuel_Scope3EmissionFactorsStationaryGaseous_Description()</f>
        <v>Indirect (Scope 3) emission factors for the consumption of natural gas.</v>
      </c>
      <c r="E108" s="161"/>
      <c r="F108" s="161"/>
      <c r="G108" s="161"/>
      <c r="H108" s="161"/>
      <c r="I108" s="161"/>
      <c r="J108" s="161"/>
      <c r="K108" s="161"/>
      <c r="L108" s="161"/>
    </row>
    <row r="109" spans="4:13" ht="20.100000000000001" customHeight="1" x14ac:dyDescent="0.2">
      <c r="D109" s="17" t="str" cm="1">
        <f t="array" ref="D109">Fuel_SourceData.Fuel_Scope3EmissionFactorsStationaryGaseous_Source()</f>
        <v>Australian National Greenhouse Accounts Factors 2025 - Table 6</v>
      </c>
      <c r="E109" s="161"/>
      <c r="F109" s="161"/>
      <c r="G109" s="161"/>
      <c r="H109" s="161"/>
      <c r="I109" s="161"/>
      <c r="J109" s="161"/>
      <c r="K109" s="161"/>
      <c r="L109" s="161"/>
    </row>
    <row r="110" spans="4:13" ht="20.100000000000001" customHeight="1" x14ac:dyDescent="0.2">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1"/>
      <c r="F110" s="161"/>
      <c r="G110" s="161"/>
      <c r="H110" s="161"/>
      <c r="I110" s="161"/>
      <c r="J110" s="161"/>
      <c r="K110" s="161"/>
      <c r="L110" s="161"/>
    </row>
    <row r="111" spans="4:13" ht="20.100000000000001" customHeight="1" x14ac:dyDescent="0.2">
      <c r="D111" s="161"/>
      <c r="E111" s="161"/>
      <c r="F111" s="161"/>
      <c r="G111" s="161"/>
      <c r="H111" s="161"/>
      <c r="I111" s="161"/>
      <c r="J111" s="161"/>
      <c r="K111" s="161"/>
      <c r="L111" s="161"/>
    </row>
    <row r="112" spans="4:13" ht="20.100000000000001" customHeight="1" x14ac:dyDescent="0.2">
      <c r="D112" s="178" t="s">
        <v>647</v>
      </c>
      <c r="E112" s="209" t="s">
        <v>582</v>
      </c>
      <c r="F112" s="209" t="s">
        <v>648</v>
      </c>
      <c r="G112" s="161"/>
      <c r="H112" s="77" t="s">
        <v>649</v>
      </c>
      <c r="I112" s="161"/>
      <c r="J112" s="161"/>
      <c r="K112" s="161"/>
      <c r="L112" s="161"/>
    </row>
    <row r="113" spans="1:13" ht="20.100000000000001" customHeight="1" x14ac:dyDescent="0.2">
      <c r="D113" s="212" t="str" cm="1">
        <f t="array" ref="D113">Common_InputFunctions.Utility_DisplayArrayInTable(Fuel_SourceData.Fuel_Scope3EmissionFactorsStationaryGaseous_Data(), Table_Fuel_EFs_StationaryGaseous34[[#Headers],[State or territory]],0)</f>
        <v>New South Wales</v>
      </c>
      <c r="E113" s="212" cm="1">
        <f t="array" ref="E113">Common_InputFunctions.Utility_DisplayArrayInTable(Fuel_SourceData.Fuel_Scope3EmissionFactorsStationaryGaseous_Data(), Table_Fuel_EFs_StationaryGaseous34[[#Headers],[State or territory]],0)</f>
        <v>13.1</v>
      </c>
      <c r="F113" s="212" cm="1">
        <f t="array" ref="F113">Common_InputFunctions.Utility_DisplayArrayInTable(Fuel_SourceData.Fuel_Scope3EmissionFactorsStationaryGaseous_Data(), Table_Fuel_EFs_StationaryGaseous34[[#Headers],[State or territory]],0)</f>
        <v>14</v>
      </c>
      <c r="G113" s="213"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61"/>
      <c r="J113" s="161"/>
      <c r="K113" s="161"/>
      <c r="L113" s="161"/>
    </row>
    <row r="114" spans="1:13" ht="20.100000000000001" customHeight="1" x14ac:dyDescent="0.2">
      <c r="D114" s="212" t="str" cm="1">
        <f t="array" ref="D114">Common_InputFunctions.Utility_DisplayArrayInTable(Fuel_SourceData.Fuel_Scope3EmissionFactorsStationaryGaseous_Data(), Table_Fuel_EFs_StationaryGaseous34[[#Headers],[State or territory]],0)</f>
        <v>ACT</v>
      </c>
      <c r="E114" s="212" cm="1">
        <f t="array" ref="E114">Common_InputFunctions.Utility_DisplayArrayInTable(Fuel_SourceData.Fuel_Scope3EmissionFactorsStationaryGaseous_Data(), Table_Fuel_EFs_StationaryGaseous34[[#Headers],[State or territory]],0)</f>
        <v>13.1</v>
      </c>
      <c r="F114" s="212" cm="1">
        <f t="array" ref="F114">Common_InputFunctions.Utility_DisplayArrayInTable(Fuel_SourceData.Fuel_Scope3EmissionFactorsStationaryGaseous_Data(), Table_Fuel_EFs_StationaryGaseous34[[#Headers],[State or territory]],0)</f>
        <v>14</v>
      </c>
      <c r="G114" s="213" t="str">
        <v/>
      </c>
      <c r="H114" s="1" t="str">
        <v>Gas reaches end users either from the metro distribution networks or direct from the high - pressure distribution pipelines.</v>
      </c>
      <c r="I114" s="161"/>
      <c r="J114" s="161"/>
      <c r="K114" s="161"/>
      <c r="L114" s="161"/>
    </row>
    <row r="115" spans="1:13" ht="20.100000000000001" customHeight="1" x14ac:dyDescent="0.2">
      <c r="D115" s="212" t="str" cm="1">
        <f t="array" ref="D115">Common_InputFunctions.Utility_DisplayArrayInTable(Fuel_SourceData.Fuel_Scope3EmissionFactorsStationaryGaseous_Data(), Table_Fuel_EFs_StationaryGaseous34[[#Headers],[State or territory]],0)</f>
        <v>Victoria</v>
      </c>
      <c r="E115" s="212" cm="1">
        <f t="array" ref="E115">Common_InputFunctions.Utility_DisplayArrayInTable(Fuel_SourceData.Fuel_Scope3EmissionFactorsStationaryGaseous_Data(), Table_Fuel_EFs_StationaryGaseous34[[#Headers],[State or territory]],0)</f>
        <v>4</v>
      </c>
      <c r="F115" s="212" cm="1">
        <f t="array" ref="F115">Common_InputFunctions.Utility_DisplayArrayInTable(Fuel_SourceData.Fuel_Scope3EmissionFactorsStationaryGaseous_Data(), Table_Fuel_EFs_StationaryGaseous34[[#Headers],[State or territory]],0)</f>
        <v>4</v>
      </c>
      <c r="G115" s="213" t="str">
        <v/>
      </c>
      <c r="H115" s="1" t="str">
        <v>Households and commercial users tend to be served by the former, and electricity generators and large industrial plants from the latter.</v>
      </c>
      <c r="I115" s="161"/>
      <c r="J115" s="161"/>
      <c r="K115" s="161"/>
      <c r="L115" s="161"/>
    </row>
    <row r="116" spans="1:13" ht="20.100000000000001" customHeight="1" x14ac:dyDescent="0.2">
      <c r="D116" s="212" t="str" cm="1">
        <f t="array" ref="D116">Common_InputFunctions.Utility_DisplayArrayInTable(Fuel_SourceData.Fuel_Scope3EmissionFactorsStationaryGaseous_Data(), Table_Fuel_EFs_StationaryGaseous34[[#Headers],[State or territory]],0)</f>
        <v>Queensland</v>
      </c>
      <c r="E116" s="212" cm="1">
        <f t="array" ref="E116">Common_InputFunctions.Utility_DisplayArrayInTable(Fuel_SourceData.Fuel_Scope3EmissionFactorsStationaryGaseous_Data(), Table_Fuel_EFs_StationaryGaseous34[[#Headers],[State or territory]],0)</f>
        <v>8.8000000000000007</v>
      </c>
      <c r="F116" s="212" cm="1">
        <f t="array" ref="F116">Common_InputFunctions.Utility_DisplayArrayInTable(Fuel_SourceData.Fuel_Scope3EmissionFactorsStationaryGaseous_Data(), Table_Fuel_EFs_StationaryGaseous34[[#Headers],[State or territory]],0)</f>
        <v>7.9</v>
      </c>
      <c r="G116" s="213" t="str">
        <v>-</v>
      </c>
      <c r="H116" s="1" t="str">
        <v>Metro is defined as located on or east of the dividing range in NSW, including Canberra and Queanbeyan, Melbourne, Brisbane, Adelaide or Perth.</v>
      </c>
      <c r="I116" s="161"/>
      <c r="J116" s="161"/>
      <c r="K116" s="161"/>
      <c r="L116" s="161"/>
    </row>
    <row r="117" spans="1:13" ht="20.100000000000001" customHeight="1" x14ac:dyDescent="0.2">
      <c r="D117" s="212" t="str" cm="1">
        <f t="array" ref="D117">Common_InputFunctions.Utility_DisplayArrayInTable(Fuel_SourceData.Fuel_Scope3EmissionFactorsStationaryGaseous_Data(), Table_Fuel_EFs_StationaryGaseous34[[#Headers],[State or territory]],0)</f>
        <v>South Australia</v>
      </c>
      <c r="E117" s="212" cm="1">
        <f t="array" ref="E117">Common_InputFunctions.Utility_DisplayArrayInTable(Fuel_SourceData.Fuel_Scope3EmissionFactorsStationaryGaseous_Data(), Table_Fuel_EFs_StationaryGaseous34[[#Headers],[State or territory]],0)</f>
        <v>10.7</v>
      </c>
      <c r="F117" s="212" cm="1">
        <f t="array" ref="F117">Common_InputFunctions.Utility_DisplayArrayInTable(Fuel_SourceData.Fuel_Scope3EmissionFactorsStationaryGaseous_Data(), Table_Fuel_EFs_StationaryGaseous34[[#Headers],[State or territory]],0)</f>
        <v>10.6</v>
      </c>
      <c r="G117" s="213" t="str">
        <v/>
      </c>
      <c r="H117" s="1" t="str">
        <v>Otherwise, the non - metro factor should be used.</v>
      </c>
      <c r="I117" s="161"/>
      <c r="J117" s="161"/>
      <c r="K117" s="161"/>
      <c r="L117" s="161"/>
    </row>
    <row r="118" spans="1:13" ht="20.100000000000001" customHeight="1" x14ac:dyDescent="0.2">
      <c r="A118" s="81" t="str">
        <f>HYPERLINK("#A1", "▲ Back to top")</f>
        <v>▲ Back to top</v>
      </c>
      <c r="D118" s="212" t="str" cm="1">
        <f t="array" ref="D118">Common_InputFunctions.Utility_DisplayArrayInTable(Fuel_SourceData.Fuel_Scope3EmissionFactorsStationaryGaseous_Data(), Table_Fuel_EFs_StationaryGaseous34[[#Headers],[State or territory]],0)</f>
        <v>Western Australia</v>
      </c>
      <c r="E118" s="212" cm="1">
        <f t="array" ref="E118">Common_InputFunctions.Utility_DisplayArrayInTable(Fuel_SourceData.Fuel_Scope3EmissionFactorsStationaryGaseous_Data(), Table_Fuel_EFs_StationaryGaseous34[[#Headers],[State or territory]],0)</f>
        <v>4.0999999999999996</v>
      </c>
      <c r="F118" s="212" cm="1">
        <f t="array" ref="F118">Common_InputFunctions.Utility_DisplayArrayInTable(Fuel_SourceData.Fuel_Scope3EmissionFactorsStationaryGaseous_Data(), Table_Fuel_EFs_StationaryGaseous34[[#Headers],[State or territory]],0)</f>
        <v>4</v>
      </c>
      <c r="G118" s="213" t="str">
        <v>-</v>
      </c>
      <c r="H118" s="1" t="str">
        <v>Factors are calculated for all natural gas distributed in a pipeline which may include coal seam methane.</v>
      </c>
      <c r="I118" s="161"/>
      <c r="J118" s="161"/>
      <c r="K118" s="161"/>
      <c r="L118" s="161"/>
    </row>
    <row r="119" spans="1:13" ht="20.100000000000001" customHeight="1" x14ac:dyDescent="0.2">
      <c r="D119" s="212" t="str" cm="1">
        <f t="array" ref="D119">Common_InputFunctions.Utility_DisplayArrayInTable(Fuel_SourceData.Fuel_Scope3EmissionFactorsStationaryGaseous_Data(), Table_Fuel_EFs_StationaryGaseous34[[#Headers],[State or territory]],0)</f>
        <v>Tasmania</v>
      </c>
      <c r="E119" s="212" cm="1">
        <f t="array" ref="E119">Common_InputFunctions.Utility_DisplayArrayInTable(Fuel_SourceData.Fuel_Scope3EmissionFactorsStationaryGaseous_Data(), Table_Fuel_EFs_StationaryGaseous34[[#Headers],[State or territory]],0)</f>
        <v>4</v>
      </c>
      <c r="F119" s="212" cm="1">
        <f t="array" ref="F119">Common_InputFunctions.Utility_DisplayArrayInTable(Fuel_SourceData.Fuel_Scope3EmissionFactorsStationaryGaseous_Data(), Table_Fuel_EFs_StationaryGaseous34[[#Headers],[State or territory]],0)</f>
        <v>4</v>
      </c>
      <c r="G119" s="213" t="str">
        <v>-</v>
      </c>
      <c r="H119" s="1" t="str">
        <v>Table 6 is not applicable to ethane. See Table 7 Indirect (Scope 3) emissions from the consumption of ethane.</v>
      </c>
      <c r="I119" s="161"/>
      <c r="J119" s="161"/>
      <c r="K119" s="161"/>
      <c r="L119" s="161"/>
    </row>
    <row r="120" spans="1:13" ht="20.100000000000001" customHeight="1" x14ac:dyDescent="0.2">
      <c r="D120" s="212" t="str" cm="1">
        <f t="array" ref="D120">Common_InputFunctions.Utility_DisplayArrayInTable(Fuel_SourceData.Fuel_Scope3EmissionFactorsStationaryGaseous_Data(), Table_Fuel_EFs_StationaryGaseous34[[#Headers],[State or territory]],0)</f>
        <v>Northern Territory</v>
      </c>
      <c r="E120" s="212" cm="1">
        <f t="array" ref="E120">Common_InputFunctions.Utility_DisplayArrayInTable(Fuel_SourceData.Fuel_Scope3EmissionFactorsStationaryGaseous_Data(), Table_Fuel_EFs_StationaryGaseous34[[#Headers],[State or territory]],0)</f>
        <v>4.0999999999999996</v>
      </c>
      <c r="F120" s="212" cm="1">
        <f t="array" ref="F120">Common_InputFunctions.Utility_DisplayArrayInTable(Fuel_SourceData.Fuel_Scope3EmissionFactorsStationaryGaseous_Data(), Table_Fuel_EFs_StationaryGaseous34[[#Headers],[State or territory]],0)</f>
        <v>4</v>
      </c>
      <c r="G120" s="213" t="str">
        <v>-</v>
      </c>
      <c r="H120" s="1" t="str">
        <v>C = Confidential. Scope 3 emission factors for Tasmania and the Northern Territory are not available due to confidentiality constraints that arise</v>
      </c>
      <c r="I120" s="161"/>
      <c r="J120" s="161"/>
      <c r="K120" s="161"/>
      <c r="L120" s="161"/>
    </row>
    <row r="121" spans="1:13" ht="20.100000000000001" customHeight="1" x14ac:dyDescent="0.2">
      <c r="D121" s="8"/>
      <c r="E121" s="8"/>
      <c r="F121" s="8"/>
      <c r="G121" s="213" t="str">
        <v/>
      </c>
      <c r="H121" s="1" t="str">
        <v>from the use of a limited number of NGER data inputs. It is suggested that for Tasmania the use of the Victorian emission factors is appropriate,</v>
      </c>
      <c r="I121" s="161"/>
      <c r="J121" s="161"/>
      <c r="K121" s="161"/>
      <c r="L121" s="161"/>
    </row>
    <row r="122" spans="1:13" ht="20.100000000000001" customHeight="1" x14ac:dyDescent="0.2">
      <c r="D122" s="161"/>
      <c r="F122" s="214"/>
      <c r="G122" s="213" t="str">
        <v/>
      </c>
      <c r="H122" s="1" t="str">
        <v>while for Northern Territory the use of the Western Australian emission factors is appropriate.</v>
      </c>
      <c r="I122" s="161"/>
      <c r="J122" s="161"/>
      <c r="K122" s="161"/>
      <c r="L122" s="161"/>
    </row>
    <row r="123" spans="1:13" ht="20.100000000000001" customHeight="1" x14ac:dyDescent="0.2">
      <c r="D123" s="215"/>
      <c r="F123" s="214"/>
      <c r="G123" s="213" t="str">
        <v>-</v>
      </c>
      <c r="H123" s="1" t="str">
        <v>Scope 3 emission factors do not include fugitive emission leakage from low pressure natural gas distribution pipeline networks while those from high pressure</v>
      </c>
      <c r="I123" s="161"/>
      <c r="J123" s="161"/>
      <c r="K123" s="161"/>
      <c r="L123" s="161"/>
    </row>
    <row r="124" spans="1:13" ht="20.100000000000001" customHeight="1" x14ac:dyDescent="0.2">
      <c r="D124" s="215"/>
      <c r="F124" s="214"/>
      <c r="G124" s="161" t="str">
        <v/>
      </c>
      <c r="H124" s="1" t="str">
        <v>gas networks are considered negligible.</v>
      </c>
      <c r="I124" s="161"/>
      <c r="J124" s="161"/>
      <c r="K124" s="161"/>
      <c r="L124" s="161"/>
    </row>
    <row r="125" spans="1:13" ht="20.100000000000001" customHeight="1" x14ac:dyDescent="0.2">
      <c r="D125" s="215"/>
      <c r="F125" s="214"/>
      <c r="G125" s="161"/>
      <c r="H125" s="161"/>
      <c r="I125" s="161"/>
      <c r="J125" s="161"/>
      <c r="K125" s="161"/>
      <c r="L125" s="161"/>
    </row>
    <row r="126" spans="1:13" ht="20.100000000000001" customHeight="1" x14ac:dyDescent="0.2">
      <c r="D126" s="161"/>
      <c r="E126" s="161"/>
      <c r="F126" s="161"/>
      <c r="G126" s="161"/>
      <c r="H126" s="161"/>
      <c r="I126" s="161"/>
      <c r="J126" s="161"/>
      <c r="K126" s="161"/>
      <c r="L126" s="161"/>
      <c r="M126" s="161"/>
    </row>
    <row r="127" spans="1:13" ht="20.100000000000001" customHeight="1" x14ac:dyDescent="0.2">
      <c r="D127" s="161"/>
      <c r="E127" s="161"/>
      <c r="F127" s="161"/>
      <c r="G127" s="161"/>
      <c r="H127" s="161"/>
      <c r="I127" s="161"/>
      <c r="J127" s="161"/>
      <c r="K127" s="161"/>
      <c r="L127" s="161"/>
      <c r="M127" s="161"/>
    </row>
    <row r="128" spans="1:13" ht="20.100000000000001" customHeight="1" x14ac:dyDescent="0.2">
      <c r="D128" s="161"/>
      <c r="E128" s="161"/>
      <c r="F128" s="161"/>
      <c r="G128" s="161"/>
      <c r="H128" s="161"/>
      <c r="I128" s="161"/>
      <c r="J128" s="161"/>
      <c r="K128" s="161"/>
      <c r="L128" s="161"/>
      <c r="M128" s="161"/>
    </row>
    <row r="129" spans="4:33" ht="20.100000000000001" customHeight="1" x14ac:dyDescent="0.2">
      <c r="D129" s="216"/>
      <c r="E129" s="161"/>
      <c r="F129" s="161"/>
      <c r="G129" s="161"/>
      <c r="H129" s="161"/>
      <c r="I129" s="161"/>
      <c r="J129" s="161"/>
      <c r="K129" s="161"/>
      <c r="L129" s="161"/>
    </row>
    <row r="130" spans="4:33" ht="20.100000000000001" customHeight="1" x14ac:dyDescent="0.2">
      <c r="D130" s="217" t="s">
        <v>650</v>
      </c>
      <c r="E130" s="217" t="s">
        <v>591</v>
      </c>
      <c r="F130" s="217" t="s">
        <v>651</v>
      </c>
      <c r="G130" s="217" t="s">
        <v>594</v>
      </c>
      <c r="H130" s="217" t="s">
        <v>596</v>
      </c>
      <c r="I130" s="217" t="s">
        <v>597</v>
      </c>
      <c r="J130" s="161"/>
      <c r="K130" s="161"/>
      <c r="L130" s="161"/>
    </row>
    <row r="131" spans="4:33" ht="20.100000000000001" customHeight="1" x14ac:dyDescent="0.2">
      <c r="D131" s="218" t="str">
        <f>$D$143</f>
        <v>Petrol</v>
      </c>
      <c r="E131" s="218" t="str">
        <f>$D$143</f>
        <v>Petrol</v>
      </c>
      <c r="F131" s="218" t="str">
        <f>$D$150</f>
        <v>Avgas</v>
      </c>
      <c r="G131" s="218" t="str">
        <f>$D$143</f>
        <v>Petrol</v>
      </c>
      <c r="H131" s="218" t="str">
        <f>$D$144</f>
        <v>Diesel</v>
      </c>
      <c r="I131" s="218" t="str">
        <f>$D$143</f>
        <v>Petrol</v>
      </c>
      <c r="J131" s="161"/>
      <c r="K131" s="161"/>
      <c r="L131" s="161"/>
    </row>
    <row r="132" spans="4:33" ht="20.100000000000001" customHeight="1" x14ac:dyDescent="0.2">
      <c r="D132" s="218" t="str">
        <f>$D$144</f>
        <v>Diesel</v>
      </c>
      <c r="E132" s="218" t="str">
        <f>$D$144</f>
        <v>Diesel</v>
      </c>
      <c r="F132" s="218" t="str">
        <f>$D$151</f>
        <v>Jet A1, Jet B</v>
      </c>
      <c r="G132" s="218" t="str">
        <f>$D$144</f>
        <v>Diesel</v>
      </c>
      <c r="H132" s="218"/>
      <c r="I132" s="218" t="str">
        <f>$D$144</f>
        <v>Diesel</v>
      </c>
      <c r="J132" s="161"/>
      <c r="K132" s="161"/>
      <c r="L132" s="161"/>
    </row>
    <row r="133" spans="4:33" ht="20.100000000000001" customHeight="1" x14ac:dyDescent="0.2">
      <c r="D133" s="218" t="str">
        <f>$D$145</f>
        <v>Liquefied petroleum gas (LPG)</v>
      </c>
      <c r="E133" s="218" t="str">
        <f>$D$145</f>
        <v>Liquefied petroleum gas (LPG)</v>
      </c>
      <c r="F133" s="218" t="str">
        <f>$D$152</f>
        <v>Renewable aviation kerosene</v>
      </c>
      <c r="G133" s="218" t="str">
        <f>$D$145</f>
        <v>Liquefied petroleum gas (LPG)</v>
      </c>
      <c r="H133" s="218"/>
      <c r="I133" s="218" t="s">
        <v>598</v>
      </c>
      <c r="J133" s="161"/>
      <c r="K133" s="161"/>
      <c r="L133" s="161"/>
    </row>
    <row r="134" spans="4:33" ht="20.100000000000001" customHeight="1" x14ac:dyDescent="0.2">
      <c r="D134" s="218" t="str">
        <f>$D$146</f>
        <v>Biodiesel</v>
      </c>
      <c r="E134" s="218" t="str">
        <f>$D$146</f>
        <v>Biodiesel</v>
      </c>
      <c r="F134" s="217"/>
      <c r="G134" s="218" t="str">
        <f>$D$160</f>
        <v>Fuel oil</v>
      </c>
      <c r="H134" s="218"/>
      <c r="I134" s="218"/>
      <c r="J134" s="161"/>
      <c r="K134" s="161"/>
      <c r="L134" s="161"/>
    </row>
    <row r="135" spans="4:33" ht="20.100000000000001" customHeight="1" x14ac:dyDescent="0.2">
      <c r="D135" s="218" t="str">
        <f>$D$147</f>
        <v>Ethanol</v>
      </c>
      <c r="E135" s="218" t="str">
        <f>$D$147</f>
        <v>Ethanol</v>
      </c>
      <c r="F135" s="217"/>
      <c r="G135" s="218" t="str">
        <f>$D$147</f>
        <v>Ethanol</v>
      </c>
      <c r="H135" s="218"/>
      <c r="I135" s="218"/>
      <c r="J135" s="161"/>
      <c r="K135" s="161"/>
      <c r="L135" s="161"/>
    </row>
    <row r="136" spans="4:33" ht="20.100000000000001" customHeight="1" x14ac:dyDescent="0.2">
      <c r="D136" s="218" t="str">
        <f>$D$148</f>
        <v>Other biofuels</v>
      </c>
      <c r="E136" s="218" t="str">
        <f>$D$148</f>
        <v>Other biofuels</v>
      </c>
      <c r="F136" s="217"/>
      <c r="G136" s="218" t="str">
        <f>$D$146</f>
        <v>Biodiesel</v>
      </c>
      <c r="H136" s="218"/>
      <c r="I136" s="218"/>
      <c r="J136" s="161"/>
      <c r="K136" s="161"/>
      <c r="L136" s="161"/>
    </row>
    <row r="137" spans="4:33" ht="20.100000000000001" customHeight="1" x14ac:dyDescent="0.2">
      <c r="D137" s="218" t="str">
        <f>$D$149</f>
        <v>Renewable diesel</v>
      </c>
      <c r="E137" s="218" t="str">
        <f>$D$149</f>
        <v>Renewable diesel</v>
      </c>
      <c r="F137" s="217"/>
      <c r="G137" s="218" t="str">
        <f>$D$149</f>
        <v>Renewable diesel</v>
      </c>
      <c r="H137" s="218"/>
      <c r="I137" s="218"/>
      <c r="J137" s="161"/>
      <c r="K137" s="161"/>
      <c r="L137" s="161"/>
    </row>
    <row r="138" spans="4:33" ht="20.100000000000001" customHeight="1" x14ac:dyDescent="0.2">
      <c r="D138" s="217"/>
      <c r="E138" s="219" t="str">
        <f>$D$161</f>
        <v>Natural gas (via pipeline) in GJ</v>
      </c>
      <c r="F138" s="219"/>
      <c r="G138" s="218" t="str">
        <f>$D$148</f>
        <v>Other biofuels</v>
      </c>
      <c r="H138" s="218"/>
      <c r="I138" s="218"/>
      <c r="J138" s="161"/>
      <c r="K138" s="161"/>
      <c r="L138" s="161"/>
    </row>
    <row r="139" spans="4:33" ht="20.100000000000001" customHeight="1" x14ac:dyDescent="0.2">
      <c r="D139" s="219"/>
      <c r="E139" s="219" t="str">
        <f>$D$162</f>
        <v>Town gas in GJ</v>
      </c>
      <c r="F139" s="219"/>
      <c r="G139" s="219"/>
      <c r="H139" s="219"/>
      <c r="I139" s="219"/>
      <c r="J139" s="161"/>
      <c r="K139" s="161"/>
      <c r="L139" s="161"/>
    </row>
    <row r="140" spans="4:33" ht="20.100000000000001" customHeight="1" x14ac:dyDescent="0.2">
      <c r="D140" s="161"/>
      <c r="E140" s="161"/>
      <c r="F140" s="161"/>
      <c r="G140" s="161"/>
      <c r="H140" s="161"/>
      <c r="I140" s="161"/>
      <c r="J140" s="161"/>
      <c r="K140" s="161"/>
      <c r="L140" s="161"/>
    </row>
    <row r="141" spans="4:33" ht="20.100000000000001" customHeight="1" x14ac:dyDescent="0.2">
      <c r="D141" s="161"/>
      <c r="E141" s="161"/>
      <c r="F141" s="161"/>
      <c r="G141" s="161"/>
      <c r="H141" s="161"/>
      <c r="I141" s="161"/>
      <c r="J141" s="161"/>
      <c r="K141" s="161"/>
      <c r="L141" s="161"/>
    </row>
    <row r="142" spans="4:33" ht="20.100000000000001" customHeight="1" x14ac:dyDescent="0.2">
      <c r="D142" t="s">
        <v>652</v>
      </c>
      <c r="E142" t="s">
        <v>118</v>
      </c>
      <c r="F142" t="s">
        <v>653</v>
      </c>
      <c r="G142" s="161"/>
      <c r="H142" s="161"/>
      <c r="I142" s="161"/>
      <c r="J142" s="161"/>
      <c r="K142" s="161"/>
      <c r="L142" s="161"/>
      <c r="M142" s="161"/>
      <c r="AG142" s="1"/>
    </row>
    <row r="143" spans="4:33" ht="20.100000000000001" customHeight="1" x14ac:dyDescent="0.2">
      <c r="D143" s="218" t="s">
        <v>593</v>
      </c>
      <c r="E143" t="s">
        <v>654</v>
      </c>
      <c r="F143" t="s">
        <v>655</v>
      </c>
      <c r="G143" s="161"/>
      <c r="H143" s="161"/>
      <c r="I143" s="161"/>
      <c r="J143" s="161"/>
      <c r="K143" s="161"/>
      <c r="L143" s="161"/>
      <c r="M143" s="161"/>
      <c r="AG143" s="1"/>
    </row>
    <row r="144" spans="4:33" ht="20.100000000000001" customHeight="1" x14ac:dyDescent="0.2">
      <c r="D144" s="218" t="s">
        <v>595</v>
      </c>
      <c r="E144" t="s">
        <v>654</v>
      </c>
      <c r="F144" t="s">
        <v>655</v>
      </c>
      <c r="G144" s="161"/>
      <c r="H144" s="161"/>
      <c r="I144" s="161"/>
      <c r="J144" s="161"/>
      <c r="K144" s="161"/>
      <c r="L144" s="161"/>
      <c r="M144" s="161"/>
      <c r="AG144" s="1"/>
    </row>
    <row r="145" spans="1:33" ht="20.100000000000001" customHeight="1" x14ac:dyDescent="0.2">
      <c r="D145" s="218" t="s">
        <v>656</v>
      </c>
      <c r="E145" t="s">
        <v>654</v>
      </c>
      <c r="F145" t="s">
        <v>655</v>
      </c>
      <c r="G145" s="161"/>
      <c r="H145" s="161"/>
      <c r="I145" s="161"/>
      <c r="J145" s="161"/>
      <c r="K145" s="161"/>
      <c r="L145" s="161"/>
      <c r="M145" s="161"/>
      <c r="AG145" s="1"/>
    </row>
    <row r="146" spans="1:33" ht="20.100000000000001" customHeight="1" x14ac:dyDescent="0.2">
      <c r="D146" s="218" t="s">
        <v>657</v>
      </c>
      <c r="E146" t="s">
        <v>654</v>
      </c>
      <c r="F146" t="s">
        <v>655</v>
      </c>
      <c r="G146" s="161"/>
      <c r="H146" s="161"/>
      <c r="I146" s="161"/>
      <c r="J146" s="161"/>
      <c r="K146" s="161"/>
      <c r="L146" s="161"/>
      <c r="M146" s="161"/>
      <c r="AG146" s="1"/>
    </row>
    <row r="147" spans="1:33" ht="20.100000000000001" customHeight="1" x14ac:dyDescent="0.2">
      <c r="D147" s="218" t="s">
        <v>658</v>
      </c>
      <c r="E147" t="s">
        <v>654</v>
      </c>
      <c r="F147" t="s">
        <v>655</v>
      </c>
      <c r="G147" s="161"/>
      <c r="H147" s="161"/>
      <c r="I147" s="161"/>
      <c r="J147" s="161"/>
      <c r="K147" s="161"/>
      <c r="L147" s="161"/>
      <c r="M147" s="161"/>
      <c r="AG147" s="1"/>
    </row>
    <row r="148" spans="1:33" ht="20.100000000000001" customHeight="1" x14ac:dyDescent="0.2">
      <c r="A148" s="81" t="str">
        <f>HYPERLINK("#A1", "▲ Back to top")</f>
        <v>▲ Back to top</v>
      </c>
      <c r="D148" s="218" t="s">
        <v>659</v>
      </c>
      <c r="E148" t="s">
        <v>654</v>
      </c>
      <c r="F148" t="s">
        <v>655</v>
      </c>
      <c r="G148" s="161"/>
      <c r="H148" s="161"/>
      <c r="I148" s="161"/>
      <c r="J148" s="161"/>
      <c r="K148" s="161"/>
      <c r="L148" s="161"/>
      <c r="M148" s="161"/>
      <c r="AG148" s="1"/>
    </row>
    <row r="149" spans="1:33" ht="20.100000000000001" customHeight="1" x14ac:dyDescent="0.2">
      <c r="D149" s="218" t="s">
        <v>660</v>
      </c>
      <c r="E149" t="s">
        <v>654</v>
      </c>
      <c r="F149" t="s">
        <v>655</v>
      </c>
      <c r="G149" s="161"/>
      <c r="H149" s="161"/>
      <c r="I149" s="161"/>
      <c r="J149" s="161"/>
      <c r="K149" s="161"/>
      <c r="L149" s="161"/>
      <c r="M149" s="161"/>
      <c r="AG149" s="1"/>
    </row>
    <row r="150" spans="1:33" ht="20.100000000000001" customHeight="1" x14ac:dyDescent="0.2">
      <c r="D150" s="218" t="s">
        <v>661</v>
      </c>
      <c r="E150" t="s">
        <v>654</v>
      </c>
      <c r="F150" t="s">
        <v>655</v>
      </c>
      <c r="G150" s="161"/>
      <c r="H150" s="161"/>
      <c r="I150" s="161"/>
      <c r="J150" s="161"/>
      <c r="K150" s="161"/>
      <c r="L150" s="161"/>
      <c r="M150" s="161"/>
      <c r="AG150" s="1"/>
    </row>
    <row r="151" spans="1:33" ht="20.100000000000001" customHeight="1" x14ac:dyDescent="0.2">
      <c r="D151" s="218" t="s">
        <v>662</v>
      </c>
      <c r="E151" t="s">
        <v>654</v>
      </c>
      <c r="F151" t="s">
        <v>655</v>
      </c>
      <c r="G151" s="161"/>
      <c r="H151" s="161"/>
      <c r="I151" s="161"/>
      <c r="J151" s="161"/>
      <c r="K151" s="161"/>
      <c r="L151" s="161"/>
      <c r="M151" s="161"/>
      <c r="AG151" s="1"/>
    </row>
    <row r="152" spans="1:33" ht="20.100000000000001" customHeight="1" x14ac:dyDescent="0.2">
      <c r="D152" s="220" t="s">
        <v>663</v>
      </c>
      <c r="E152" s="8" t="s">
        <v>654</v>
      </c>
      <c r="F152" t="s">
        <v>655</v>
      </c>
      <c r="G152" s="161"/>
      <c r="H152" s="161"/>
      <c r="I152" s="161"/>
      <c r="J152" s="161"/>
      <c r="K152" s="161"/>
      <c r="L152" s="161"/>
      <c r="M152" s="161"/>
      <c r="AG152" s="1"/>
    </row>
    <row r="153" spans="1:33" ht="20.100000000000001" customHeight="1" x14ac:dyDescent="0.2">
      <c r="D153" s="220" t="s">
        <v>664</v>
      </c>
      <c r="E153" s="8" t="s">
        <v>654</v>
      </c>
      <c r="F153" t="s">
        <v>655</v>
      </c>
      <c r="G153" s="161"/>
      <c r="H153" s="161"/>
      <c r="I153" s="161"/>
      <c r="J153" s="161"/>
      <c r="K153" s="161"/>
      <c r="L153" s="161"/>
      <c r="M153" s="161"/>
      <c r="AG153" s="1"/>
    </row>
    <row r="154" spans="1:33" ht="20.100000000000001" customHeight="1" x14ac:dyDescent="0.2">
      <c r="D154" s="220" t="s">
        <v>665</v>
      </c>
      <c r="E154" s="8" t="s">
        <v>654</v>
      </c>
      <c r="F154" t="s">
        <v>655</v>
      </c>
      <c r="G154" s="161"/>
      <c r="H154" s="161"/>
      <c r="I154" s="161"/>
      <c r="J154" s="161"/>
      <c r="K154" s="161"/>
      <c r="L154" s="161"/>
      <c r="M154" s="161"/>
      <c r="AG154" s="1"/>
    </row>
    <row r="155" spans="1:33" ht="20.100000000000001" customHeight="1" x14ac:dyDescent="0.2">
      <c r="D155" s="220" t="s">
        <v>666</v>
      </c>
      <c r="E155" s="8" t="s">
        <v>654</v>
      </c>
      <c r="F155" t="s">
        <v>655</v>
      </c>
      <c r="G155" s="161"/>
      <c r="H155" s="161"/>
      <c r="I155" s="161"/>
      <c r="J155" s="161"/>
      <c r="K155" s="161"/>
      <c r="L155" s="161"/>
      <c r="M155" s="161"/>
      <c r="AG155" s="1"/>
    </row>
    <row r="156" spans="1:33" ht="20.100000000000001" customHeight="1" x14ac:dyDescent="0.2">
      <c r="D156" s="220" t="s">
        <v>667</v>
      </c>
      <c r="E156" s="8" t="s">
        <v>654</v>
      </c>
      <c r="F156" t="s">
        <v>655</v>
      </c>
      <c r="G156" s="161"/>
      <c r="H156" s="161"/>
      <c r="I156" s="161"/>
      <c r="J156" s="161"/>
      <c r="K156" s="161"/>
      <c r="L156" s="161"/>
      <c r="M156" s="161"/>
      <c r="AG156" s="1"/>
    </row>
    <row r="157" spans="1:33" ht="20.100000000000001" customHeight="1" x14ac:dyDescent="0.2">
      <c r="D157" s="220" t="s">
        <v>668</v>
      </c>
      <c r="E157" s="8" t="s">
        <v>654</v>
      </c>
      <c r="F157" t="s">
        <v>655</v>
      </c>
      <c r="G157" s="161"/>
      <c r="H157" s="161"/>
      <c r="I157" s="161"/>
      <c r="J157" s="161"/>
      <c r="K157" s="161"/>
      <c r="L157" s="161"/>
      <c r="M157" s="161"/>
      <c r="AG157" s="1"/>
    </row>
    <row r="158" spans="1:33" ht="20.100000000000001" customHeight="1" x14ac:dyDescent="0.2">
      <c r="D158" s="220" t="s">
        <v>669</v>
      </c>
      <c r="E158" s="8" t="s">
        <v>654</v>
      </c>
      <c r="F158" t="s">
        <v>655</v>
      </c>
      <c r="G158" s="161"/>
      <c r="H158" s="161"/>
      <c r="I158" s="161"/>
      <c r="J158" s="161"/>
      <c r="K158" s="161"/>
      <c r="L158" s="161"/>
      <c r="M158" s="161"/>
      <c r="AG158" s="1"/>
    </row>
    <row r="159" spans="1:33" ht="20.100000000000001" customHeight="1" x14ac:dyDescent="0.2">
      <c r="D159" s="220" t="s">
        <v>670</v>
      </c>
      <c r="E159" s="8" t="s">
        <v>654</v>
      </c>
      <c r="F159" t="s">
        <v>655</v>
      </c>
      <c r="G159" s="161"/>
      <c r="H159" s="161"/>
      <c r="I159" s="161"/>
      <c r="J159" s="161"/>
      <c r="K159" s="161"/>
      <c r="L159" s="161"/>
      <c r="M159" s="161"/>
      <c r="AG159" s="1"/>
    </row>
    <row r="160" spans="1:33" ht="20.100000000000001" customHeight="1" x14ac:dyDescent="0.2">
      <c r="D160" s="220" t="s">
        <v>598</v>
      </c>
      <c r="E160" s="8" t="s">
        <v>654</v>
      </c>
      <c r="F160" t="s">
        <v>655</v>
      </c>
      <c r="G160" s="161"/>
      <c r="H160" s="161"/>
      <c r="I160" s="161"/>
      <c r="J160" s="161"/>
      <c r="K160" s="161"/>
      <c r="L160" s="161"/>
      <c r="M160" s="161"/>
      <c r="AG160" s="1"/>
    </row>
    <row r="161" spans="4:33" ht="20.100000000000001" customHeight="1" x14ac:dyDescent="0.2">
      <c r="D161" s="219" t="s">
        <v>671</v>
      </c>
      <c r="E161" s="161" t="s">
        <v>672</v>
      </c>
      <c r="F161" s="161" t="s">
        <v>672</v>
      </c>
      <c r="G161" s="161"/>
      <c r="H161" s="161"/>
      <c r="I161" s="161"/>
      <c r="J161" s="161"/>
      <c r="K161" s="161"/>
      <c r="L161" s="161"/>
      <c r="M161" s="161"/>
      <c r="AG161" s="1"/>
    </row>
    <row r="162" spans="4:33" ht="20.100000000000001" customHeight="1" x14ac:dyDescent="0.2">
      <c r="D162" s="161" t="s">
        <v>592</v>
      </c>
      <c r="E162" s="161" t="s">
        <v>672</v>
      </c>
      <c r="F162" s="161" t="s">
        <v>672</v>
      </c>
      <c r="G162" s="161"/>
      <c r="H162" s="161"/>
      <c r="I162" s="161"/>
      <c r="J162" s="161"/>
      <c r="K162" s="161"/>
      <c r="L162" s="161"/>
      <c r="M162" s="161"/>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C90B3-443D-40B4-9B46-86DEB4161237}">
  <sheetPr>
    <tabColor theme="2" tint="-0.499984740745262"/>
  </sheetPr>
  <dimension ref="A1:R2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EI")</f>
        <v>Results - Product EI</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Crop'!A1", "Crop")</f>
        <v>Crop</v>
      </c>
    </row>
    <row r="12" spans="1:17" ht="20.100000000000001" customHeight="1" x14ac:dyDescent="0.2">
      <c r="A12" s="5" t="str">
        <f>HYPERLINK("#'Input - Fert Prod System'!A1", "Fert Prod System")</f>
        <v>Fert Prod System</v>
      </c>
    </row>
    <row r="13" spans="1:17" ht="20.100000000000001" customHeight="1" x14ac:dyDescent="0.2">
      <c r="A13" s="5" t="str">
        <f>HYPERLINK("#'Input - Fertiliser'!A1", "Fertiliser")</f>
        <v>Fertiliser</v>
      </c>
    </row>
    <row r="14" spans="1:17" ht="20.100000000000001" customHeight="1" x14ac:dyDescent="0.2">
      <c r="A14" s="5" t="str">
        <f>HYPERLINK("#'Input - Fuel'!A1", "Fuel")</f>
        <v>Fuel</v>
      </c>
    </row>
    <row r="15" spans="1:17" ht="20.100000000000001" customHeight="1" x14ac:dyDescent="0.2">
      <c r="A15" s="5" t="str">
        <f>HYPERLINK("#'Input - Electricity'!A1", "Electricity")</f>
        <v>Electricity</v>
      </c>
    </row>
    <row r="16" spans="1:17" ht="20.100000000000001" customHeight="1" x14ac:dyDescent="0.2">
      <c r="A16" s="5" t="str">
        <f>HYPERLINK("#'Input - Common farm inputs'!A1", "Common farm inputs")</f>
        <v>Common farm inputs</v>
      </c>
    </row>
    <row r="17" spans="1:12" ht="20.100000000000001" customHeight="1" x14ac:dyDescent="0.2">
      <c r="A17" s="5" t="str">
        <f>HYPERLINK("#'Input - Crop pasture farm input'!A1", "Crop pasture farm input")</f>
        <v>Crop pasture farm input</v>
      </c>
    </row>
    <row r="18" spans="1:12" ht="20.100000000000001" customHeight="1" x14ac:dyDescent="0.2">
      <c r="A18" s="5" t="str">
        <f>HYPERLINK("#'Input - Freight'!A1", "Freight")</f>
        <v>Freight</v>
      </c>
    </row>
    <row r="19" spans="1:12" ht="20.100000000000001" customHeight="1" x14ac:dyDescent="0.2">
      <c r="A19" s="5" t="str">
        <f>HYPERLINK("#'Input - Solid waste'!A1", "Solid waste")</f>
        <v>Solid waste</v>
      </c>
    </row>
    <row r="20" spans="1:12" ht="20.100000000000001" customHeight="1" x14ac:dyDescent="0.2">
      <c r="A20" s="5" t="str">
        <f>HYPERLINK("#'Input - Data quality'!A1", "Data quality")</f>
        <v>Data quality</v>
      </c>
    </row>
    <row r="23" spans="1:12" ht="20.100000000000001" customHeight="1" x14ac:dyDescent="0.2">
      <c r="A23" s="6" t="s">
        <v>2</v>
      </c>
    </row>
    <row r="24" spans="1:12" ht="20.100000000000001" customHeight="1" x14ac:dyDescent="0.2">
      <c r="A24" s="5" t="str">
        <f>HYPERLINK("#'5.1.1.1-2 Inorganic fert N2O'!A1", "5.1.1.1-2 Inorganic fert N2O")</f>
        <v>5.1.1.1-2 Inorganic fert N2O</v>
      </c>
    </row>
    <row r="25" spans="1:12" ht="20.100000000000001" customHeight="1" x14ac:dyDescent="0.2">
      <c r="A25" s="5" t="str">
        <f>HYPERLINK("#'5.1.1.3-4 Inorganic fert CO2'!A1", "5.1.1.3-4 Inorganic fert CO2")</f>
        <v>5.1.1.3-4 Inorganic fert CO2</v>
      </c>
    </row>
    <row r="26" spans="1:12" ht="20.100000000000001" customHeight="1" x14ac:dyDescent="0.2">
      <c r="A26" s="5" t="str">
        <f>HYPERLINK("#'5.2.1.1-2 Organic Fert N2O'!A1", "5.2.1.1-2 Organic fert N2O")</f>
        <v>5.2.1.1-2 Organic fert N2O</v>
      </c>
    </row>
    <row r="27" spans="1:12" ht="20.100000000000001" customHeight="1" x14ac:dyDescent="0.2">
      <c r="A27" s="5" t="str">
        <f>HYPERLINK("#'5.3.1.1-2 Lime CO2'!A1", "5.3.1.1-2 Lime CO2")</f>
        <v>5.3.1.1-2 Lime CO2</v>
      </c>
    </row>
    <row r="28" spans="1:12" ht="20.100000000000001" customHeight="1" x14ac:dyDescent="0.2">
      <c r="A28" s="5" t="str">
        <f>HYPERLINK("#'5.4.1.1-4 Atmos deposition'!A1", "5.4.1.1-4 Atmos. deposition")</f>
        <v>5.4.1.1-4 Atmos. deposition</v>
      </c>
    </row>
    <row r="29" spans="1:12" ht="20.100000000000001" customHeight="1" x14ac:dyDescent="0.2">
      <c r="A29" s="5" t="str">
        <f>HYPERLINK("#'5.5.1.1-2 Leaching and runoff'!A1", "5.5.1.1-2 Leaching &amp; runoff")</f>
        <v>5.5.1.1-2 Leaching &amp; runoff</v>
      </c>
    </row>
    <row r="30" spans="1:12" ht="20.100000000000001" customHeight="1" x14ac:dyDescent="0.2">
      <c r="A30" s="5" t="str">
        <f>HYPERLINK("#'6.1.1.1-2 Crop residue N2O'!A1", "6.1.1.1-2 Crop residue N2O")</f>
        <v>6.1.1.1-2 Crop residue N2O</v>
      </c>
    </row>
    <row r="31" spans="1:12" ht="20.100000000000001" customHeight="1" x14ac:dyDescent="0.2">
      <c r="A31" s="5" t="str">
        <f>HYPERLINK("#'6.3.1.1-2 Leach runoff crop'!A1", "6.3.1.1-2 Leach &amp; runoff (crop)")</f>
        <v>6.3.1.1-2 Leach &amp; runoff (crop)</v>
      </c>
    </row>
    <row r="32" spans="1:12" ht="20.100000000000001" customHeight="1" x14ac:dyDescent="0.2">
      <c r="A32" s="5" t="str">
        <f>HYPERLINK("#'8.1.1.1-2 Transport fuel'!A1", "8.1.1.1-2 Transport fuel")</f>
        <v>8.1.1.1-2 Transport fuel</v>
      </c>
      <c r="D32" s="2" t="s">
        <v>981</v>
      </c>
      <c r="L32" s="1" t="s">
        <v>982</v>
      </c>
    </row>
    <row r="33" spans="1:13" ht="20.100000000000001" customHeight="1" x14ac:dyDescent="0.2">
      <c r="A33" s="5" t="str">
        <f>HYPERLINK("#'8.2.1.1-2 Stationary fuel'!A1", "8.2.1.1-2 Stationary fuel")</f>
        <v>8.2.1.1-2 Stationary fuel</v>
      </c>
      <c r="D33" s="20" t="s">
        <v>983</v>
      </c>
      <c r="E33" s="20" t="s">
        <v>130</v>
      </c>
      <c r="F33" s="20" t="s">
        <v>984</v>
      </c>
      <c r="G33" s="20" t="s">
        <v>985</v>
      </c>
      <c r="H33" s="20" t="s">
        <v>986</v>
      </c>
      <c r="I33" s="20" t="s">
        <v>987</v>
      </c>
      <c r="J33" s="20" t="s">
        <v>498</v>
      </c>
      <c r="L33" s="20" t="s">
        <v>988</v>
      </c>
      <c r="M33" s="20" t="s">
        <v>989</v>
      </c>
    </row>
    <row r="34" spans="1:13" ht="20.100000000000001" customHeight="1" x14ac:dyDescent="0.2">
      <c r="A34" s="5" t="str">
        <f>HYPERLINK("#'10.1.1-2 Solid waste treatment'!A1", "10.1.1.1-2 Solid waste")</f>
        <v>10.1.1.1-2 Solid waste</v>
      </c>
      <c r="D34" s="20" t="str" cm="1">
        <f t="array" ref="D34">Common_InputFunctions.Utility_DisplayArrayInTable(Scope3_SourceData.Scope3_Livestock_Data(), Table_SourceData_Scope3_Animals[[#Headers],[Category]], 0, 2)</f>
        <v>Beef cattle</v>
      </c>
      <c r="E34" s="20" t="str" cm="1">
        <f t="array" ref="E34">Common_InputFunctions.Utility_DisplayArrayInTable(Scope3_SourceData.Scope3_Livestock_Data(), Table_SourceData_Scope3_Animals[[#Headers],[Category]], 0, 2)</f>
        <v>Cattle, for manufacturing beef</v>
      </c>
      <c r="F34" s="20" t="str" cm="1">
        <f t="array" ref="F34">Common_InputFunctions.Utility_DisplayArrayInTable(Scope3_SourceData.Scope3_Livestock_Data(), Table_SourceData_Scope3_Animals[[#Headers],[Category]], 0, 2)</f>
        <v>Australia</v>
      </c>
      <c r="G34" s="20" t="str" cm="1">
        <f t="array" ref="G34">Common_InputFunctions.Utility_DisplayArrayInTable(Scope3_SourceData.Scope3_Livestock_Data(), Table_SourceData_Scope3_Animals[[#Headers],[Category]], 0, 2)</f>
        <v>kg liveweight</v>
      </c>
      <c r="H34" s="20" cm="1">
        <f t="array" ref="H34">Common_InputFunctions.Utility_DisplayArrayInTable(Scope3_SourceData.Scope3_Livestock_Data(), Table_SourceData_Scope3_Animals[[#Headers],[Category]], 0, 2)</f>
        <v>11</v>
      </c>
      <c r="I34" s="20" t="str" cm="1">
        <f t="array" ref="I34">Common_InputFunctions.Utility_DisplayArrayInTable(Scope3_SourceData.Scope3_Livestock_Data(), Table_SourceData_Scope3_Animals[[#Headers],[Category]], 0, 2)</f>
        <v>at market</v>
      </c>
      <c r="J34" s="20" t="s">
        <v>990</v>
      </c>
      <c r="L34" s="20" t="s">
        <v>991</v>
      </c>
      <c r="M34" s="20" t="s">
        <v>992</v>
      </c>
    </row>
    <row r="35" spans="1:13" ht="20.100000000000001" customHeight="1" x14ac:dyDescent="0.2">
      <c r="A35" s="5" t="str">
        <f>HYPERLINK("#'14.1.1-2 Purchased electricity'!A1", "14.1.1-2 Purchased electricity")</f>
        <v>14.1.1-2 Purchased electricity</v>
      </c>
      <c r="D35" s="20" t="str" cm="1">
        <f t="array" ref="D35">Common_InputFunctions.Utility_DisplayArrayInTable(Scope3_SourceData.Scope3_Livestock_Data(), Table_SourceData_Scope3_Animals[[#Headers],[Category]], 0, 2)</f>
        <v>Beef cattle</v>
      </c>
      <c r="E35" s="20" t="str" cm="1">
        <f t="array" ref="E35">Common_InputFunctions.Utility_DisplayArrayInTable(Scope3_SourceData.Scope3_Livestock_Data(), Table_SourceData_Scope3_Animals[[#Headers],[Category]], 0, 2)</f>
        <v>Cattle, for manufacturing beef</v>
      </c>
      <c r="F35" s="20" t="str" cm="1">
        <f t="array" ref="F35">Common_InputFunctions.Utility_DisplayArrayInTable(Scope3_SourceData.Scope3_Livestock_Data(), Table_SourceData_Scope3_Animals[[#Headers],[Category]], 0, 2)</f>
        <v>NSW</v>
      </c>
      <c r="G35" s="20" t="str" cm="1">
        <f t="array" ref="G35">Common_InputFunctions.Utility_DisplayArrayInTable(Scope3_SourceData.Scope3_Livestock_Data(), Table_SourceData_Scope3_Animals[[#Headers],[Category]], 0, 2)</f>
        <v>kg liveweight</v>
      </c>
      <c r="H35" s="20" cm="1">
        <f t="array" ref="H35">Common_InputFunctions.Utility_DisplayArrayInTable(Scope3_SourceData.Scope3_Livestock_Data(), Table_SourceData_Scope3_Animals[[#Headers],[Category]], 0, 2)</f>
        <v>8.2100000000000009</v>
      </c>
      <c r="I35" s="20" t="str" cm="1">
        <f t="array" ref="I35">Common_InputFunctions.Utility_DisplayArrayInTable(Scope3_SourceData.Scope3_Livestock_Data(), Table_SourceData_Scope3_Animals[[#Headers],[Category]], 0, 2)</f>
        <v>at market</v>
      </c>
      <c r="J35" s="20" t="s">
        <v>990</v>
      </c>
      <c r="L35" s="20" t="s">
        <v>992</v>
      </c>
      <c r="M35" s="20" t="s">
        <v>992</v>
      </c>
    </row>
    <row r="36" spans="1:13" ht="20.100000000000001" customHeight="1" x14ac:dyDescent="0.2">
      <c r="A36" s="5" t="str">
        <f>HYPERLINK("#'15 Scope 3'!A1", "15 Scope 3")</f>
        <v>15 Scope 3</v>
      </c>
      <c r="D36" s="20" t="str" cm="1">
        <f t="array" ref="D36">Common_InputFunctions.Utility_DisplayArrayInTable(Scope3_SourceData.Scope3_Livestock_Data(), Table_SourceData_Scope3_Animals[[#Headers],[Category]], 0, 2)</f>
        <v>Beef cattle</v>
      </c>
      <c r="E36" s="20" t="str" cm="1">
        <f t="array" ref="E36">Common_InputFunctions.Utility_DisplayArrayInTable(Scope3_SourceData.Scope3_Livestock_Data(), Table_SourceData_Scope3_Animals[[#Headers],[Category]], 0, 2)</f>
        <v>Cattle, for manufacturing beef</v>
      </c>
      <c r="F36" s="20" t="str" cm="1">
        <f t="array" ref="F36">Common_InputFunctions.Utility_DisplayArrayInTable(Scope3_SourceData.Scope3_Livestock_Data(), Table_SourceData_Scope3_Animals[[#Headers],[Category]], 0, 2)</f>
        <v>NT</v>
      </c>
      <c r="G36" s="20" t="str" cm="1">
        <f t="array" ref="G36">Common_InputFunctions.Utility_DisplayArrayInTable(Scope3_SourceData.Scope3_Livestock_Data(), Table_SourceData_Scope3_Animals[[#Headers],[Category]], 0, 2)</f>
        <v>kg liveweight</v>
      </c>
      <c r="H36" s="20" cm="1">
        <f t="array" ref="H36">Common_InputFunctions.Utility_DisplayArrayInTable(Scope3_SourceData.Scope3_Livestock_Data(), Table_SourceData_Scope3_Animals[[#Headers],[Category]], 0, 2)</f>
        <v>12.2</v>
      </c>
      <c r="I36" s="20" t="str" cm="1">
        <f t="array" ref="I36">Common_InputFunctions.Utility_DisplayArrayInTable(Scope3_SourceData.Scope3_Livestock_Data(), Table_SourceData_Scope3_Animals[[#Headers],[Category]], 0, 2)</f>
        <v>at market</v>
      </c>
      <c r="J36" s="20" t="s">
        <v>990</v>
      </c>
      <c r="L36" s="20" t="s">
        <v>993</v>
      </c>
      <c r="M36" s="20" t="s">
        <v>993</v>
      </c>
    </row>
    <row r="37" spans="1:13" ht="20.100000000000001" customHeight="1" x14ac:dyDescent="0.2">
      <c r="D37" s="20" t="str" cm="1">
        <f t="array" ref="D37">Common_InputFunctions.Utility_DisplayArrayInTable(Scope3_SourceData.Scope3_Livestock_Data(), Table_SourceData_Scope3_Animals[[#Headers],[Category]], 0, 2)</f>
        <v>Beef cattle</v>
      </c>
      <c r="E37" s="20" t="str" cm="1">
        <f t="array" ref="E37">Common_InputFunctions.Utility_DisplayArrayInTable(Scope3_SourceData.Scope3_Livestock_Data(), Table_SourceData_Scope3_Animals[[#Headers],[Category]], 0, 2)</f>
        <v>Cattle, for manufacturing beef</v>
      </c>
      <c r="F37" s="20" t="str" cm="1">
        <f t="array" ref="F37">Common_InputFunctions.Utility_DisplayArrayInTable(Scope3_SourceData.Scope3_Livestock_Data(), Table_SourceData_Scope3_Animals[[#Headers],[Category]], 0, 2)</f>
        <v>QLD</v>
      </c>
      <c r="G37" s="20" t="str" cm="1">
        <f t="array" ref="G37">Common_InputFunctions.Utility_DisplayArrayInTable(Scope3_SourceData.Scope3_Livestock_Data(), Table_SourceData_Scope3_Animals[[#Headers],[Category]], 0, 2)</f>
        <v>kg liveweight</v>
      </c>
      <c r="H37" s="20" cm="1">
        <f t="array" ref="H37">Common_InputFunctions.Utility_DisplayArrayInTable(Scope3_SourceData.Scope3_Livestock_Data(), Table_SourceData_Scope3_Animals[[#Headers],[Category]], 0, 2)</f>
        <v>10.9</v>
      </c>
      <c r="I37" s="20" t="str" cm="1">
        <f t="array" ref="I37">Common_InputFunctions.Utility_DisplayArrayInTable(Scope3_SourceData.Scope3_Livestock_Data(), Table_SourceData_Scope3_Animals[[#Headers],[Category]], 0, 2)</f>
        <v>at market</v>
      </c>
      <c r="J37" s="20" t="s">
        <v>990</v>
      </c>
      <c r="L37" s="20" t="s">
        <v>994</v>
      </c>
      <c r="M37" s="20" t="s">
        <v>994</v>
      </c>
    </row>
    <row r="38" spans="1:13" ht="20.100000000000001" customHeight="1" x14ac:dyDescent="0.2">
      <c r="D38" s="20" t="str" cm="1">
        <f t="array" ref="D38">Common_InputFunctions.Utility_DisplayArrayInTable(Scope3_SourceData.Scope3_Livestock_Data(), Table_SourceData_Scope3_Animals[[#Headers],[Category]], 0, 2)</f>
        <v>Beef cattle</v>
      </c>
      <c r="E38" s="20" t="str" cm="1">
        <f t="array" ref="E38">Common_InputFunctions.Utility_DisplayArrayInTable(Scope3_SourceData.Scope3_Livestock_Data(), Table_SourceData_Scope3_Animals[[#Headers],[Category]], 0, 2)</f>
        <v>Cattle, for manufacturing beef</v>
      </c>
      <c r="F38" s="20" t="str" cm="1">
        <f t="array" ref="F38">Common_InputFunctions.Utility_DisplayArrayInTable(Scope3_SourceData.Scope3_Livestock_Data(), Table_SourceData_Scope3_Animals[[#Headers],[Category]], 0, 2)</f>
        <v>SA</v>
      </c>
      <c r="G38" s="20" t="str" cm="1">
        <f t="array" ref="G38">Common_InputFunctions.Utility_DisplayArrayInTable(Scope3_SourceData.Scope3_Livestock_Data(), Table_SourceData_Scope3_Animals[[#Headers],[Category]], 0, 2)</f>
        <v>kg liveweight</v>
      </c>
      <c r="H38" s="20" cm="1">
        <f t="array" ref="H38">Common_InputFunctions.Utility_DisplayArrayInTable(Scope3_SourceData.Scope3_Livestock_Data(), Table_SourceData_Scope3_Animals[[#Headers],[Category]], 0, 2)</f>
        <v>7.63</v>
      </c>
      <c r="I38" s="20" t="str" cm="1">
        <f t="array" ref="I38">Common_InputFunctions.Utility_DisplayArrayInTable(Scope3_SourceData.Scope3_Livestock_Data(), Table_SourceData_Scope3_Animals[[#Headers],[Category]], 0, 2)</f>
        <v>at market</v>
      </c>
      <c r="J38" s="20" t="s">
        <v>990</v>
      </c>
      <c r="L38" s="20" t="s">
        <v>995</v>
      </c>
      <c r="M38" s="20" t="s">
        <v>995</v>
      </c>
    </row>
    <row r="39" spans="1:13" ht="20.100000000000001" customHeight="1" x14ac:dyDescent="0.2">
      <c r="A39" s="82" t="s">
        <v>1</v>
      </c>
      <c r="D39" s="20" t="str" cm="1">
        <f t="array" ref="D39">Common_InputFunctions.Utility_DisplayArrayInTable(Scope3_SourceData.Scope3_Livestock_Data(), Table_SourceData_Scope3_Animals[[#Headers],[Category]], 0, 2)</f>
        <v>Beef cattle</v>
      </c>
      <c r="E39" s="20" t="str" cm="1">
        <f t="array" ref="E39">Common_InputFunctions.Utility_DisplayArrayInTable(Scope3_SourceData.Scope3_Livestock_Data(), Table_SourceData_Scope3_Animals[[#Headers],[Category]], 0, 2)</f>
        <v>Cattle, for manufacturing beef</v>
      </c>
      <c r="F39" s="20" t="str" cm="1">
        <f t="array" ref="F39">Common_InputFunctions.Utility_DisplayArrayInTable(Scope3_SourceData.Scope3_Livestock_Data(), Table_SourceData_Scope3_Animals[[#Headers],[Category]], 0, 2)</f>
        <v>TAS</v>
      </c>
      <c r="G39" s="20" t="str" cm="1">
        <f t="array" ref="G39">Common_InputFunctions.Utility_DisplayArrayInTable(Scope3_SourceData.Scope3_Livestock_Data(), Table_SourceData_Scope3_Animals[[#Headers],[Category]], 0, 2)</f>
        <v>kg liveweight</v>
      </c>
      <c r="H39" s="20" cm="1">
        <f t="array" ref="H39">Common_InputFunctions.Utility_DisplayArrayInTable(Scope3_SourceData.Scope3_Livestock_Data(), Table_SourceData_Scope3_Animals[[#Headers],[Category]], 0, 2)</f>
        <v>8.75</v>
      </c>
      <c r="I39" s="20" t="str" cm="1">
        <f t="array" ref="I39">Common_InputFunctions.Utility_DisplayArrayInTable(Scope3_SourceData.Scope3_Livestock_Data(), Table_SourceData_Scope3_Animals[[#Headers],[Category]], 0, 2)</f>
        <v>at market</v>
      </c>
      <c r="J39" s="20" t="s">
        <v>990</v>
      </c>
      <c r="L39" s="20" t="s">
        <v>996</v>
      </c>
      <c r="M39" s="20" t="s">
        <v>997</v>
      </c>
    </row>
    <row r="40" spans="1:13" ht="20.100000000000001" customHeight="1" x14ac:dyDescent="0.2">
      <c r="A40" s="5" t="str">
        <f>HYPERLINK("#'Constants - Ag Residue'!A1", "Constants - Ag residue")</f>
        <v>Constants - Ag residue</v>
      </c>
      <c r="D40" s="20" t="str" cm="1">
        <f t="array" ref="D40">Common_InputFunctions.Utility_DisplayArrayInTable(Scope3_SourceData.Scope3_Livestock_Data(), Table_SourceData_Scope3_Animals[[#Headers],[Category]], 0, 2)</f>
        <v>Beef cattle</v>
      </c>
      <c r="E40" s="20" t="str" cm="1">
        <f t="array" ref="E40">Common_InputFunctions.Utility_DisplayArrayInTable(Scope3_SourceData.Scope3_Livestock_Data(), Table_SourceData_Scope3_Animals[[#Headers],[Category]], 0, 2)</f>
        <v>Cattle, for manufacturing beef</v>
      </c>
      <c r="F40" s="20" t="str" cm="1">
        <f t="array" ref="F40">Common_InputFunctions.Utility_DisplayArrayInTable(Scope3_SourceData.Scope3_Livestock_Data(), Table_SourceData_Scope3_Animals[[#Headers],[Category]], 0, 2)</f>
        <v>VIC</v>
      </c>
      <c r="G40" s="20" t="str" cm="1">
        <f t="array" ref="G40">Common_InputFunctions.Utility_DisplayArrayInTable(Scope3_SourceData.Scope3_Livestock_Data(), Table_SourceData_Scope3_Animals[[#Headers],[Category]], 0, 2)</f>
        <v>kg liveweight</v>
      </c>
      <c r="H40" s="20" cm="1">
        <f t="array" ref="H40">Common_InputFunctions.Utility_DisplayArrayInTable(Scope3_SourceData.Scope3_Livestock_Data(), Table_SourceData_Scope3_Animals[[#Headers],[Category]], 0, 2)</f>
        <v>8.17</v>
      </c>
      <c r="I40" s="20" t="str" cm="1">
        <f t="array" ref="I40">Common_InputFunctions.Utility_DisplayArrayInTable(Scope3_SourceData.Scope3_Livestock_Data(), Table_SourceData_Scope3_Animals[[#Headers],[Category]], 0, 2)</f>
        <v>at market</v>
      </c>
      <c r="J40" s="20" t="s">
        <v>990</v>
      </c>
      <c r="L40" s="20" t="s">
        <v>998</v>
      </c>
      <c r="M40" s="20" t="s">
        <v>997</v>
      </c>
    </row>
    <row r="41" spans="1:13" ht="20.100000000000001" customHeight="1" x14ac:dyDescent="0.2">
      <c r="A41" s="5" t="str">
        <f>HYPERLINK("#'Constants - Electricity'!A1", "Constants - Electricity")</f>
        <v>Constants - Electricity</v>
      </c>
      <c r="D41" s="20" t="str" cm="1">
        <f t="array" ref="D41">Common_InputFunctions.Utility_DisplayArrayInTable(Scope3_SourceData.Scope3_Livestock_Data(), Table_SourceData_Scope3_Animals[[#Headers],[Category]], 0, 2)</f>
        <v>Beef cattle</v>
      </c>
      <c r="E41" s="20" t="str" cm="1">
        <f t="array" ref="E41">Common_InputFunctions.Utility_DisplayArrayInTable(Scope3_SourceData.Scope3_Livestock_Data(), Table_SourceData_Scope3_Animals[[#Headers],[Category]], 0, 2)</f>
        <v>Cattle, for manufacturing beef</v>
      </c>
      <c r="F41" s="20" t="str" cm="1">
        <f t="array" ref="F41">Common_InputFunctions.Utility_DisplayArrayInTable(Scope3_SourceData.Scope3_Livestock_Data(), Table_SourceData_Scope3_Animals[[#Headers],[Category]], 0, 2)</f>
        <v>WA</v>
      </c>
      <c r="G41" s="20" t="str" cm="1">
        <f t="array" ref="G41">Common_InputFunctions.Utility_DisplayArrayInTable(Scope3_SourceData.Scope3_Livestock_Data(), Table_SourceData_Scope3_Animals[[#Headers],[Category]], 0, 2)</f>
        <v>kg liveweight</v>
      </c>
      <c r="H41" s="20" cm="1">
        <f t="array" ref="H41">Common_InputFunctions.Utility_DisplayArrayInTable(Scope3_SourceData.Scope3_Livestock_Data(), Table_SourceData_Scope3_Animals[[#Headers],[Category]], 0, 2)</f>
        <v>13.1</v>
      </c>
      <c r="I41" s="20" t="str" cm="1">
        <f t="array" ref="I41">Common_InputFunctions.Utility_DisplayArrayInTable(Scope3_SourceData.Scope3_Livestock_Data(), Table_SourceData_Scope3_Animals[[#Headers],[Category]], 0, 2)</f>
        <v>at market</v>
      </c>
      <c r="J41" s="20" t="s">
        <v>990</v>
      </c>
      <c r="L41" s="20" t="s">
        <v>999</v>
      </c>
      <c r="M41" s="20" t="s">
        <v>997</v>
      </c>
    </row>
    <row r="42" spans="1:13" ht="20.100000000000001" customHeight="1" x14ac:dyDescent="0.2">
      <c r="A42" s="5" t="str">
        <f>HYPERLINK("#'Constants - Fertiliser'!A1", "Constants - Fertiliser")</f>
        <v>Constants - Fertiliser</v>
      </c>
      <c r="D42" s="20" t="str" cm="1">
        <f t="array" ref="D42">Common_InputFunctions.Utility_DisplayArrayInTable(Scope3_SourceData.Scope3_Livestock_Data(), Table_SourceData_Scope3_Animals[[#Headers],[Category]], 0, 2)</f>
        <v>Beef cattle</v>
      </c>
      <c r="E42" s="20" t="str" cm="1">
        <f t="array" ref="E42">Common_InputFunctions.Utility_DisplayArrayInTable(Scope3_SourceData.Scope3_Livestock_Data(), Table_SourceData_Scope3_Animals[[#Headers],[Category]], 0, 2)</f>
        <v>Cattle, for prime beef</v>
      </c>
      <c r="F42" s="20" t="str" cm="1">
        <f t="array" ref="F42">Common_InputFunctions.Utility_DisplayArrayInTable(Scope3_SourceData.Scope3_Livestock_Data(), Table_SourceData_Scope3_Animals[[#Headers],[Category]], 0, 2)</f>
        <v>Australia</v>
      </c>
      <c r="G42" s="20" t="str" cm="1">
        <f t="array" ref="G42">Common_InputFunctions.Utility_DisplayArrayInTable(Scope3_SourceData.Scope3_Livestock_Data(), Table_SourceData_Scope3_Animals[[#Headers],[Category]], 0, 2)</f>
        <v>kg liveweight</v>
      </c>
      <c r="H42" s="20" cm="1">
        <f t="array" ref="H42">Common_InputFunctions.Utility_DisplayArrayInTable(Scope3_SourceData.Scope3_Livestock_Data(), Table_SourceData_Scope3_Animals[[#Headers],[Category]], 0, 2)</f>
        <v>14.5</v>
      </c>
      <c r="I42" s="20" t="str" cm="1">
        <f t="array" ref="I42">Common_InputFunctions.Utility_DisplayArrayInTable(Scope3_SourceData.Scope3_Livestock_Data(), Table_SourceData_Scope3_Animals[[#Headers],[Category]], 0, 2)</f>
        <v>at market</v>
      </c>
      <c r="J42" s="20" t="s">
        <v>990</v>
      </c>
      <c r="L42" s="20" t="s">
        <v>1000</v>
      </c>
      <c r="M42" s="20" t="s">
        <v>1001</v>
      </c>
    </row>
    <row r="43" spans="1:13" ht="20.100000000000001" customHeight="1" x14ac:dyDescent="0.2">
      <c r="A43" s="5" t="str">
        <f>HYPERLINK("#'Constants - Fuel'!A1", "Constants - Fuel")</f>
        <v>Constants - Fuel</v>
      </c>
      <c r="D43" s="20" t="str" cm="1">
        <f t="array" ref="D43">Common_InputFunctions.Utility_DisplayArrayInTable(Scope3_SourceData.Scope3_Livestock_Data(), Table_SourceData_Scope3_Animals[[#Headers],[Category]], 0, 2)</f>
        <v>Beef cattle</v>
      </c>
      <c r="E43" s="20" t="str" cm="1">
        <f t="array" ref="E43">Common_InputFunctions.Utility_DisplayArrayInTable(Scope3_SourceData.Scope3_Livestock_Data(), Table_SourceData_Scope3_Animals[[#Headers],[Category]], 0, 2)</f>
        <v>Cattle, for prime beef</v>
      </c>
      <c r="F43" s="20" t="str" cm="1">
        <f t="array" ref="F43">Common_InputFunctions.Utility_DisplayArrayInTable(Scope3_SourceData.Scope3_Livestock_Data(), Table_SourceData_Scope3_Animals[[#Headers],[Category]], 0, 2)</f>
        <v>NSW</v>
      </c>
      <c r="G43" s="20" t="str" cm="1">
        <f t="array" ref="G43">Common_InputFunctions.Utility_DisplayArrayInTable(Scope3_SourceData.Scope3_Livestock_Data(), Table_SourceData_Scope3_Animals[[#Headers],[Category]], 0, 2)</f>
        <v>kg liveweight</v>
      </c>
      <c r="H43" s="20" cm="1">
        <f t="array" ref="H43">Common_InputFunctions.Utility_DisplayArrayInTable(Scope3_SourceData.Scope3_Livestock_Data(), Table_SourceData_Scope3_Animals[[#Headers],[Category]], 0, 2)</f>
        <v>11.3</v>
      </c>
      <c r="I43" s="20" t="str" cm="1">
        <f t="array" ref="I43">Common_InputFunctions.Utility_DisplayArrayInTable(Scope3_SourceData.Scope3_Livestock_Data(), Table_SourceData_Scope3_Animals[[#Headers],[Category]], 0, 2)</f>
        <v>at market</v>
      </c>
      <c r="J43" s="20" t="s">
        <v>990</v>
      </c>
      <c r="L43" s="20" t="s">
        <v>1002</v>
      </c>
      <c r="M43" s="20" t="s">
        <v>1001</v>
      </c>
    </row>
    <row r="44" spans="1:13" ht="20.100000000000001" customHeight="1" x14ac:dyDescent="0.2">
      <c r="A44" s="83" t="str">
        <f>HYPERLINK("#'Constants - Scope 3'!A1", "Constants - Scope 3")</f>
        <v>Constants - Scope 3</v>
      </c>
      <c r="D44" s="20" t="str" cm="1">
        <f t="array" ref="D44">Common_InputFunctions.Utility_DisplayArrayInTable(Scope3_SourceData.Scope3_Livestock_Data(), Table_SourceData_Scope3_Animals[[#Headers],[Category]], 0, 2)</f>
        <v>Beef cattle</v>
      </c>
      <c r="E44" s="20" t="str" cm="1">
        <f t="array" ref="E44">Common_InputFunctions.Utility_DisplayArrayInTable(Scope3_SourceData.Scope3_Livestock_Data(), Table_SourceData_Scope3_Animals[[#Headers],[Category]], 0, 2)</f>
        <v>Cattle, for prime beef</v>
      </c>
      <c r="F44" s="20" t="str" cm="1">
        <f t="array" ref="F44">Common_InputFunctions.Utility_DisplayArrayInTable(Scope3_SourceData.Scope3_Livestock_Data(), Table_SourceData_Scope3_Animals[[#Headers],[Category]], 0, 2)</f>
        <v>NT</v>
      </c>
      <c r="G44" s="20" t="str" cm="1">
        <f t="array" ref="G44">Common_InputFunctions.Utility_DisplayArrayInTable(Scope3_SourceData.Scope3_Livestock_Data(), Table_SourceData_Scope3_Animals[[#Headers],[Category]], 0, 2)</f>
        <v>kg liveweight</v>
      </c>
      <c r="H44" s="20" cm="1">
        <f t="array" ref="H44">Common_InputFunctions.Utility_DisplayArrayInTable(Scope3_SourceData.Scope3_Livestock_Data(), Table_SourceData_Scope3_Animals[[#Headers],[Category]], 0, 2)</f>
        <v>18.899999999999999</v>
      </c>
      <c r="I44" s="20" t="str" cm="1">
        <f t="array" ref="I44">Common_InputFunctions.Utility_DisplayArrayInTable(Scope3_SourceData.Scope3_Livestock_Data(), Table_SourceData_Scope3_Animals[[#Headers],[Category]], 0, 2)</f>
        <v>at market</v>
      </c>
      <c r="J44" s="20" t="s">
        <v>990</v>
      </c>
      <c r="L44" s="20" t="s">
        <v>1003</v>
      </c>
      <c r="M44" s="20" t="s">
        <v>1001</v>
      </c>
    </row>
    <row r="45" spans="1:13" ht="20.100000000000001" customHeight="1" x14ac:dyDescent="0.2">
      <c r="A45" s="5" t="str">
        <f>HYPERLINK("#'Constants - Solid Waste'!A1", "Constants - Solid Waste")</f>
        <v>Constants - Solid Waste</v>
      </c>
      <c r="D45" s="20" t="str" cm="1">
        <f t="array" ref="D45">Common_InputFunctions.Utility_DisplayArrayInTable(Scope3_SourceData.Scope3_Livestock_Data(), Table_SourceData_Scope3_Animals[[#Headers],[Category]], 0, 2)</f>
        <v>Beef cattle</v>
      </c>
      <c r="E45" s="20" t="str" cm="1">
        <f t="array" ref="E45">Common_InputFunctions.Utility_DisplayArrayInTable(Scope3_SourceData.Scope3_Livestock_Data(), Table_SourceData_Scope3_Animals[[#Headers],[Category]], 0, 2)</f>
        <v>Cattle, for prime beef</v>
      </c>
      <c r="F45" s="20" t="str" cm="1">
        <f t="array" ref="F45">Common_InputFunctions.Utility_DisplayArrayInTable(Scope3_SourceData.Scope3_Livestock_Data(), Table_SourceData_Scope3_Animals[[#Headers],[Category]], 0, 2)</f>
        <v>QLD</v>
      </c>
      <c r="G45" s="20" t="str" cm="1">
        <f t="array" ref="G45">Common_InputFunctions.Utility_DisplayArrayInTable(Scope3_SourceData.Scope3_Livestock_Data(), Table_SourceData_Scope3_Animals[[#Headers],[Category]], 0, 2)</f>
        <v>kg liveweight</v>
      </c>
      <c r="H45" s="20" cm="1">
        <f t="array" ref="H45">Common_InputFunctions.Utility_DisplayArrayInTable(Scope3_SourceData.Scope3_Livestock_Data(), Table_SourceData_Scope3_Animals[[#Headers],[Category]], 0, 2)</f>
        <v>13.9</v>
      </c>
      <c r="I45" s="20" t="str" cm="1">
        <f t="array" ref="I45">Common_InputFunctions.Utility_DisplayArrayInTable(Scope3_SourceData.Scope3_Livestock_Data(), Table_SourceData_Scope3_Animals[[#Headers],[Category]], 0, 2)</f>
        <v>at market</v>
      </c>
      <c r="J45" s="20" t="s">
        <v>990</v>
      </c>
      <c r="L45" s="20" t="s">
        <v>1004</v>
      </c>
      <c r="M45" s="20" t="s">
        <v>1005</v>
      </c>
    </row>
    <row r="46" spans="1:13" ht="20.100000000000001" customHeight="1" x14ac:dyDescent="0.2">
      <c r="A46" s="5" t="str">
        <f>HYPERLINK("#'Constants - Common'!A1", "Constants - Common")</f>
        <v>Constants - Common</v>
      </c>
      <c r="D46" s="20" t="str" cm="1">
        <f t="array" ref="D46">Common_InputFunctions.Utility_DisplayArrayInTable(Scope3_SourceData.Scope3_Livestock_Data(), Table_SourceData_Scope3_Animals[[#Headers],[Category]], 0, 2)</f>
        <v>Beef cattle</v>
      </c>
      <c r="E46" s="20" t="str" cm="1">
        <f t="array" ref="E46">Common_InputFunctions.Utility_DisplayArrayInTable(Scope3_SourceData.Scope3_Livestock_Data(), Table_SourceData_Scope3_Animals[[#Headers],[Category]], 0, 2)</f>
        <v>Cattle, for prime beef</v>
      </c>
      <c r="F46" s="20" t="str" cm="1">
        <f t="array" ref="F46">Common_InputFunctions.Utility_DisplayArrayInTable(Scope3_SourceData.Scope3_Livestock_Data(), Table_SourceData_Scope3_Animals[[#Headers],[Category]], 0, 2)</f>
        <v>SA</v>
      </c>
      <c r="G46" s="20" t="str" cm="1">
        <f t="array" ref="G46">Common_InputFunctions.Utility_DisplayArrayInTable(Scope3_SourceData.Scope3_Livestock_Data(), Table_SourceData_Scope3_Animals[[#Headers],[Category]], 0, 2)</f>
        <v>kg liveweight</v>
      </c>
      <c r="H46" s="20" cm="1">
        <f t="array" ref="H46">Common_InputFunctions.Utility_DisplayArrayInTable(Scope3_SourceData.Scope3_Livestock_Data(), Table_SourceData_Scope3_Animals[[#Headers],[Category]], 0, 2)</f>
        <v>12.3</v>
      </c>
      <c r="I46" s="20" t="str" cm="1">
        <f t="array" ref="I46">Common_InputFunctions.Utility_DisplayArrayInTable(Scope3_SourceData.Scope3_Livestock_Data(), Table_SourceData_Scope3_Animals[[#Headers],[Category]], 0, 2)</f>
        <v>at market</v>
      </c>
      <c r="J46" s="20" t="s">
        <v>990</v>
      </c>
      <c r="L46" s="20" t="s">
        <v>1006</v>
      </c>
      <c r="M46" s="20" t="s">
        <v>1005</v>
      </c>
    </row>
    <row r="47" spans="1:13" ht="20.100000000000001" customHeight="1" x14ac:dyDescent="0.2">
      <c r="A47" s="5" t="str">
        <f>HYPERLINK("#'Constants - Common Livestock'!A1", "Constants - Common Livestock")</f>
        <v>Constants - Common Livestock</v>
      </c>
      <c r="D47" s="20" t="str" cm="1">
        <f t="array" ref="D47">Common_InputFunctions.Utility_DisplayArrayInTable(Scope3_SourceData.Scope3_Livestock_Data(), Table_SourceData_Scope3_Animals[[#Headers],[Category]], 0, 2)</f>
        <v>Beef cattle</v>
      </c>
      <c r="E47" s="20" t="str" cm="1">
        <f t="array" ref="E47">Common_InputFunctions.Utility_DisplayArrayInTable(Scope3_SourceData.Scope3_Livestock_Data(), Table_SourceData_Scope3_Animals[[#Headers],[Category]], 0, 2)</f>
        <v>Cattle, for prime beef</v>
      </c>
      <c r="F47" s="20" t="str" cm="1">
        <f t="array" ref="F47">Common_InputFunctions.Utility_DisplayArrayInTable(Scope3_SourceData.Scope3_Livestock_Data(), Table_SourceData_Scope3_Animals[[#Headers],[Category]], 0, 2)</f>
        <v>TAS</v>
      </c>
      <c r="G47" s="20" t="str" cm="1">
        <f t="array" ref="G47">Common_InputFunctions.Utility_DisplayArrayInTable(Scope3_SourceData.Scope3_Livestock_Data(), Table_SourceData_Scope3_Animals[[#Headers],[Category]], 0, 2)</f>
        <v>kg liveweight</v>
      </c>
      <c r="H47" s="20" cm="1">
        <f t="array" ref="H47">Common_InputFunctions.Utility_DisplayArrayInTable(Scope3_SourceData.Scope3_Livestock_Data(), Table_SourceData_Scope3_Animals[[#Headers],[Category]], 0, 2)</f>
        <v>11.5</v>
      </c>
      <c r="I47" s="20" t="str" cm="1">
        <f t="array" ref="I47">Common_InputFunctions.Utility_DisplayArrayInTable(Scope3_SourceData.Scope3_Livestock_Data(), Table_SourceData_Scope3_Animals[[#Headers],[Category]], 0, 2)</f>
        <v>at market</v>
      </c>
      <c r="J47" s="20" t="s">
        <v>990</v>
      </c>
      <c r="L47" s="20" t="s">
        <v>1007</v>
      </c>
      <c r="M47" s="20" t="s">
        <v>1005</v>
      </c>
    </row>
    <row r="48" spans="1:13" ht="20.100000000000001" customHeight="1" x14ac:dyDescent="0.2">
      <c r="D48" s="20" t="str" cm="1">
        <f t="array" ref="D48">Common_InputFunctions.Utility_DisplayArrayInTable(Scope3_SourceData.Scope3_Livestock_Data(), Table_SourceData_Scope3_Animals[[#Headers],[Category]], 0, 2)</f>
        <v>Beef cattle</v>
      </c>
      <c r="E48" s="20" t="str" cm="1">
        <f t="array" ref="E48">Common_InputFunctions.Utility_DisplayArrayInTable(Scope3_SourceData.Scope3_Livestock_Data(), Table_SourceData_Scope3_Animals[[#Headers],[Category]], 0, 2)</f>
        <v>Cattle, for prime beef</v>
      </c>
      <c r="F48" s="20" t="str" cm="1">
        <f t="array" ref="F48">Common_InputFunctions.Utility_DisplayArrayInTable(Scope3_SourceData.Scope3_Livestock_Data(), Table_SourceData_Scope3_Animals[[#Headers],[Category]], 0, 2)</f>
        <v>VIC</v>
      </c>
      <c r="G48" s="20" t="str" cm="1">
        <f t="array" ref="G48">Common_InputFunctions.Utility_DisplayArrayInTable(Scope3_SourceData.Scope3_Livestock_Data(), Table_SourceData_Scope3_Animals[[#Headers],[Category]], 0, 2)</f>
        <v>kg liveweight</v>
      </c>
      <c r="H48" s="20" cm="1">
        <f t="array" ref="H48">Common_InputFunctions.Utility_DisplayArrayInTable(Scope3_SourceData.Scope3_Livestock_Data(), Table_SourceData_Scope3_Animals[[#Headers],[Category]], 0, 2)</f>
        <v>11.5</v>
      </c>
      <c r="I48" s="20" t="str" cm="1">
        <f t="array" ref="I48">Common_InputFunctions.Utility_DisplayArrayInTable(Scope3_SourceData.Scope3_Livestock_Data(), Table_SourceData_Scope3_Animals[[#Headers],[Category]], 0, 2)</f>
        <v>at market</v>
      </c>
      <c r="J48" s="20" t="s">
        <v>990</v>
      </c>
      <c r="L48" s="20" t="s">
        <v>1008</v>
      </c>
      <c r="M48" s="20" t="s">
        <v>1005</v>
      </c>
    </row>
    <row r="49" spans="1:13" ht="20.100000000000001" customHeight="1" x14ac:dyDescent="0.2">
      <c r="D49" s="20" t="str" cm="1">
        <f t="array" ref="D49">Common_InputFunctions.Utility_DisplayArrayInTable(Scope3_SourceData.Scope3_Livestock_Data(), Table_SourceData_Scope3_Animals[[#Headers],[Category]], 0, 2)</f>
        <v>Beef cattle</v>
      </c>
      <c r="E49" s="20" t="str" cm="1">
        <f t="array" ref="E49">Common_InputFunctions.Utility_DisplayArrayInTable(Scope3_SourceData.Scope3_Livestock_Data(), Table_SourceData_Scope3_Animals[[#Headers],[Category]], 0, 2)</f>
        <v>Cattle, for prime beef</v>
      </c>
      <c r="F49" s="20" t="str" cm="1">
        <f t="array" ref="F49">Common_InputFunctions.Utility_DisplayArrayInTable(Scope3_SourceData.Scope3_Livestock_Data(), Table_SourceData_Scope3_Animals[[#Headers],[Category]], 0, 2)</f>
        <v>WA</v>
      </c>
      <c r="G49" s="20" t="str" cm="1">
        <f t="array" ref="G49">Common_InputFunctions.Utility_DisplayArrayInTable(Scope3_SourceData.Scope3_Livestock_Data(), Table_SourceData_Scope3_Animals[[#Headers],[Category]], 0, 2)</f>
        <v>kg liveweight</v>
      </c>
      <c r="H49" s="20" cm="1">
        <f t="array" ref="H49">Common_InputFunctions.Utility_DisplayArrayInTable(Scope3_SourceData.Scope3_Livestock_Data(), Table_SourceData_Scope3_Animals[[#Headers],[Category]], 0, 2)</f>
        <v>20.8</v>
      </c>
      <c r="I49" s="20" t="str" cm="1">
        <f t="array" ref="I49">Common_InputFunctions.Utility_DisplayArrayInTable(Scope3_SourceData.Scope3_Livestock_Data(), Table_SourceData_Scope3_Animals[[#Headers],[Category]], 0, 2)</f>
        <v>at market</v>
      </c>
      <c r="J49" s="20" t="s">
        <v>990</v>
      </c>
      <c r="L49" s="1" t="s">
        <v>1009</v>
      </c>
      <c r="M49" s="1" t="s">
        <v>1009</v>
      </c>
    </row>
    <row r="50" spans="1:13" ht="20.100000000000001" customHeight="1" x14ac:dyDescent="0.2">
      <c r="D50" s="20" t="str" cm="1">
        <f t="array" ref="D50">Common_InputFunctions.Utility_DisplayArrayInTable(Scope3_SourceData.Scope3_Livestock_Data(), Table_SourceData_Scope3_Animals[[#Headers],[Category]], 0, 2)</f>
        <v>Beef cattle</v>
      </c>
      <c r="E50" s="20" t="str" cm="1">
        <f t="array" ref="E50">Common_InputFunctions.Utility_DisplayArrayInTable(Scope3_SourceData.Scope3_Livestock_Data(), Table_SourceData_Scope3_Animals[[#Headers],[Category]], 0, 2)</f>
        <v>Cattle, weaners</v>
      </c>
      <c r="F50" s="20" t="str" cm="1">
        <f t="array" ref="F50">Common_InputFunctions.Utility_DisplayArrayInTable(Scope3_SourceData.Scope3_Livestock_Data(), Table_SourceData_Scope3_Animals[[#Headers],[Category]], 0, 2)</f>
        <v>Australia</v>
      </c>
      <c r="G50" s="20" t="str" cm="1">
        <f t="array" ref="G50">Common_InputFunctions.Utility_DisplayArrayInTable(Scope3_SourceData.Scope3_Livestock_Data(), Table_SourceData_Scope3_Animals[[#Headers],[Category]], 0, 2)</f>
        <v>kg liveweight</v>
      </c>
      <c r="H50" s="20" cm="1">
        <f t="array" ref="H50">Common_InputFunctions.Utility_DisplayArrayInTable(Scope3_SourceData.Scope3_Livestock_Data(), Table_SourceData_Scope3_Animals[[#Headers],[Category]], 0, 2)</f>
        <v>15.5</v>
      </c>
      <c r="I50" s="20" t="str" cm="1">
        <f t="array" ref="I50">Common_InputFunctions.Utility_DisplayArrayInTable(Scope3_SourceData.Scope3_Livestock_Data(), Table_SourceData_Scope3_Animals[[#Headers],[Category]], 0, 2)</f>
        <v>at market</v>
      </c>
      <c r="J50" s="20" t="s">
        <v>990</v>
      </c>
    </row>
    <row r="51" spans="1:13" ht="20.100000000000001" customHeight="1" x14ac:dyDescent="0.2">
      <c r="D51" s="20" t="str" cm="1">
        <f t="array" ref="D51">Common_InputFunctions.Utility_DisplayArrayInTable(Scope3_SourceData.Scope3_Livestock_Data(), Table_SourceData_Scope3_Animals[[#Headers],[Category]], 0, 2)</f>
        <v>Beef cattle</v>
      </c>
      <c r="E51" s="20" t="str" cm="1">
        <f t="array" ref="E51">Common_InputFunctions.Utility_DisplayArrayInTable(Scope3_SourceData.Scope3_Livestock_Data(), Table_SourceData_Scope3_Animals[[#Headers],[Category]], 0, 2)</f>
        <v>Cattle, weaners</v>
      </c>
      <c r="F51" s="20" t="str" cm="1">
        <f t="array" ref="F51">Common_InputFunctions.Utility_DisplayArrayInTable(Scope3_SourceData.Scope3_Livestock_Data(), Table_SourceData_Scope3_Animals[[#Headers],[Category]], 0, 2)</f>
        <v>NSW</v>
      </c>
      <c r="G51" s="20" t="str" cm="1">
        <f t="array" ref="G51">Common_InputFunctions.Utility_DisplayArrayInTable(Scope3_SourceData.Scope3_Livestock_Data(), Table_SourceData_Scope3_Animals[[#Headers],[Category]], 0, 2)</f>
        <v>kg liveweight</v>
      </c>
      <c r="H51" s="20" cm="1">
        <f t="array" ref="H51">Common_InputFunctions.Utility_DisplayArrayInTable(Scope3_SourceData.Scope3_Livestock_Data(), Table_SourceData_Scope3_Animals[[#Headers],[Category]], 0, 2)</f>
        <v>12.7</v>
      </c>
      <c r="I51" s="20" t="str" cm="1">
        <f t="array" ref="I51">Common_InputFunctions.Utility_DisplayArrayInTable(Scope3_SourceData.Scope3_Livestock_Data(), Table_SourceData_Scope3_Animals[[#Headers],[Category]], 0, 2)</f>
        <v>at market</v>
      </c>
      <c r="J51" s="20" t="s">
        <v>990</v>
      </c>
    </row>
    <row r="52" spans="1:13" ht="20.100000000000001" customHeight="1" x14ac:dyDescent="0.2">
      <c r="D52" s="20" t="str" cm="1">
        <f t="array" ref="D52">Common_InputFunctions.Utility_DisplayArrayInTable(Scope3_SourceData.Scope3_Livestock_Data(), Table_SourceData_Scope3_Animals[[#Headers],[Category]], 0, 2)</f>
        <v>Beef cattle</v>
      </c>
      <c r="E52" s="20" t="str" cm="1">
        <f t="array" ref="E52">Common_InputFunctions.Utility_DisplayArrayInTable(Scope3_SourceData.Scope3_Livestock_Data(), Table_SourceData_Scope3_Animals[[#Headers],[Category]], 0, 2)</f>
        <v>Cattle, weaners</v>
      </c>
      <c r="F52" s="20" t="str" cm="1">
        <f t="array" ref="F52">Common_InputFunctions.Utility_DisplayArrayInTable(Scope3_SourceData.Scope3_Livestock_Data(), Table_SourceData_Scope3_Animals[[#Headers],[Category]], 0, 2)</f>
        <v>NT</v>
      </c>
      <c r="G52" s="20" t="str" cm="1">
        <f t="array" ref="G52">Common_InputFunctions.Utility_DisplayArrayInTable(Scope3_SourceData.Scope3_Livestock_Data(), Table_SourceData_Scope3_Animals[[#Headers],[Category]], 0, 2)</f>
        <v>kg liveweight</v>
      </c>
      <c r="H52" s="20" cm="1">
        <f t="array" ref="H52">Common_InputFunctions.Utility_DisplayArrayInTable(Scope3_SourceData.Scope3_Livestock_Data(), Table_SourceData_Scope3_Animals[[#Headers],[Category]], 0, 2)</f>
        <v>19.100000000000001</v>
      </c>
      <c r="I52" s="20" t="str" cm="1">
        <f t="array" ref="I52">Common_InputFunctions.Utility_DisplayArrayInTable(Scope3_SourceData.Scope3_Livestock_Data(), Table_SourceData_Scope3_Animals[[#Headers],[Category]], 0, 2)</f>
        <v>at market</v>
      </c>
      <c r="J52" s="20" t="s">
        <v>990</v>
      </c>
    </row>
    <row r="53" spans="1:13" ht="20.100000000000001" customHeight="1" x14ac:dyDescent="0.2">
      <c r="D53" s="20" t="str" cm="1">
        <f t="array" ref="D53">Common_InputFunctions.Utility_DisplayArrayInTable(Scope3_SourceData.Scope3_Livestock_Data(), Table_SourceData_Scope3_Animals[[#Headers],[Category]], 0, 2)</f>
        <v>Beef cattle</v>
      </c>
      <c r="E53" s="20" t="str" cm="1">
        <f t="array" ref="E53">Common_InputFunctions.Utility_DisplayArrayInTable(Scope3_SourceData.Scope3_Livestock_Data(), Table_SourceData_Scope3_Animals[[#Headers],[Category]], 0, 2)</f>
        <v>Cattle, weaners</v>
      </c>
      <c r="F53" s="20" t="str" cm="1">
        <f t="array" ref="F53">Common_InputFunctions.Utility_DisplayArrayInTable(Scope3_SourceData.Scope3_Livestock_Data(), Table_SourceData_Scope3_Animals[[#Headers],[Category]], 0, 2)</f>
        <v>QLD</v>
      </c>
      <c r="G53" s="20" t="str" cm="1">
        <f t="array" ref="G53">Common_InputFunctions.Utility_DisplayArrayInTable(Scope3_SourceData.Scope3_Livestock_Data(), Table_SourceData_Scope3_Animals[[#Headers],[Category]], 0, 2)</f>
        <v>kg liveweight</v>
      </c>
      <c r="H53" s="20" cm="1">
        <f t="array" ref="H53">Common_InputFunctions.Utility_DisplayArrayInTable(Scope3_SourceData.Scope3_Livestock_Data(), Table_SourceData_Scope3_Animals[[#Headers],[Category]], 0, 2)</f>
        <v>20.5</v>
      </c>
      <c r="I53" s="20" t="str" cm="1">
        <f t="array" ref="I53">Common_InputFunctions.Utility_DisplayArrayInTable(Scope3_SourceData.Scope3_Livestock_Data(), Table_SourceData_Scope3_Animals[[#Headers],[Category]], 0, 2)</f>
        <v>at market</v>
      </c>
      <c r="J53" s="20" t="s">
        <v>990</v>
      </c>
    </row>
    <row r="54" spans="1:13" ht="20.100000000000001" customHeight="1" x14ac:dyDescent="0.2">
      <c r="D54" s="20" t="str" cm="1">
        <f t="array" ref="D54">Common_InputFunctions.Utility_DisplayArrayInTable(Scope3_SourceData.Scope3_Livestock_Data(), Table_SourceData_Scope3_Animals[[#Headers],[Category]], 0, 2)</f>
        <v>Beef cattle</v>
      </c>
      <c r="E54" s="20" t="str" cm="1">
        <f t="array" ref="E54">Common_InputFunctions.Utility_DisplayArrayInTable(Scope3_SourceData.Scope3_Livestock_Data(), Table_SourceData_Scope3_Animals[[#Headers],[Category]], 0, 2)</f>
        <v>Cattle, weaners</v>
      </c>
      <c r="F54" s="20" t="str" cm="1">
        <f t="array" ref="F54">Common_InputFunctions.Utility_DisplayArrayInTable(Scope3_SourceData.Scope3_Livestock_Data(), Table_SourceData_Scope3_Animals[[#Headers],[Category]], 0, 2)</f>
        <v>SA</v>
      </c>
      <c r="G54" s="20" t="str" cm="1">
        <f t="array" ref="G54">Common_InputFunctions.Utility_DisplayArrayInTable(Scope3_SourceData.Scope3_Livestock_Data(), Table_SourceData_Scope3_Animals[[#Headers],[Category]], 0, 2)</f>
        <v>kg liveweight</v>
      </c>
      <c r="H54" s="20" cm="1">
        <f t="array" ref="H54">Common_InputFunctions.Utility_DisplayArrayInTable(Scope3_SourceData.Scope3_Livestock_Data(), Table_SourceData_Scope3_Animals[[#Headers],[Category]], 0, 2)</f>
        <v>10.8</v>
      </c>
      <c r="I54" s="20" t="str" cm="1">
        <f t="array" ref="I54">Common_InputFunctions.Utility_DisplayArrayInTable(Scope3_SourceData.Scope3_Livestock_Data(), Table_SourceData_Scope3_Animals[[#Headers],[Category]], 0, 2)</f>
        <v>at market</v>
      </c>
      <c r="J54" s="20" t="s">
        <v>990</v>
      </c>
    </row>
    <row r="55" spans="1:13" ht="20.100000000000001" customHeight="1" x14ac:dyDescent="0.2">
      <c r="D55" s="20" t="str" cm="1">
        <f t="array" ref="D55">Common_InputFunctions.Utility_DisplayArrayInTable(Scope3_SourceData.Scope3_Livestock_Data(), Table_SourceData_Scope3_Animals[[#Headers],[Category]], 0, 2)</f>
        <v>Beef cattle</v>
      </c>
      <c r="E55" s="20" t="str" cm="1">
        <f t="array" ref="E55">Common_InputFunctions.Utility_DisplayArrayInTable(Scope3_SourceData.Scope3_Livestock_Data(), Table_SourceData_Scope3_Animals[[#Headers],[Category]], 0, 2)</f>
        <v>Cattle, weaners</v>
      </c>
      <c r="F55" s="20" t="str" cm="1">
        <f t="array" ref="F55">Common_InputFunctions.Utility_DisplayArrayInTable(Scope3_SourceData.Scope3_Livestock_Data(), Table_SourceData_Scope3_Animals[[#Headers],[Category]], 0, 2)</f>
        <v>TAS</v>
      </c>
      <c r="G55" s="20" t="str" cm="1">
        <f t="array" ref="G55">Common_InputFunctions.Utility_DisplayArrayInTable(Scope3_SourceData.Scope3_Livestock_Data(), Table_SourceData_Scope3_Animals[[#Headers],[Category]], 0, 2)</f>
        <v>kg liveweight</v>
      </c>
      <c r="H55" s="20" cm="1">
        <f t="array" ref="H55">Common_InputFunctions.Utility_DisplayArrayInTable(Scope3_SourceData.Scope3_Livestock_Data(), Table_SourceData_Scope3_Animals[[#Headers],[Category]], 0, 2)</f>
        <v>13.4</v>
      </c>
      <c r="I55" s="20" t="str" cm="1">
        <f t="array" ref="I55">Common_InputFunctions.Utility_DisplayArrayInTable(Scope3_SourceData.Scope3_Livestock_Data(), Table_SourceData_Scope3_Animals[[#Headers],[Category]], 0, 2)</f>
        <v>at market</v>
      </c>
      <c r="J55" s="20" t="s">
        <v>990</v>
      </c>
    </row>
    <row r="56" spans="1:13" ht="20.100000000000001" customHeight="1" x14ac:dyDescent="0.2">
      <c r="D56" s="20" t="str" cm="1">
        <f t="array" ref="D56">Common_InputFunctions.Utility_DisplayArrayInTable(Scope3_SourceData.Scope3_Livestock_Data(), Table_SourceData_Scope3_Animals[[#Headers],[Category]], 0, 2)</f>
        <v>Beef cattle</v>
      </c>
      <c r="E56" s="20" t="str" cm="1">
        <f t="array" ref="E56">Common_InputFunctions.Utility_DisplayArrayInTable(Scope3_SourceData.Scope3_Livestock_Data(), Table_SourceData_Scope3_Animals[[#Headers],[Category]], 0, 2)</f>
        <v>Cattle, weaners</v>
      </c>
      <c r="F56" s="20" t="str" cm="1">
        <f t="array" ref="F56">Common_InputFunctions.Utility_DisplayArrayInTable(Scope3_SourceData.Scope3_Livestock_Data(), Table_SourceData_Scope3_Animals[[#Headers],[Category]], 0, 2)</f>
        <v>VIC</v>
      </c>
      <c r="G56" s="20" t="str" cm="1">
        <f t="array" ref="G56">Common_InputFunctions.Utility_DisplayArrayInTable(Scope3_SourceData.Scope3_Livestock_Data(), Table_SourceData_Scope3_Animals[[#Headers],[Category]], 0, 2)</f>
        <v>kg liveweight</v>
      </c>
      <c r="H56" s="20" cm="1">
        <f t="array" ref="H56">Common_InputFunctions.Utility_DisplayArrayInTable(Scope3_SourceData.Scope3_Livestock_Data(), Table_SourceData_Scope3_Animals[[#Headers],[Category]], 0, 2)</f>
        <v>12</v>
      </c>
      <c r="I56" s="20" t="str" cm="1">
        <f t="array" ref="I56">Common_InputFunctions.Utility_DisplayArrayInTable(Scope3_SourceData.Scope3_Livestock_Data(), Table_SourceData_Scope3_Animals[[#Headers],[Category]], 0, 2)</f>
        <v>at market</v>
      </c>
      <c r="J56" s="20" t="s">
        <v>990</v>
      </c>
    </row>
    <row r="57" spans="1:13" ht="20.100000000000001" customHeight="1" x14ac:dyDescent="0.2">
      <c r="D57" s="20" t="str" cm="1">
        <f t="array" ref="D57">Common_InputFunctions.Utility_DisplayArrayInTable(Scope3_SourceData.Scope3_Livestock_Data(), Table_SourceData_Scope3_Animals[[#Headers],[Category]], 0, 2)</f>
        <v>Beef cattle</v>
      </c>
      <c r="E57" s="20" t="str" cm="1">
        <f t="array" ref="E57">Common_InputFunctions.Utility_DisplayArrayInTable(Scope3_SourceData.Scope3_Livestock_Data(), Table_SourceData_Scope3_Animals[[#Headers],[Category]], 0, 2)</f>
        <v>Cattle, weaners</v>
      </c>
      <c r="F57" s="20" t="str" cm="1">
        <f t="array" ref="F57">Common_InputFunctions.Utility_DisplayArrayInTable(Scope3_SourceData.Scope3_Livestock_Data(), Table_SourceData_Scope3_Animals[[#Headers],[Category]], 0, 2)</f>
        <v>WA</v>
      </c>
      <c r="G57" s="20" t="str" cm="1">
        <f t="array" ref="G57">Common_InputFunctions.Utility_DisplayArrayInTable(Scope3_SourceData.Scope3_Livestock_Data(), Table_SourceData_Scope3_Animals[[#Headers],[Category]], 0, 2)</f>
        <v>kg liveweight</v>
      </c>
      <c r="H57" s="20" cm="1">
        <f t="array" ref="H57">Common_InputFunctions.Utility_DisplayArrayInTable(Scope3_SourceData.Scope3_Livestock_Data(), Table_SourceData_Scope3_Animals[[#Headers],[Category]], 0, 2)</f>
        <v>12.4</v>
      </c>
      <c r="I57" s="20" t="str" cm="1">
        <f t="array" ref="I57">Common_InputFunctions.Utility_DisplayArrayInTable(Scope3_SourceData.Scope3_Livestock_Data(), Table_SourceData_Scope3_Animals[[#Headers],[Category]], 0, 2)</f>
        <v>at market</v>
      </c>
      <c r="J57" s="20" t="s">
        <v>990</v>
      </c>
    </row>
    <row r="58" spans="1:13" ht="20.100000000000001" customHeight="1" x14ac:dyDescent="0.2">
      <c r="A58" s="81" t="str">
        <f>HYPERLINK("#A1", "▲ Back to top")</f>
        <v>▲ Back to top</v>
      </c>
      <c r="D58" s="20" t="str" cm="1">
        <f t="array" ref="D58">Common_InputFunctions.Utility_DisplayArrayInTable(Scope3_SourceData.Scope3_Livestock_Data(), Table_SourceData_Scope3_Animals[[#Headers],[Category]], 0, 2)</f>
        <v>Chickens</v>
      </c>
      <c r="E58" s="20" t="str" cm="1">
        <f t="array" ref="E58">Common_InputFunctions.Utility_DisplayArrayInTable(Scope3_SourceData.Scope3_Livestock_Data(), Table_SourceData_Scope3_Animals[[#Headers],[Category]], 0, 2)</f>
        <v>Chickens</v>
      </c>
      <c r="F58" s="20" t="str" cm="1">
        <f t="array" ref="F58">Common_InputFunctions.Utility_DisplayArrayInTable(Scope3_SourceData.Scope3_Livestock_Data(), Table_SourceData_Scope3_Animals[[#Headers],[Category]], 0, 2)</f>
        <v>Australia</v>
      </c>
      <c r="G58" s="20" t="str" cm="1">
        <f t="array" ref="G58">Common_InputFunctions.Utility_DisplayArrayInTable(Scope3_SourceData.Scope3_Livestock_Data(), Table_SourceData_Scope3_Animals[[#Headers],[Category]], 0, 2)</f>
        <v>kg liveweight</v>
      </c>
      <c r="H58" s="20" cm="1">
        <f t="array" ref="H58">Common_InputFunctions.Utility_DisplayArrayInTable(Scope3_SourceData.Scope3_Livestock_Data(), Table_SourceData_Scope3_Animals[[#Headers],[Category]], 0, 2)</f>
        <v>1.36</v>
      </c>
      <c r="I58" s="20" t="str" cm="1">
        <f t="array" ref="I58">Common_InputFunctions.Utility_DisplayArrayInTable(Scope3_SourceData.Scope3_Livestock_Data(), Table_SourceData_Scope3_Animals[[#Headers],[Category]], 0, 2)</f>
        <v>at market</v>
      </c>
      <c r="J58" s="20" t="s">
        <v>990</v>
      </c>
    </row>
    <row r="59" spans="1:13" ht="20.100000000000001" customHeight="1" x14ac:dyDescent="0.2">
      <c r="D59" s="20" t="str" cm="1">
        <f t="array" ref="D59">Common_InputFunctions.Utility_DisplayArrayInTable(Scope3_SourceData.Scope3_Livestock_Data(), Table_SourceData_Scope3_Animals[[#Headers],[Category]], 0, 2)</f>
        <v>Dairy cattle</v>
      </c>
      <c r="E59" s="20" t="str" cm="1">
        <f t="array" ref="E59">Common_InputFunctions.Utility_DisplayArrayInTable(Scope3_SourceData.Scope3_Livestock_Data(), Table_SourceData_Scope3_Animals[[#Headers],[Category]], 0, 2)</f>
        <v>Dairy cows</v>
      </c>
      <c r="F59" s="20" t="str" cm="1">
        <f t="array" ref="F59">Common_InputFunctions.Utility_DisplayArrayInTable(Scope3_SourceData.Scope3_Livestock_Data(), Table_SourceData_Scope3_Animals[[#Headers],[Category]], 0, 2)</f>
        <v>VIC</v>
      </c>
      <c r="G59" s="20" t="str" cm="1">
        <f t="array" ref="G59">Common_InputFunctions.Utility_DisplayArrayInTable(Scope3_SourceData.Scope3_Livestock_Data(), Table_SourceData_Scope3_Animals[[#Headers],[Category]], 0, 2)</f>
        <v>kg liveweight</v>
      </c>
      <c r="H59" s="20" cm="1">
        <f t="array" ref="H59">Common_InputFunctions.Utility_DisplayArrayInTable(Scope3_SourceData.Scope3_Livestock_Data(), Table_SourceData_Scope3_Animals[[#Headers],[Category]], 0, 2)</f>
        <v>4.41</v>
      </c>
      <c r="I59" s="20" t="str" cm="1">
        <f t="array" ref="I59">Common_InputFunctions.Utility_DisplayArrayInTable(Scope3_SourceData.Scope3_Livestock_Data(), Table_SourceData_Scope3_Animals[[#Headers],[Category]], 0, 2)</f>
        <v>at market</v>
      </c>
      <c r="J59" s="20" t="s">
        <v>990</v>
      </c>
    </row>
    <row r="60" spans="1:13" ht="20.100000000000001" customHeight="1" x14ac:dyDescent="0.2">
      <c r="D60" s="20" t="str" cm="1">
        <f t="array" ref="D60">Common_InputFunctions.Utility_DisplayArrayInTable(Scope3_SourceData.Scope3_Livestock_Data(), Table_SourceData_Scope3_Animals[[#Headers],[Category]], 0, 2)</f>
        <v>Pigs</v>
      </c>
      <c r="E60" s="20" t="str" cm="1">
        <f t="array" ref="E60">Common_InputFunctions.Utility_DisplayArrayInTable(Scope3_SourceData.Scope3_Livestock_Data(), Table_SourceData_Scope3_Animals[[#Headers],[Category]], 0, 2)</f>
        <v>Pigs</v>
      </c>
      <c r="F60" s="20" t="str" cm="1">
        <f t="array" ref="F60">Common_InputFunctions.Utility_DisplayArrayInTable(Scope3_SourceData.Scope3_Livestock_Data(), Table_SourceData_Scope3_Animals[[#Headers],[Category]], 0, 2)</f>
        <v>Australia</v>
      </c>
      <c r="G60" s="20" t="str" cm="1">
        <f t="array" ref="G60">Common_InputFunctions.Utility_DisplayArrayInTable(Scope3_SourceData.Scope3_Livestock_Data(), Table_SourceData_Scope3_Animals[[#Headers],[Category]], 0, 2)</f>
        <v>kg liveweight</v>
      </c>
      <c r="H60" s="20" cm="1">
        <f t="array" ref="H60">Common_InputFunctions.Utility_DisplayArrayInTable(Scope3_SourceData.Scope3_Livestock_Data(), Table_SourceData_Scope3_Animals[[#Headers],[Category]], 0, 2)</f>
        <v>3.38</v>
      </c>
      <c r="I60" s="20" t="str" cm="1">
        <f t="array" ref="I60">Common_InputFunctions.Utility_DisplayArrayInTable(Scope3_SourceData.Scope3_Livestock_Data(), Table_SourceData_Scope3_Animals[[#Headers],[Category]], 0, 2)</f>
        <v>at market</v>
      </c>
      <c r="J60" s="20" t="s">
        <v>990</v>
      </c>
    </row>
    <row r="61" spans="1:13" ht="20.100000000000001" customHeight="1" x14ac:dyDescent="0.2">
      <c r="D61" s="20" t="str" cm="1">
        <f t="array" ref="D61">Common_InputFunctions.Utility_DisplayArrayInTable(Scope3_SourceData.Scope3_Livestock_Data(), Table_SourceData_Scope3_Animals[[#Headers],[Category]], 0, 2)</f>
        <v>Sheep</v>
      </c>
      <c r="E61" s="20" t="str" cm="1">
        <f t="array" ref="E61">Common_InputFunctions.Utility_DisplayArrayInTable(Scope3_SourceData.Scope3_Livestock_Data(), Table_SourceData_Scope3_Animals[[#Headers],[Category]], 0, 2)</f>
        <v>Sheep, for mutton</v>
      </c>
      <c r="F61" s="20" t="str" cm="1">
        <f t="array" ref="F61">Common_InputFunctions.Utility_DisplayArrayInTable(Scope3_SourceData.Scope3_Livestock_Data(), Table_SourceData_Scope3_Animals[[#Headers],[Category]], 0, 2)</f>
        <v>Australia</v>
      </c>
      <c r="G61" s="20" t="str" cm="1">
        <f t="array" ref="G61">Common_InputFunctions.Utility_DisplayArrayInTable(Scope3_SourceData.Scope3_Livestock_Data(), Table_SourceData_Scope3_Animals[[#Headers],[Category]], 0, 2)</f>
        <v>kg liveweight</v>
      </c>
      <c r="H61" s="20" cm="1">
        <f t="array" ref="H61">Common_InputFunctions.Utility_DisplayArrayInTable(Scope3_SourceData.Scope3_Livestock_Data(), Table_SourceData_Scope3_Animals[[#Headers],[Category]], 0, 2)</f>
        <v>6.81</v>
      </c>
      <c r="I61" s="20" t="str" cm="1">
        <f t="array" ref="I61">Common_InputFunctions.Utility_DisplayArrayInTable(Scope3_SourceData.Scope3_Livestock_Data(), Table_SourceData_Scope3_Animals[[#Headers],[Category]], 0, 2)</f>
        <v>at market</v>
      </c>
      <c r="J61" s="20" t="s">
        <v>990</v>
      </c>
    </row>
    <row r="62" spans="1:13" ht="20.100000000000001" customHeight="1" x14ac:dyDescent="0.2">
      <c r="D62" s="20" t="str" cm="1">
        <f t="array" ref="D62">Common_InputFunctions.Utility_DisplayArrayInTable(Scope3_SourceData.Scope3_Livestock_Data(), Table_SourceData_Scope3_Animals[[#Headers],[Category]], 0, 2)</f>
        <v>Sheep</v>
      </c>
      <c r="E62" s="20" t="str" cm="1">
        <f t="array" ref="E62">Common_InputFunctions.Utility_DisplayArrayInTable(Scope3_SourceData.Scope3_Livestock_Data(), Table_SourceData_Scope3_Animals[[#Headers],[Category]], 0, 2)</f>
        <v>Sheep, for mutton</v>
      </c>
      <c r="F62" s="20" t="str" cm="1">
        <f t="array" ref="F62">Common_InputFunctions.Utility_DisplayArrayInTable(Scope3_SourceData.Scope3_Livestock_Data(), Table_SourceData_Scope3_Animals[[#Headers],[Category]], 0, 2)</f>
        <v>NSW</v>
      </c>
      <c r="G62" s="20" t="str" cm="1">
        <f t="array" ref="G62">Common_InputFunctions.Utility_DisplayArrayInTable(Scope3_SourceData.Scope3_Livestock_Data(), Table_SourceData_Scope3_Animals[[#Headers],[Category]], 0, 2)</f>
        <v>kg liveweight</v>
      </c>
      <c r="H62" s="20" cm="1">
        <f t="array" ref="H62">Common_InputFunctions.Utility_DisplayArrayInTable(Scope3_SourceData.Scope3_Livestock_Data(), Table_SourceData_Scope3_Animals[[#Headers],[Category]], 0, 2)</f>
        <v>2.2599999999999998</v>
      </c>
      <c r="I62" s="20" t="str" cm="1">
        <f t="array" ref="I62">Common_InputFunctions.Utility_DisplayArrayInTable(Scope3_SourceData.Scope3_Livestock_Data(), Table_SourceData_Scope3_Animals[[#Headers],[Category]], 0, 2)</f>
        <v>at market</v>
      </c>
      <c r="J62" s="20" t="s">
        <v>990</v>
      </c>
    </row>
    <row r="63" spans="1:13" ht="20.100000000000001" customHeight="1" x14ac:dyDescent="0.2">
      <c r="D63" s="20" t="str" cm="1">
        <f t="array" ref="D63">Common_InputFunctions.Utility_DisplayArrayInTable(Scope3_SourceData.Scope3_Livestock_Data(), Table_SourceData_Scope3_Animals[[#Headers],[Category]], 0, 2)</f>
        <v>Sheep</v>
      </c>
      <c r="E63" s="20" t="str" cm="1">
        <f t="array" ref="E63">Common_InputFunctions.Utility_DisplayArrayInTable(Scope3_SourceData.Scope3_Livestock_Data(), Table_SourceData_Scope3_Animals[[#Headers],[Category]], 0, 2)</f>
        <v>Sheep, for mutton</v>
      </c>
      <c r="F63" s="20" t="str" cm="1">
        <f t="array" ref="F63">Common_InputFunctions.Utility_DisplayArrayInTable(Scope3_SourceData.Scope3_Livestock_Data(), Table_SourceData_Scope3_Animals[[#Headers],[Category]], 0, 2)</f>
        <v>QLD</v>
      </c>
      <c r="G63" s="20" t="str" cm="1">
        <f t="array" ref="G63">Common_InputFunctions.Utility_DisplayArrayInTable(Scope3_SourceData.Scope3_Livestock_Data(), Table_SourceData_Scope3_Animals[[#Headers],[Category]], 0, 2)</f>
        <v>kg liveweight</v>
      </c>
      <c r="H63" s="20" cm="1">
        <f t="array" ref="H63">Common_InputFunctions.Utility_DisplayArrayInTable(Scope3_SourceData.Scope3_Livestock_Data(), Table_SourceData_Scope3_Animals[[#Headers],[Category]], 0, 2)</f>
        <v>6.33</v>
      </c>
      <c r="I63" s="20" t="str" cm="1">
        <f t="array" ref="I63">Common_InputFunctions.Utility_DisplayArrayInTable(Scope3_SourceData.Scope3_Livestock_Data(), Table_SourceData_Scope3_Animals[[#Headers],[Category]], 0, 2)</f>
        <v>at market</v>
      </c>
      <c r="J63" s="20" t="s">
        <v>990</v>
      </c>
    </row>
    <row r="64" spans="1:13" ht="20.100000000000001" customHeight="1" x14ac:dyDescent="0.2">
      <c r="D64" s="20" t="str" cm="1">
        <f t="array" ref="D64">Common_InputFunctions.Utility_DisplayArrayInTable(Scope3_SourceData.Scope3_Livestock_Data(), Table_SourceData_Scope3_Animals[[#Headers],[Category]], 0, 2)</f>
        <v>Sheep</v>
      </c>
      <c r="E64" s="20" t="str" cm="1">
        <f t="array" ref="E64">Common_InputFunctions.Utility_DisplayArrayInTable(Scope3_SourceData.Scope3_Livestock_Data(), Table_SourceData_Scope3_Animals[[#Headers],[Category]], 0, 2)</f>
        <v>Sheep, for mutton</v>
      </c>
      <c r="F64" s="20" t="str" cm="1">
        <f t="array" ref="F64">Common_InputFunctions.Utility_DisplayArrayInTable(Scope3_SourceData.Scope3_Livestock_Data(), Table_SourceData_Scope3_Animals[[#Headers],[Category]], 0, 2)</f>
        <v>SA</v>
      </c>
      <c r="G64" s="20" t="str" cm="1">
        <f t="array" ref="G64">Common_InputFunctions.Utility_DisplayArrayInTable(Scope3_SourceData.Scope3_Livestock_Data(), Table_SourceData_Scope3_Animals[[#Headers],[Category]], 0, 2)</f>
        <v>kg liveweight</v>
      </c>
      <c r="H64" s="20" cm="1">
        <f t="array" ref="H64">Common_InputFunctions.Utility_DisplayArrayInTable(Scope3_SourceData.Scope3_Livestock_Data(), Table_SourceData_Scope3_Animals[[#Headers],[Category]], 0, 2)</f>
        <v>6.18</v>
      </c>
      <c r="I64" s="20" t="str" cm="1">
        <f t="array" ref="I64">Common_InputFunctions.Utility_DisplayArrayInTable(Scope3_SourceData.Scope3_Livestock_Data(), Table_SourceData_Scope3_Animals[[#Headers],[Category]], 0, 2)</f>
        <v>at market</v>
      </c>
      <c r="J64" s="20" t="s">
        <v>990</v>
      </c>
    </row>
    <row r="65" spans="4:10" ht="20.100000000000001" customHeight="1" x14ac:dyDescent="0.2">
      <c r="D65" s="20" t="str" cm="1">
        <f t="array" ref="D65">Common_InputFunctions.Utility_DisplayArrayInTable(Scope3_SourceData.Scope3_Livestock_Data(), Table_SourceData_Scope3_Animals[[#Headers],[Category]], 0, 2)</f>
        <v>Sheep</v>
      </c>
      <c r="E65" s="20" t="str" cm="1">
        <f t="array" ref="E65">Common_InputFunctions.Utility_DisplayArrayInTable(Scope3_SourceData.Scope3_Livestock_Data(), Table_SourceData_Scope3_Animals[[#Headers],[Category]], 0, 2)</f>
        <v>Sheep, for mutton</v>
      </c>
      <c r="F65" s="20" t="str" cm="1">
        <f t="array" ref="F65">Common_InputFunctions.Utility_DisplayArrayInTable(Scope3_SourceData.Scope3_Livestock_Data(), Table_SourceData_Scope3_Animals[[#Headers],[Category]], 0, 2)</f>
        <v>TAS</v>
      </c>
      <c r="G65" s="20" t="str" cm="1">
        <f t="array" ref="G65">Common_InputFunctions.Utility_DisplayArrayInTable(Scope3_SourceData.Scope3_Livestock_Data(), Table_SourceData_Scope3_Animals[[#Headers],[Category]], 0, 2)</f>
        <v>kg liveweight</v>
      </c>
      <c r="H65" s="20" cm="1">
        <f t="array" ref="H65">Common_InputFunctions.Utility_DisplayArrayInTable(Scope3_SourceData.Scope3_Livestock_Data(), Table_SourceData_Scope3_Animals[[#Headers],[Category]], 0, 2)</f>
        <v>7.5</v>
      </c>
      <c r="I65" s="20" t="str" cm="1">
        <f t="array" ref="I65">Common_InputFunctions.Utility_DisplayArrayInTable(Scope3_SourceData.Scope3_Livestock_Data(), Table_SourceData_Scope3_Animals[[#Headers],[Category]], 0, 2)</f>
        <v>at market</v>
      </c>
      <c r="J65" s="20" t="s">
        <v>990</v>
      </c>
    </row>
    <row r="66" spans="4:10" ht="20.100000000000001" customHeight="1" x14ac:dyDescent="0.2">
      <c r="D66" s="20" t="str" cm="1">
        <f t="array" ref="D66">Common_InputFunctions.Utility_DisplayArrayInTable(Scope3_SourceData.Scope3_Livestock_Data(), Table_SourceData_Scope3_Animals[[#Headers],[Category]], 0, 2)</f>
        <v>Sheep</v>
      </c>
      <c r="E66" s="20" t="str" cm="1">
        <f t="array" ref="E66">Common_InputFunctions.Utility_DisplayArrayInTable(Scope3_SourceData.Scope3_Livestock_Data(), Table_SourceData_Scope3_Animals[[#Headers],[Category]], 0, 2)</f>
        <v>Sheep, for mutton</v>
      </c>
      <c r="F66" s="20" t="str" cm="1">
        <f t="array" ref="F66">Common_InputFunctions.Utility_DisplayArrayInTable(Scope3_SourceData.Scope3_Livestock_Data(), Table_SourceData_Scope3_Animals[[#Headers],[Category]], 0, 2)</f>
        <v>VIC</v>
      </c>
      <c r="G66" s="20" t="str" cm="1">
        <f t="array" ref="G66">Common_InputFunctions.Utility_DisplayArrayInTable(Scope3_SourceData.Scope3_Livestock_Data(), Table_SourceData_Scope3_Animals[[#Headers],[Category]], 0, 2)</f>
        <v>kg liveweight</v>
      </c>
      <c r="H66" s="20" cm="1">
        <f t="array" ref="H66">Common_InputFunctions.Utility_DisplayArrayInTable(Scope3_SourceData.Scope3_Livestock_Data(), Table_SourceData_Scope3_Animals[[#Headers],[Category]], 0, 2)</f>
        <v>8.08</v>
      </c>
      <c r="I66" s="20" t="str" cm="1">
        <f t="array" ref="I66">Common_InputFunctions.Utility_DisplayArrayInTable(Scope3_SourceData.Scope3_Livestock_Data(), Table_SourceData_Scope3_Animals[[#Headers],[Category]], 0, 2)</f>
        <v>at market</v>
      </c>
      <c r="J66" s="20" t="s">
        <v>990</v>
      </c>
    </row>
    <row r="67" spans="4:10" ht="20.100000000000001" customHeight="1" x14ac:dyDescent="0.2">
      <c r="D67" s="20" t="str" cm="1">
        <f t="array" ref="D67">Common_InputFunctions.Utility_DisplayArrayInTable(Scope3_SourceData.Scope3_Livestock_Data(), Table_SourceData_Scope3_Animals[[#Headers],[Category]], 0, 2)</f>
        <v>Sheep</v>
      </c>
      <c r="E67" s="20" t="str" cm="1">
        <f t="array" ref="E67">Common_InputFunctions.Utility_DisplayArrayInTable(Scope3_SourceData.Scope3_Livestock_Data(), Table_SourceData_Scope3_Animals[[#Headers],[Category]], 0, 2)</f>
        <v>Sheep, for mutton</v>
      </c>
      <c r="F67" s="20" t="str" cm="1">
        <f t="array" ref="F67">Common_InputFunctions.Utility_DisplayArrayInTable(Scope3_SourceData.Scope3_Livestock_Data(), Table_SourceData_Scope3_Animals[[#Headers],[Category]], 0, 2)</f>
        <v>WA</v>
      </c>
      <c r="G67" s="20" t="str" cm="1">
        <f t="array" ref="G67">Common_InputFunctions.Utility_DisplayArrayInTable(Scope3_SourceData.Scope3_Livestock_Data(), Table_SourceData_Scope3_Animals[[#Headers],[Category]], 0, 2)</f>
        <v>kg liveweight</v>
      </c>
      <c r="H67" s="20" cm="1">
        <f t="array" ref="H67">Common_InputFunctions.Utility_DisplayArrayInTable(Scope3_SourceData.Scope3_Livestock_Data(), Table_SourceData_Scope3_Animals[[#Headers],[Category]], 0, 2)</f>
        <v>5.45</v>
      </c>
      <c r="I67" s="20" t="str" cm="1">
        <f t="array" ref="I67">Common_InputFunctions.Utility_DisplayArrayInTable(Scope3_SourceData.Scope3_Livestock_Data(), Table_SourceData_Scope3_Animals[[#Headers],[Category]], 0, 2)</f>
        <v>at market</v>
      </c>
      <c r="J67" s="20" t="s">
        <v>990</v>
      </c>
    </row>
    <row r="68" spans="4:10" ht="20.100000000000001" customHeight="1" x14ac:dyDescent="0.2">
      <c r="D68" s="20" t="str" cm="1">
        <f t="array" ref="D68">Common_InputFunctions.Utility_DisplayArrayInTable(Scope3_SourceData.Scope3_Livestock_Data(), Table_SourceData_Scope3_Animals[[#Headers],[Category]], 0, 2)</f>
        <v>Sheep</v>
      </c>
      <c r="E68" s="20" t="str" cm="1">
        <f t="array" ref="E68">Common_InputFunctions.Utility_DisplayArrayInTable(Scope3_SourceData.Scope3_Livestock_Data(), Table_SourceData_Scope3_Animals[[#Headers],[Category]], 0, 2)</f>
        <v>Sheep, for prime lamb</v>
      </c>
      <c r="F68" s="20" t="str" cm="1">
        <f t="array" ref="F68">Common_InputFunctions.Utility_DisplayArrayInTable(Scope3_SourceData.Scope3_Livestock_Data(), Table_SourceData_Scope3_Animals[[#Headers],[Category]], 0, 2)</f>
        <v>Australia</v>
      </c>
      <c r="G68" s="20" t="str" cm="1">
        <f t="array" ref="G68">Common_InputFunctions.Utility_DisplayArrayInTable(Scope3_SourceData.Scope3_Livestock_Data(), Table_SourceData_Scope3_Animals[[#Headers],[Category]], 0, 2)</f>
        <v>kg liveweight</v>
      </c>
      <c r="H68" s="20" cm="1">
        <f t="array" ref="H68">Common_InputFunctions.Utility_DisplayArrayInTable(Scope3_SourceData.Scope3_Livestock_Data(), Table_SourceData_Scope3_Animals[[#Headers],[Category]], 0, 2)</f>
        <v>7.15</v>
      </c>
      <c r="I68" s="20" t="str" cm="1">
        <f t="array" ref="I68">Common_InputFunctions.Utility_DisplayArrayInTable(Scope3_SourceData.Scope3_Livestock_Data(), Table_SourceData_Scope3_Animals[[#Headers],[Category]], 0, 2)</f>
        <v>at market</v>
      </c>
      <c r="J68" s="20" t="s">
        <v>990</v>
      </c>
    </row>
    <row r="69" spans="4:10" ht="20.100000000000001" customHeight="1" x14ac:dyDescent="0.2">
      <c r="D69" s="20" t="str" cm="1">
        <f t="array" ref="D69">Common_InputFunctions.Utility_DisplayArrayInTable(Scope3_SourceData.Scope3_Livestock_Data(), Table_SourceData_Scope3_Animals[[#Headers],[Category]], 0, 2)</f>
        <v>Sheep</v>
      </c>
      <c r="E69" s="20" t="str" cm="1">
        <f t="array" ref="E69">Common_InputFunctions.Utility_DisplayArrayInTable(Scope3_SourceData.Scope3_Livestock_Data(), Table_SourceData_Scope3_Animals[[#Headers],[Category]], 0, 2)</f>
        <v>Sheep, for prime lamb</v>
      </c>
      <c r="F69" s="20" t="str" cm="1">
        <f t="array" ref="F69">Common_InputFunctions.Utility_DisplayArrayInTable(Scope3_SourceData.Scope3_Livestock_Data(), Table_SourceData_Scope3_Animals[[#Headers],[Category]], 0, 2)</f>
        <v>NSW</v>
      </c>
      <c r="G69" s="20" t="str" cm="1">
        <f t="array" ref="G69">Common_InputFunctions.Utility_DisplayArrayInTable(Scope3_SourceData.Scope3_Livestock_Data(), Table_SourceData_Scope3_Animals[[#Headers],[Category]], 0, 2)</f>
        <v>kg liveweight</v>
      </c>
      <c r="H69" s="20" cm="1">
        <f t="array" ref="H69">Common_InputFunctions.Utility_DisplayArrayInTable(Scope3_SourceData.Scope3_Livestock_Data(), Table_SourceData_Scope3_Animals[[#Headers],[Category]], 0, 2)</f>
        <v>8.2899999999999991</v>
      </c>
      <c r="I69" s="20" t="str" cm="1">
        <f t="array" ref="I69">Common_InputFunctions.Utility_DisplayArrayInTable(Scope3_SourceData.Scope3_Livestock_Data(), Table_SourceData_Scope3_Animals[[#Headers],[Category]], 0, 2)</f>
        <v>at market</v>
      </c>
      <c r="J69" s="20" t="s">
        <v>990</v>
      </c>
    </row>
    <row r="70" spans="4:10" ht="20.100000000000001" customHeight="1" x14ac:dyDescent="0.2">
      <c r="D70" s="20" t="str" cm="1">
        <f t="array" ref="D70">Common_InputFunctions.Utility_DisplayArrayInTable(Scope3_SourceData.Scope3_Livestock_Data(), Table_SourceData_Scope3_Animals[[#Headers],[Category]], 0, 2)</f>
        <v>Sheep</v>
      </c>
      <c r="E70" s="20" t="str" cm="1">
        <f t="array" ref="E70">Common_InputFunctions.Utility_DisplayArrayInTable(Scope3_SourceData.Scope3_Livestock_Data(), Table_SourceData_Scope3_Animals[[#Headers],[Category]], 0, 2)</f>
        <v>Sheep, for prime lamb</v>
      </c>
      <c r="F70" s="20" t="str" cm="1">
        <f t="array" ref="F70">Common_InputFunctions.Utility_DisplayArrayInTable(Scope3_SourceData.Scope3_Livestock_Data(), Table_SourceData_Scope3_Animals[[#Headers],[Category]], 0, 2)</f>
        <v>QLD</v>
      </c>
      <c r="G70" s="20" t="str" cm="1">
        <f t="array" ref="G70">Common_InputFunctions.Utility_DisplayArrayInTable(Scope3_SourceData.Scope3_Livestock_Data(), Table_SourceData_Scope3_Animals[[#Headers],[Category]], 0, 2)</f>
        <v>kg liveweight</v>
      </c>
      <c r="H70" s="20" cm="1">
        <f t="array" ref="H70">Common_InputFunctions.Utility_DisplayArrayInTable(Scope3_SourceData.Scope3_Livestock_Data(), Table_SourceData_Scope3_Animals[[#Headers],[Category]], 0, 2)</f>
        <v>6.39</v>
      </c>
      <c r="I70" s="20" t="str" cm="1">
        <f t="array" ref="I70">Common_InputFunctions.Utility_DisplayArrayInTable(Scope3_SourceData.Scope3_Livestock_Data(), Table_SourceData_Scope3_Animals[[#Headers],[Category]], 0, 2)</f>
        <v>at market</v>
      </c>
      <c r="J70" s="20" t="s">
        <v>990</v>
      </c>
    </row>
    <row r="71" spans="4:10" ht="20.100000000000001" customHeight="1" x14ac:dyDescent="0.2">
      <c r="D71" s="20" t="str" cm="1">
        <f t="array" ref="D71">Common_InputFunctions.Utility_DisplayArrayInTable(Scope3_SourceData.Scope3_Livestock_Data(), Table_SourceData_Scope3_Animals[[#Headers],[Category]], 0, 2)</f>
        <v>Sheep</v>
      </c>
      <c r="E71" s="20" t="str" cm="1">
        <f t="array" ref="E71">Common_InputFunctions.Utility_DisplayArrayInTable(Scope3_SourceData.Scope3_Livestock_Data(), Table_SourceData_Scope3_Animals[[#Headers],[Category]], 0, 2)</f>
        <v>Sheep, for prime lamb</v>
      </c>
      <c r="F71" s="20" t="str" cm="1">
        <f t="array" ref="F71">Common_InputFunctions.Utility_DisplayArrayInTable(Scope3_SourceData.Scope3_Livestock_Data(), Table_SourceData_Scope3_Animals[[#Headers],[Category]], 0, 2)</f>
        <v>SA</v>
      </c>
      <c r="G71" s="20" t="str" cm="1">
        <f t="array" ref="G71">Common_InputFunctions.Utility_DisplayArrayInTable(Scope3_SourceData.Scope3_Livestock_Data(), Table_SourceData_Scope3_Animals[[#Headers],[Category]], 0, 2)</f>
        <v>kg liveweight</v>
      </c>
      <c r="H71" s="20" cm="1">
        <f t="array" ref="H71">Common_InputFunctions.Utility_DisplayArrayInTable(Scope3_SourceData.Scope3_Livestock_Data(), Table_SourceData_Scope3_Animals[[#Headers],[Category]], 0, 2)</f>
        <v>6.87</v>
      </c>
      <c r="I71" s="20" t="str" cm="1">
        <f t="array" ref="I71">Common_InputFunctions.Utility_DisplayArrayInTable(Scope3_SourceData.Scope3_Livestock_Data(), Table_SourceData_Scope3_Animals[[#Headers],[Category]], 0, 2)</f>
        <v>at market</v>
      </c>
      <c r="J71" s="20" t="s">
        <v>990</v>
      </c>
    </row>
    <row r="72" spans="4:10" ht="20.100000000000001" customHeight="1" x14ac:dyDescent="0.2">
      <c r="D72" s="20" t="str" cm="1">
        <f t="array" ref="D72">Common_InputFunctions.Utility_DisplayArrayInTable(Scope3_SourceData.Scope3_Livestock_Data(), Table_SourceData_Scope3_Animals[[#Headers],[Category]], 0, 2)</f>
        <v>Sheep</v>
      </c>
      <c r="E72" s="20" t="str" cm="1">
        <f t="array" ref="E72">Common_InputFunctions.Utility_DisplayArrayInTable(Scope3_SourceData.Scope3_Livestock_Data(), Table_SourceData_Scope3_Animals[[#Headers],[Category]], 0, 2)</f>
        <v>Sheep, for prime lamb</v>
      </c>
      <c r="F72" s="20" t="str" cm="1">
        <f t="array" ref="F72">Common_InputFunctions.Utility_DisplayArrayInTable(Scope3_SourceData.Scope3_Livestock_Data(), Table_SourceData_Scope3_Animals[[#Headers],[Category]], 0, 2)</f>
        <v>TAS</v>
      </c>
      <c r="G72" s="20" t="str" cm="1">
        <f t="array" ref="G72">Common_InputFunctions.Utility_DisplayArrayInTable(Scope3_SourceData.Scope3_Livestock_Data(), Table_SourceData_Scope3_Animals[[#Headers],[Category]], 0, 2)</f>
        <v>kg liveweight</v>
      </c>
      <c r="H72" s="20" cm="1">
        <f t="array" ref="H72">Common_InputFunctions.Utility_DisplayArrayInTable(Scope3_SourceData.Scope3_Livestock_Data(), Table_SourceData_Scope3_Animals[[#Headers],[Category]], 0, 2)</f>
        <v>8.66</v>
      </c>
      <c r="I72" s="20" t="str" cm="1">
        <f t="array" ref="I72">Common_InputFunctions.Utility_DisplayArrayInTable(Scope3_SourceData.Scope3_Livestock_Data(), Table_SourceData_Scope3_Animals[[#Headers],[Category]], 0, 2)</f>
        <v>at market</v>
      </c>
      <c r="J72" s="20" t="s">
        <v>990</v>
      </c>
    </row>
    <row r="73" spans="4:10" ht="20.100000000000001" customHeight="1" x14ac:dyDescent="0.2">
      <c r="D73" s="20" t="str" cm="1">
        <f t="array" ref="D73">Common_InputFunctions.Utility_DisplayArrayInTable(Scope3_SourceData.Scope3_Livestock_Data(), Table_SourceData_Scope3_Animals[[#Headers],[Category]], 0, 2)</f>
        <v>Sheep</v>
      </c>
      <c r="E73" s="20" t="str" cm="1">
        <f t="array" ref="E73">Common_InputFunctions.Utility_DisplayArrayInTable(Scope3_SourceData.Scope3_Livestock_Data(), Table_SourceData_Scope3_Animals[[#Headers],[Category]], 0, 2)</f>
        <v>Sheep, for prime lamb</v>
      </c>
      <c r="F73" s="20" t="str" cm="1">
        <f t="array" ref="F73">Common_InputFunctions.Utility_DisplayArrayInTable(Scope3_SourceData.Scope3_Livestock_Data(), Table_SourceData_Scope3_Animals[[#Headers],[Category]], 0, 2)</f>
        <v>VIC</v>
      </c>
      <c r="G73" s="20" t="str" cm="1">
        <f t="array" ref="G73">Common_InputFunctions.Utility_DisplayArrayInTable(Scope3_SourceData.Scope3_Livestock_Data(), Table_SourceData_Scope3_Animals[[#Headers],[Category]], 0, 2)</f>
        <v>kg liveweight</v>
      </c>
      <c r="H73" s="20" cm="1">
        <f t="array" ref="H73">Common_InputFunctions.Utility_DisplayArrayInTable(Scope3_SourceData.Scope3_Livestock_Data(), Table_SourceData_Scope3_Animals[[#Headers],[Category]], 0, 2)</f>
        <v>10</v>
      </c>
      <c r="I73" s="20" t="str" cm="1">
        <f t="array" ref="I73">Common_InputFunctions.Utility_DisplayArrayInTable(Scope3_SourceData.Scope3_Livestock_Data(), Table_SourceData_Scope3_Animals[[#Headers],[Category]], 0, 2)</f>
        <v>at market</v>
      </c>
      <c r="J73" s="20" t="s">
        <v>990</v>
      </c>
    </row>
    <row r="74" spans="4:10" ht="20.100000000000001" customHeight="1" x14ac:dyDescent="0.2">
      <c r="D74" s="20" t="str" cm="1">
        <f t="array" ref="D74">Common_InputFunctions.Utility_DisplayArrayInTable(Scope3_SourceData.Scope3_Livestock_Data(), Table_SourceData_Scope3_Animals[[#Headers],[Category]], 0, 2)</f>
        <v>Sheep</v>
      </c>
      <c r="E74" s="20" t="str" cm="1">
        <f t="array" ref="E74">Common_InputFunctions.Utility_DisplayArrayInTable(Scope3_SourceData.Scope3_Livestock_Data(), Table_SourceData_Scope3_Animals[[#Headers],[Category]], 0, 2)</f>
        <v>Sheep, for prime lamb</v>
      </c>
      <c r="F74" s="20" t="str" cm="1">
        <f t="array" ref="F74">Common_InputFunctions.Utility_DisplayArrayInTable(Scope3_SourceData.Scope3_Livestock_Data(), Table_SourceData_Scope3_Animals[[#Headers],[Category]], 0, 2)</f>
        <v>WA</v>
      </c>
      <c r="G74" s="20" t="str" cm="1">
        <f t="array" ref="G74">Common_InputFunctions.Utility_DisplayArrayInTable(Scope3_SourceData.Scope3_Livestock_Data(), Table_SourceData_Scope3_Animals[[#Headers],[Category]], 0, 2)</f>
        <v>kg liveweight</v>
      </c>
      <c r="H74" s="20" cm="1">
        <f t="array" ref="H74">Common_InputFunctions.Utility_DisplayArrayInTable(Scope3_SourceData.Scope3_Livestock_Data(), Table_SourceData_Scope3_Animals[[#Headers],[Category]], 0, 2)</f>
        <v>5.67</v>
      </c>
      <c r="I74" s="20" t="str" cm="1">
        <f t="array" ref="I74">Common_InputFunctions.Utility_DisplayArrayInTable(Scope3_SourceData.Scope3_Livestock_Data(), Table_SourceData_Scope3_Animals[[#Headers],[Category]], 0, 2)</f>
        <v>at market</v>
      </c>
      <c r="J74" s="20" t="s">
        <v>990</v>
      </c>
    </row>
    <row r="76" spans="4:10" ht="20.100000000000001" customHeight="1" x14ac:dyDescent="0.2">
      <c r="D76" s="2" t="s">
        <v>1010</v>
      </c>
    </row>
    <row r="77" spans="4:10" ht="20.100000000000001" customHeight="1" x14ac:dyDescent="0.2">
      <c r="D77" s="20" t="s">
        <v>983</v>
      </c>
      <c r="E77" s="20" t="s">
        <v>130</v>
      </c>
      <c r="F77" s="20" t="s">
        <v>984</v>
      </c>
      <c r="G77" s="20" t="s">
        <v>985</v>
      </c>
      <c r="H77" s="20" t="s">
        <v>986</v>
      </c>
      <c r="I77" s="20" t="s">
        <v>987</v>
      </c>
      <c r="J77" s="20" t="s">
        <v>498</v>
      </c>
    </row>
    <row r="78" spans="4:10" ht="20.100000000000001" customHeight="1" x14ac:dyDescent="0.2">
      <c r="D78" s="20" t="str" cm="1">
        <f t="array" ref="D78">Common_InputFunctions.Utility_DisplayArrayInTable(Scope3_SourceData.Scope3_Chemicals_Data(), Table_SourceData_Scope3_ChemicalsCleaning[[#Headers],[Category]], 0, 2)</f>
        <v>Cleaning chemicals</v>
      </c>
      <c r="E78" s="20" t="str" cm="1">
        <f t="array" ref="E78">Common_InputFunctions.Utility_DisplayArrayInTable(Scope3_SourceData.Scope3_Chemicals_Data(), Table_SourceData_Scope3_ChemicalsCleaning[[#Headers],[Category]], 0, 2)</f>
        <v>Alkaline cleaner</v>
      </c>
      <c r="F78" s="20" t="str" cm="1">
        <f t="array" ref="F78">Common_InputFunctions.Utility_DisplayArrayInTable(Scope3_SourceData.Scope3_Chemicals_Data(), Table_SourceData_Scope3_ChemicalsCleaning[[#Headers],[Category]], 0, 2)</f>
        <v>Global</v>
      </c>
      <c r="G78" s="20" t="str" cm="1">
        <f t="array" ref="G78">Common_InputFunctions.Utility_DisplayArrayInTable(Scope3_SourceData.Scope3_Chemicals_Data(), Table_SourceData_Scope3_ChemicalsCleaning[[#Headers],[Category]], 0, 2)</f>
        <v>kg</v>
      </c>
      <c r="H78" s="20" cm="1">
        <f t="array" ref="H78">Common_InputFunctions.Utility_DisplayArrayInTable(Scope3_SourceData.Scope3_Chemicals_Data(), Table_SourceData_Scope3_ChemicalsCleaning[[#Headers],[Category]], 0, 2)</f>
        <v>0.72199999999999998</v>
      </c>
      <c r="I78" s="20" t="str" cm="1">
        <f t="array" ref="I78">Common_InputFunctions.Utility_DisplayArrayInTable(Scope3_SourceData.Scope3_Chemicals_Data(), Table_SourceData_Scope3_ChemicalsCleaning[[#Headers],[Category]], 0, 2)</f>
        <v>at manufacturer</v>
      </c>
      <c r="J78" s="20" t="s">
        <v>990</v>
      </c>
    </row>
    <row r="79" spans="4:10" ht="20.100000000000001" customHeight="1" x14ac:dyDescent="0.2">
      <c r="D79" s="20" t="str" cm="1">
        <f t="array" ref="D79">Common_InputFunctions.Utility_DisplayArrayInTable(Scope3_SourceData.Scope3_Chemicals_Data(), Table_SourceData_Scope3_ChemicalsCleaning[[#Headers],[Category]], 0, 2)</f>
        <v>Cleaning chemicals</v>
      </c>
      <c r="E79" s="20" t="str" cm="1">
        <f t="array" ref="E79">Common_InputFunctions.Utility_DisplayArrayInTable(Scope3_SourceData.Scope3_Chemicals_Data(), Table_SourceData_Scope3_ChemicalsCleaning[[#Headers],[Category]], 0, 2)</f>
        <v>Bleach</v>
      </c>
      <c r="F79" s="20" t="str" cm="1">
        <f t="array" ref="F79">Common_InputFunctions.Utility_DisplayArrayInTable(Scope3_SourceData.Scope3_Chemicals_Data(), Table_SourceData_Scope3_ChemicalsCleaning[[#Headers],[Category]], 0, 2)</f>
        <v>Global</v>
      </c>
      <c r="G79" s="20" t="str" cm="1">
        <f t="array" ref="G79">Common_InputFunctions.Utility_DisplayArrayInTable(Scope3_SourceData.Scope3_Chemicals_Data(), Table_SourceData_Scope3_ChemicalsCleaning[[#Headers],[Category]], 0, 2)</f>
        <v>kg</v>
      </c>
      <c r="H79" s="20" cm="1">
        <f t="array" ref="H79">Common_InputFunctions.Utility_DisplayArrayInTable(Scope3_SourceData.Scope3_Chemicals_Data(), Table_SourceData_Scope3_ChemicalsCleaning[[#Headers],[Category]], 0, 2)</f>
        <v>0.80400000000000005</v>
      </c>
      <c r="I79" s="20" t="str" cm="1">
        <f t="array" ref="I79">Common_InputFunctions.Utility_DisplayArrayInTable(Scope3_SourceData.Scope3_Chemicals_Data(), Table_SourceData_Scope3_ChemicalsCleaning[[#Headers],[Category]], 0, 2)</f>
        <v>at manufacturer</v>
      </c>
      <c r="J79" s="20" t="s">
        <v>990</v>
      </c>
    </row>
    <row r="80" spans="4:10" ht="20.100000000000001" customHeight="1" x14ac:dyDescent="0.2">
      <c r="D80" s="20" t="str" cm="1">
        <f t="array" ref="D80">Common_InputFunctions.Utility_DisplayArrayInTable(Scope3_SourceData.Scope3_Chemicals_Data(), Table_SourceData_Scope3_ChemicalsCleaning[[#Headers],[Category]], 0, 2)</f>
        <v>Cleaning chemicals</v>
      </c>
      <c r="E80" s="20" t="str" cm="1">
        <f t="array" ref="E80">Common_InputFunctions.Utility_DisplayArrayInTable(Scope3_SourceData.Scope3_Chemicals_Data(), Table_SourceData_Scope3_ChemicalsCleaning[[#Headers],[Category]], 0, 2)</f>
        <v>Phosphoric acid</v>
      </c>
      <c r="F80" s="20" t="str" cm="1">
        <f t="array" ref="F80">Common_InputFunctions.Utility_DisplayArrayInTable(Scope3_SourceData.Scope3_Chemicals_Data(), Table_SourceData_Scope3_ChemicalsCleaning[[#Headers],[Category]], 0, 2)</f>
        <v>Global</v>
      </c>
      <c r="G80" s="20" t="str" cm="1">
        <f t="array" ref="G80">Common_InputFunctions.Utility_DisplayArrayInTable(Scope3_SourceData.Scope3_Chemicals_Data(), Table_SourceData_Scope3_ChemicalsCleaning[[#Headers],[Category]], 0, 2)</f>
        <v>kg</v>
      </c>
      <c r="H80" s="20" cm="1">
        <f t="array" ref="H80">Common_InputFunctions.Utility_DisplayArrayInTable(Scope3_SourceData.Scope3_Chemicals_Data(), Table_SourceData_Scope3_ChemicalsCleaning[[#Headers],[Category]], 0, 2)</f>
        <v>0.90700000000000003</v>
      </c>
      <c r="I80" s="20" t="str" cm="1">
        <f t="array" ref="I80">Common_InputFunctions.Utility_DisplayArrayInTable(Scope3_SourceData.Scope3_Chemicals_Data(), Table_SourceData_Scope3_ChemicalsCleaning[[#Headers],[Category]], 0, 2)</f>
        <v>at manufacturer</v>
      </c>
      <c r="J80" s="20" t="s">
        <v>990</v>
      </c>
    </row>
    <row r="82" spans="1:17" ht="20.100000000000001" customHeight="1" x14ac:dyDescent="0.2">
      <c r="D82" s="20" t="s">
        <v>983</v>
      </c>
      <c r="E82" s="20" t="s">
        <v>130</v>
      </c>
      <c r="F82" s="20" t="s">
        <v>984</v>
      </c>
      <c r="G82" s="20" t="s">
        <v>985</v>
      </c>
      <c r="H82" s="20" t="s">
        <v>986</v>
      </c>
      <c r="I82" s="20" t="s">
        <v>987</v>
      </c>
      <c r="J82" s="20" t="s">
        <v>498</v>
      </c>
    </row>
    <row r="83" spans="1:17" ht="20.100000000000001" customHeight="1" x14ac:dyDescent="0.2">
      <c r="D83" s="20" t="str" cm="1">
        <f t="array" ref="D83">Common_InputFunctions.Utility_DisplayArrayInTable(Scope3_SourceData.Scope3_Chemicals_Data(), Table_SourceData_Scope3_ChemicalsPharmacy[[#Headers],[Category]], -3, 2)</f>
        <v>Pharmacy chemicals</v>
      </c>
      <c r="E83" s="20" t="str" cm="1">
        <f t="array" ref="E83">Common_InputFunctions.Utility_DisplayArrayInTable(Scope3_SourceData.Scope3_Chemicals_Data(), Table_SourceData_Scope3_ChemicalsPharmacy[[#Headers],[Category]], -3, 2)</f>
        <v>Parasite control for cattle (external), dipping</v>
      </c>
      <c r="F83" s="20" t="str" cm="1">
        <f t="array" ref="F83">Common_InputFunctions.Utility_DisplayArrayInTable(Scope3_SourceData.Scope3_Chemicals_Data(), Table_SourceData_Scope3_ChemicalsPharmacy[[#Headers],[Category]], -3, 2)</f>
        <v>Global</v>
      </c>
      <c r="G83" s="20" t="str" cm="1">
        <f t="array" ref="G83">Common_InputFunctions.Utility_DisplayArrayInTable(Scope3_SourceData.Scope3_Chemicals_Data(), Table_SourceData_Scope3_ChemicalsPharmacy[[#Headers],[Category]], -3, 2)</f>
        <v>p (head)</v>
      </c>
      <c r="H83" s="20" cm="1">
        <f t="array" ref="H83">Common_InputFunctions.Utility_DisplayArrayInTable(Scope3_SourceData.Scope3_Chemicals_Data(), Table_SourceData_Scope3_ChemicalsPharmacy[[#Headers],[Category]], -3, 2)</f>
        <v>5.4699999999999999E-2</v>
      </c>
      <c r="I83" s="20" t="str" cm="1">
        <f t="array" ref="I83">Common_InputFunctions.Utility_DisplayArrayInTable(Scope3_SourceData.Scope3_Chemicals_Data(), Table_SourceData_Scope3_ChemicalsPharmacy[[#Headers],[Category]], -3, 2)</f>
        <v>at manufacturer</v>
      </c>
      <c r="J83" s="20" t="s">
        <v>990</v>
      </c>
    </row>
    <row r="84" spans="1:17" ht="20.100000000000001" customHeight="1" x14ac:dyDescent="0.2">
      <c r="D84" s="20" t="str" cm="1">
        <f t="array" ref="D84">Common_InputFunctions.Utility_DisplayArrayInTable(Scope3_SourceData.Scope3_Chemicals_Data(), Table_SourceData_Scope3_ChemicalsPharmacy[[#Headers],[Category]], -3, 2)</f>
        <v>Pharmacy chemicals</v>
      </c>
      <c r="E84" s="20" t="str" cm="1">
        <f t="array" ref="E84">Common_InputFunctions.Utility_DisplayArrayInTable(Scope3_SourceData.Scope3_Chemicals_Data(), Table_SourceData_Scope3_ChemicalsPharmacy[[#Headers],[Category]], -3, 2)</f>
        <v>Parasite control for cattle (internal)</v>
      </c>
      <c r="F84" s="20" t="str" cm="1">
        <f t="array" ref="F84">Common_InputFunctions.Utility_DisplayArrayInTable(Scope3_SourceData.Scope3_Chemicals_Data(), Table_SourceData_Scope3_ChemicalsPharmacy[[#Headers],[Category]], -3, 2)</f>
        <v>Global</v>
      </c>
      <c r="G84" s="20" t="str" cm="1">
        <f t="array" ref="G84">Common_InputFunctions.Utility_DisplayArrayInTable(Scope3_SourceData.Scope3_Chemicals_Data(), Table_SourceData_Scope3_ChemicalsPharmacy[[#Headers],[Category]], -3, 2)</f>
        <v>p (head)</v>
      </c>
      <c r="H84" s="20" cm="1">
        <f t="array" ref="H84">Common_InputFunctions.Utility_DisplayArrayInTable(Scope3_SourceData.Scope3_Chemicals_Data(), Table_SourceData_Scope3_ChemicalsPharmacy[[#Headers],[Category]], -3, 2)</f>
        <v>1.4200000000000001E-2</v>
      </c>
      <c r="I84" s="20" t="str" cm="1">
        <f t="array" ref="I84">Common_InputFunctions.Utility_DisplayArrayInTable(Scope3_SourceData.Scope3_Chemicals_Data(), Table_SourceData_Scope3_ChemicalsPharmacy[[#Headers],[Category]], -3, 2)</f>
        <v>at manufacturer</v>
      </c>
      <c r="J84" s="20" t="s">
        <v>990</v>
      </c>
    </row>
    <row r="85" spans="1:17" ht="20.100000000000001" customHeight="1" x14ac:dyDescent="0.2">
      <c r="D85" s="20" t="str" cm="1">
        <f t="array" ref="D85">Common_InputFunctions.Utility_DisplayArrayInTable(Scope3_SourceData.Scope3_Chemicals_Data(), Table_SourceData_Scope3_ChemicalsPharmacy[[#Headers],[Category]], -3, 2)</f>
        <v>Pharmacy chemicals</v>
      </c>
      <c r="E85" s="20" t="str" cm="1">
        <f t="array" ref="E85">Common_InputFunctions.Utility_DisplayArrayInTable(Scope3_SourceData.Scope3_Chemicals_Data(), Table_SourceData_Scope3_ChemicalsPharmacy[[#Headers],[Category]], -3, 2)</f>
        <v>Parasite control for sheep (external)</v>
      </c>
      <c r="F85" s="20" t="str" cm="1">
        <f t="array" ref="F85">Common_InputFunctions.Utility_DisplayArrayInTable(Scope3_SourceData.Scope3_Chemicals_Data(), Table_SourceData_Scope3_ChemicalsPharmacy[[#Headers],[Category]], -3, 2)</f>
        <v>Global</v>
      </c>
      <c r="G85" s="20" t="str" cm="1">
        <f t="array" ref="G85">Common_InputFunctions.Utility_DisplayArrayInTable(Scope3_SourceData.Scope3_Chemicals_Data(), Table_SourceData_Scope3_ChemicalsPharmacy[[#Headers],[Category]], -3, 2)</f>
        <v>p (head)</v>
      </c>
      <c r="H85" s="20" cm="1">
        <f t="array" ref="H85">Common_InputFunctions.Utility_DisplayArrayInTable(Scope3_SourceData.Scope3_Chemicals_Data(), Table_SourceData_Scope3_ChemicalsPharmacy[[#Headers],[Category]], -3, 2)</f>
        <v>1.43E-2</v>
      </c>
      <c r="I85" s="20" t="str" cm="1">
        <f t="array" ref="I85">Common_InputFunctions.Utility_DisplayArrayInTable(Scope3_SourceData.Scope3_Chemicals_Data(), Table_SourceData_Scope3_ChemicalsPharmacy[[#Headers],[Category]], -3, 2)</f>
        <v>at manufacturer</v>
      </c>
      <c r="J85" s="20" t="s">
        <v>990</v>
      </c>
    </row>
    <row r="86" spans="1:17" ht="20.100000000000001" customHeight="1" x14ac:dyDescent="0.2">
      <c r="D86" s="20" t="str" cm="1">
        <f t="array" ref="D86">Common_InputFunctions.Utility_DisplayArrayInTable(Scope3_SourceData.Scope3_Chemicals_Data(), Table_SourceData_Scope3_ChemicalsPharmacy[[#Headers],[Category]], -3, 2)</f>
        <v>Pharmacy chemicals</v>
      </c>
      <c r="E86" s="20" t="str" cm="1">
        <f t="array" ref="E86">Common_InputFunctions.Utility_DisplayArrayInTable(Scope3_SourceData.Scope3_Chemicals_Data(), Table_SourceData_Scope3_ChemicalsPharmacy[[#Headers],[Category]], -3, 2)</f>
        <v>Parasite control for sheep (internal)</v>
      </c>
      <c r="F86" s="20" t="str" cm="1">
        <f t="array" ref="F86">Common_InputFunctions.Utility_DisplayArrayInTable(Scope3_SourceData.Scope3_Chemicals_Data(), Table_SourceData_Scope3_ChemicalsPharmacy[[#Headers],[Category]], -3, 2)</f>
        <v>Global</v>
      </c>
      <c r="G86" s="20" t="str" cm="1">
        <f t="array" ref="G86">Common_InputFunctions.Utility_DisplayArrayInTable(Scope3_SourceData.Scope3_Chemicals_Data(), Table_SourceData_Scope3_ChemicalsPharmacy[[#Headers],[Category]], -3, 2)</f>
        <v>p (head)</v>
      </c>
      <c r="H86" s="20" cm="1">
        <f t="array" ref="H86">Common_InputFunctions.Utility_DisplayArrayInTable(Scope3_SourceData.Scope3_Chemicals_Data(), Table_SourceData_Scope3_ChemicalsPharmacy[[#Headers],[Category]], -3, 2)</f>
        <v>4.2599999999999999E-3</v>
      </c>
      <c r="I86" s="20" t="str" cm="1">
        <f t="array" ref="I86">Common_InputFunctions.Utility_DisplayArrayInTable(Scope3_SourceData.Scope3_Chemicals_Data(), Table_SourceData_Scope3_ChemicalsPharmacy[[#Headers],[Category]], -3, 2)</f>
        <v>at manufacturer</v>
      </c>
      <c r="J86" s="20" t="s">
        <v>990</v>
      </c>
    </row>
    <row r="88" spans="1:17" ht="20.100000000000001" customHeight="1" x14ac:dyDescent="0.2">
      <c r="A88" s="81" t="str">
        <f>HYPERLINK("#A1", "▲ Back to top")</f>
        <v>▲ Back to top</v>
      </c>
      <c r="D88" s="2" t="s">
        <v>1011</v>
      </c>
    </row>
    <row r="89" spans="1:17" ht="20.100000000000001" customHeight="1" x14ac:dyDescent="0.2">
      <c r="D89" s="20" t="s">
        <v>983</v>
      </c>
      <c r="E89" s="20" t="s">
        <v>130</v>
      </c>
      <c r="F89" s="20" t="s">
        <v>984</v>
      </c>
      <c r="G89" s="20" t="s">
        <v>985</v>
      </c>
      <c r="H89" s="20" t="s">
        <v>986</v>
      </c>
      <c r="I89" s="20" t="s">
        <v>987</v>
      </c>
      <c r="J89" s="20" t="s">
        <v>498</v>
      </c>
      <c r="O89" s="20" t="s">
        <v>130</v>
      </c>
      <c r="P89" s="20" t="s">
        <v>988</v>
      </c>
      <c r="Q89" s="1" t="str">
        <f>"Table_ProductRegions_" &amp; SUBSTITUTE(SUBSTITUTE(SUBSTITUTE(SUBSTITUTE(O90, " ", ""), ",", ""), "(", ""), ")", "")</f>
        <v>Table_ProductRegions_Barleygrain</v>
      </c>
    </row>
    <row r="90" spans="1:17" ht="20.100000000000001" customHeight="1" x14ac:dyDescent="0.2">
      <c r="D90" s="20" t="str" cm="1">
        <f t="array" ref="D90">Common_InputFunctions.Utility_DisplayArrayInTable(Scope3_SourceData.Scope3_Feed_Data(), Table_SourceData_Scope3_Feed[[#Headers],[Category]], -1, 2)</f>
        <v>Grain</v>
      </c>
      <c r="E90" s="20" t="str" cm="1">
        <f t="array" ref="E90">Common_InputFunctions.Utility_DisplayArrayInTable(Scope3_SourceData.Scope3_Feed_Data(), Table_SourceData_Scope3_Feed[[#Headers],[Category]], -1, 2)</f>
        <v>Barley grain</v>
      </c>
      <c r="F90" s="20" t="str" cm="1">
        <f t="array" ref="F90">Common_InputFunctions.Utility_DisplayArrayInTable(Scope3_SourceData.Scope3_Feed_Data(), Table_SourceData_Scope3_Feed[[#Headers],[Category]], -1, 2)</f>
        <v>Australia</v>
      </c>
      <c r="G90" s="20" t="str" cm="1">
        <f t="array" ref="G90">Common_InputFunctions.Utility_DisplayArrayInTable(Scope3_SourceData.Scope3_Feed_Data(), Table_SourceData_Scope3_Feed[[#Headers],[Category]], -1, 2)</f>
        <v>kg</v>
      </c>
      <c r="H90" s="20" cm="1">
        <f t="array" ref="H90">Common_InputFunctions.Utility_DisplayArrayInTable(Scope3_SourceData.Scope3_Feed_Data(), Table_SourceData_Scope3_Feed[[#Headers],[Category]], -1, 2)</f>
        <v>0.23899999999999999</v>
      </c>
      <c r="I90" s="20" t="str" cm="1">
        <f t="array" ref="I90">Common_InputFunctions.Utility_DisplayArrayInTable(Scope3_SourceData.Scope3_Feed_Data(), Table_SourceData_Scope3_Feed[[#Headers],[Category]], -1, 2)</f>
        <v>at market</v>
      </c>
      <c r="J90" s="20" t="s">
        <v>990</v>
      </c>
      <c r="O90" s="20" t="str">
        <f>Table_SourceData_Scope3_Feed[[#This Row],[Product]]</f>
        <v>Barley grain</v>
      </c>
      <c r="P90" s="20" t="str">
        <f>Table_SourceData_Scope3_Feed[[#This Row],[Region of origin]]</f>
        <v>Australia</v>
      </c>
    </row>
    <row r="91" spans="1:17" ht="20.100000000000001" customHeight="1" x14ac:dyDescent="0.2">
      <c r="D91" s="20" t="str" cm="1">
        <f t="array" ref="D91">Common_InputFunctions.Utility_DisplayArrayInTable(Scope3_SourceData.Scope3_Feed_Data(), Table_SourceData_Scope3_Feed[[#Headers],[Category]], -1, 2)</f>
        <v>Grain</v>
      </c>
      <c r="E91" s="20" t="str" cm="1">
        <f t="array" ref="E91">Common_InputFunctions.Utility_DisplayArrayInTable(Scope3_SourceData.Scope3_Feed_Data(), Table_SourceData_Scope3_Feed[[#Headers],[Category]], -1, 2)</f>
        <v>Barley grain</v>
      </c>
      <c r="F91" s="20" t="str" cm="1">
        <f t="array" ref="F91">Common_InputFunctions.Utility_DisplayArrayInTable(Scope3_SourceData.Scope3_Feed_Data(), Table_SourceData_Scope3_Feed[[#Headers],[Category]], -1, 2)</f>
        <v>NSW</v>
      </c>
      <c r="G91" s="20" t="str" cm="1">
        <f t="array" ref="G91">Common_InputFunctions.Utility_DisplayArrayInTable(Scope3_SourceData.Scope3_Feed_Data(), Table_SourceData_Scope3_Feed[[#Headers],[Category]], -1, 2)</f>
        <v>kg</v>
      </c>
      <c r="H91" s="20" cm="1">
        <f t="array" ref="H91">Common_InputFunctions.Utility_DisplayArrayInTable(Scope3_SourceData.Scope3_Feed_Data(), Table_SourceData_Scope3_Feed[[#Headers],[Category]], -1, 2)</f>
        <v>0.25600000000000001</v>
      </c>
      <c r="I91" s="20" t="str" cm="1">
        <f t="array" ref="I91">Common_InputFunctions.Utility_DisplayArrayInTable(Scope3_SourceData.Scope3_Feed_Data(), Table_SourceData_Scope3_Feed[[#Headers],[Category]], -1, 2)</f>
        <v>at market</v>
      </c>
      <c r="J91" s="20" t="s">
        <v>990</v>
      </c>
      <c r="O91" s="20" t="str">
        <f>Table_SourceData_Scope3_Feed[[#This Row],[Product]]</f>
        <v>Barley grain</v>
      </c>
      <c r="P91" s="20" t="str">
        <f>Table_SourceData_Scope3_Feed[[#This Row],[Region of origin]]</f>
        <v>NSW</v>
      </c>
    </row>
    <row r="92" spans="1:17" ht="20.100000000000001" customHeight="1" x14ac:dyDescent="0.2">
      <c r="D92" s="20" t="str" cm="1">
        <f t="array" ref="D92">Common_InputFunctions.Utility_DisplayArrayInTable(Scope3_SourceData.Scope3_Feed_Data(), Table_SourceData_Scope3_Feed[[#Headers],[Category]], -1, 2)</f>
        <v>Grain</v>
      </c>
      <c r="E92" s="20" t="str" cm="1">
        <f t="array" ref="E92">Common_InputFunctions.Utility_DisplayArrayInTable(Scope3_SourceData.Scope3_Feed_Data(), Table_SourceData_Scope3_Feed[[#Headers],[Category]], -1, 2)</f>
        <v>Barley grain</v>
      </c>
      <c r="F92" s="20" t="str" cm="1">
        <f t="array" ref="F92">Common_InputFunctions.Utility_DisplayArrayInTable(Scope3_SourceData.Scope3_Feed_Data(), Table_SourceData_Scope3_Feed[[#Headers],[Category]], -1, 2)</f>
        <v>NT</v>
      </c>
      <c r="G92" s="20" t="str" cm="1">
        <f t="array" ref="G92">Common_InputFunctions.Utility_DisplayArrayInTable(Scope3_SourceData.Scope3_Feed_Data(), Table_SourceData_Scope3_Feed[[#Headers],[Category]], -1, 2)</f>
        <v>kg</v>
      </c>
      <c r="H92" s="20" cm="1">
        <f t="array" ref="H92">Common_InputFunctions.Utility_DisplayArrayInTable(Scope3_SourceData.Scope3_Feed_Data(), Table_SourceData_Scope3_Feed[[#Headers],[Category]], -1, 2)</f>
        <v>0.33200000000000002</v>
      </c>
      <c r="I92" s="20" t="str" cm="1">
        <f t="array" ref="I92">Common_InputFunctions.Utility_DisplayArrayInTable(Scope3_SourceData.Scope3_Feed_Data(), Table_SourceData_Scope3_Feed[[#Headers],[Category]], -1, 2)</f>
        <v>at market</v>
      </c>
      <c r="J92" s="20" t="s">
        <v>990</v>
      </c>
      <c r="O92" s="20" t="str">
        <f>Table_SourceData_Scope3_Feed[[#This Row],[Product]]</f>
        <v>Barley grain</v>
      </c>
      <c r="P92" s="20" t="str">
        <f>Table_SourceData_Scope3_Feed[[#This Row],[Region of origin]]</f>
        <v>NT</v>
      </c>
    </row>
    <row r="93" spans="1:17" ht="20.100000000000001" customHeight="1" x14ac:dyDescent="0.2">
      <c r="D93" s="20" t="str" cm="1">
        <f t="array" ref="D93">Common_InputFunctions.Utility_DisplayArrayInTable(Scope3_SourceData.Scope3_Feed_Data(), Table_SourceData_Scope3_Feed[[#Headers],[Category]], -1, 2)</f>
        <v>Grain</v>
      </c>
      <c r="E93" s="20" t="str" cm="1">
        <f t="array" ref="E93">Common_InputFunctions.Utility_DisplayArrayInTable(Scope3_SourceData.Scope3_Feed_Data(), Table_SourceData_Scope3_Feed[[#Headers],[Category]], -1, 2)</f>
        <v>Barley grain</v>
      </c>
      <c r="F93" s="20" t="str" cm="1">
        <f t="array" ref="F93">Common_InputFunctions.Utility_DisplayArrayInTable(Scope3_SourceData.Scope3_Feed_Data(), Table_SourceData_Scope3_Feed[[#Headers],[Category]], -1, 2)</f>
        <v>QLD</v>
      </c>
      <c r="G93" s="20" t="str" cm="1">
        <f t="array" ref="G93">Common_InputFunctions.Utility_DisplayArrayInTable(Scope3_SourceData.Scope3_Feed_Data(), Table_SourceData_Scope3_Feed[[#Headers],[Category]], -1, 2)</f>
        <v>kg</v>
      </c>
      <c r="H93" s="20" cm="1">
        <f t="array" ref="H93">Common_InputFunctions.Utility_DisplayArrayInTable(Scope3_SourceData.Scope3_Feed_Data(), Table_SourceData_Scope3_Feed[[#Headers],[Category]], -1, 2)</f>
        <v>0.26900000000000002</v>
      </c>
      <c r="I93" s="20" t="str" cm="1">
        <f t="array" ref="I93">Common_InputFunctions.Utility_DisplayArrayInTable(Scope3_SourceData.Scope3_Feed_Data(), Table_SourceData_Scope3_Feed[[#Headers],[Category]], -1, 2)</f>
        <v>at market</v>
      </c>
      <c r="J93" s="20" t="s">
        <v>990</v>
      </c>
      <c r="O93" s="20" t="str">
        <f>Table_SourceData_Scope3_Feed[[#This Row],[Product]]</f>
        <v>Barley grain</v>
      </c>
      <c r="P93" s="20" t="str">
        <f>Table_SourceData_Scope3_Feed[[#This Row],[Region of origin]]</f>
        <v>QLD</v>
      </c>
    </row>
    <row r="94" spans="1:17" ht="20.100000000000001" customHeight="1" x14ac:dyDescent="0.2">
      <c r="D94" s="20" t="str" cm="1">
        <f t="array" ref="D94">Common_InputFunctions.Utility_DisplayArrayInTable(Scope3_SourceData.Scope3_Feed_Data(), Table_SourceData_Scope3_Feed[[#Headers],[Category]], -1, 2)</f>
        <v>Grain</v>
      </c>
      <c r="E94" s="20" t="str" cm="1">
        <f t="array" ref="E94">Common_InputFunctions.Utility_DisplayArrayInTable(Scope3_SourceData.Scope3_Feed_Data(), Table_SourceData_Scope3_Feed[[#Headers],[Category]], -1, 2)</f>
        <v>Barley grain</v>
      </c>
      <c r="F94" s="20" t="str" cm="1">
        <f t="array" ref="F94">Common_InputFunctions.Utility_DisplayArrayInTable(Scope3_SourceData.Scope3_Feed_Data(), Table_SourceData_Scope3_Feed[[#Headers],[Category]], -1, 2)</f>
        <v>SA</v>
      </c>
      <c r="G94" s="20" t="str" cm="1">
        <f t="array" ref="G94">Common_InputFunctions.Utility_DisplayArrayInTable(Scope3_SourceData.Scope3_Feed_Data(), Table_SourceData_Scope3_Feed[[#Headers],[Category]], -1, 2)</f>
        <v>kg</v>
      </c>
      <c r="H94" s="20" cm="1">
        <f t="array" ref="H94">Common_InputFunctions.Utility_DisplayArrayInTable(Scope3_SourceData.Scope3_Feed_Data(), Table_SourceData_Scope3_Feed[[#Headers],[Category]], -1, 2)</f>
        <v>0.223</v>
      </c>
      <c r="I94" s="20" t="str" cm="1">
        <f t="array" ref="I94">Common_InputFunctions.Utility_DisplayArrayInTable(Scope3_SourceData.Scope3_Feed_Data(), Table_SourceData_Scope3_Feed[[#Headers],[Category]], -1, 2)</f>
        <v>at market</v>
      </c>
      <c r="J94" s="20" t="s">
        <v>990</v>
      </c>
      <c r="O94" s="20" t="str">
        <f>Table_SourceData_Scope3_Feed[[#This Row],[Product]]</f>
        <v>Barley grain</v>
      </c>
      <c r="P94" s="20" t="str">
        <f>Table_SourceData_Scope3_Feed[[#This Row],[Region of origin]]</f>
        <v>SA</v>
      </c>
    </row>
    <row r="95" spans="1:17" ht="20.100000000000001" customHeight="1" x14ac:dyDescent="0.2">
      <c r="D95" s="20" t="str" cm="1">
        <f t="array" ref="D95">Common_InputFunctions.Utility_DisplayArrayInTable(Scope3_SourceData.Scope3_Feed_Data(), Table_SourceData_Scope3_Feed[[#Headers],[Category]], -1, 2)</f>
        <v>Grain</v>
      </c>
      <c r="E95" s="20" t="str" cm="1">
        <f t="array" ref="E95">Common_InputFunctions.Utility_DisplayArrayInTable(Scope3_SourceData.Scope3_Feed_Data(), Table_SourceData_Scope3_Feed[[#Headers],[Category]], -1, 2)</f>
        <v>Barley grain</v>
      </c>
      <c r="F95" s="20" t="str" cm="1">
        <f t="array" ref="F95">Common_InputFunctions.Utility_DisplayArrayInTable(Scope3_SourceData.Scope3_Feed_Data(), Table_SourceData_Scope3_Feed[[#Headers],[Category]], -1, 2)</f>
        <v>TAS</v>
      </c>
      <c r="G95" s="20" t="str" cm="1">
        <f t="array" ref="G95">Common_InputFunctions.Utility_DisplayArrayInTable(Scope3_SourceData.Scope3_Feed_Data(), Table_SourceData_Scope3_Feed[[#Headers],[Category]], -1, 2)</f>
        <v>kg</v>
      </c>
      <c r="H95" s="20" cm="1">
        <f t="array" ref="H95">Common_InputFunctions.Utility_DisplayArrayInTable(Scope3_SourceData.Scope3_Feed_Data(), Table_SourceData_Scope3_Feed[[#Headers],[Category]], -1, 2)</f>
        <v>0.307</v>
      </c>
      <c r="I95" s="20" t="str" cm="1">
        <f t="array" ref="I95">Common_InputFunctions.Utility_DisplayArrayInTable(Scope3_SourceData.Scope3_Feed_Data(), Table_SourceData_Scope3_Feed[[#Headers],[Category]], -1, 2)</f>
        <v>at market</v>
      </c>
      <c r="J95" s="20" t="s">
        <v>990</v>
      </c>
      <c r="O95" s="20" t="str">
        <f>Table_SourceData_Scope3_Feed[[#This Row],[Product]]</f>
        <v>Barley grain</v>
      </c>
      <c r="P95" s="20" t="str">
        <f>Table_SourceData_Scope3_Feed[[#This Row],[Region of origin]]</f>
        <v>TAS</v>
      </c>
    </row>
    <row r="96" spans="1:17" ht="20.100000000000001" customHeight="1" x14ac:dyDescent="0.2">
      <c r="D96" s="20" t="str" cm="1">
        <f t="array" ref="D96">Common_InputFunctions.Utility_DisplayArrayInTable(Scope3_SourceData.Scope3_Feed_Data(), Table_SourceData_Scope3_Feed[[#Headers],[Category]], -1, 2)</f>
        <v>Grain</v>
      </c>
      <c r="E96" s="20" t="str" cm="1">
        <f t="array" ref="E96">Common_InputFunctions.Utility_DisplayArrayInTable(Scope3_SourceData.Scope3_Feed_Data(), Table_SourceData_Scope3_Feed[[#Headers],[Category]], -1, 2)</f>
        <v>Barley grain</v>
      </c>
      <c r="F96" s="20" t="str" cm="1">
        <f t="array" ref="F96">Common_InputFunctions.Utility_DisplayArrayInTable(Scope3_SourceData.Scope3_Feed_Data(), Table_SourceData_Scope3_Feed[[#Headers],[Category]], -1, 2)</f>
        <v>VIC</v>
      </c>
      <c r="G96" s="20" t="str" cm="1">
        <f t="array" ref="G96">Common_InputFunctions.Utility_DisplayArrayInTable(Scope3_SourceData.Scope3_Feed_Data(), Table_SourceData_Scope3_Feed[[#Headers],[Category]], -1, 2)</f>
        <v>kg</v>
      </c>
      <c r="H96" s="20" cm="1">
        <f t="array" ref="H96">Common_InputFunctions.Utility_DisplayArrayInTable(Scope3_SourceData.Scope3_Feed_Data(), Table_SourceData_Scope3_Feed[[#Headers],[Category]], -1, 2)</f>
        <v>0.24099999999999999</v>
      </c>
      <c r="I96" s="20" t="str" cm="1">
        <f t="array" ref="I96">Common_InputFunctions.Utility_DisplayArrayInTable(Scope3_SourceData.Scope3_Feed_Data(), Table_SourceData_Scope3_Feed[[#Headers],[Category]], -1, 2)</f>
        <v>at market</v>
      </c>
      <c r="J96" s="20" t="s">
        <v>990</v>
      </c>
      <c r="O96" s="20" t="str">
        <f>Table_SourceData_Scope3_Feed[[#This Row],[Product]]</f>
        <v>Barley grain</v>
      </c>
      <c r="P96" s="20" t="str">
        <f>Table_SourceData_Scope3_Feed[[#This Row],[Region of origin]]</f>
        <v>VIC</v>
      </c>
    </row>
    <row r="97" spans="4:17" ht="20.100000000000001" customHeight="1" x14ac:dyDescent="0.2">
      <c r="D97" s="20" t="str" cm="1">
        <f t="array" ref="D97">Common_InputFunctions.Utility_DisplayArrayInTable(Scope3_SourceData.Scope3_Feed_Data(), Table_SourceData_Scope3_Feed[[#Headers],[Category]], -1, 2)</f>
        <v>Grain</v>
      </c>
      <c r="E97" s="20" t="str" cm="1">
        <f t="array" ref="E97">Common_InputFunctions.Utility_DisplayArrayInTable(Scope3_SourceData.Scope3_Feed_Data(), Table_SourceData_Scope3_Feed[[#Headers],[Category]], -1, 2)</f>
        <v>Barley grain</v>
      </c>
      <c r="F97" s="20" t="str" cm="1">
        <f t="array" ref="F97">Common_InputFunctions.Utility_DisplayArrayInTable(Scope3_SourceData.Scope3_Feed_Data(), Table_SourceData_Scope3_Feed[[#Headers],[Category]], -1, 2)</f>
        <v>WA</v>
      </c>
      <c r="G97" s="20" t="str" cm="1">
        <f t="array" ref="G97">Common_InputFunctions.Utility_DisplayArrayInTable(Scope3_SourceData.Scope3_Feed_Data(), Table_SourceData_Scope3_Feed[[#Headers],[Category]], -1, 2)</f>
        <v>kg</v>
      </c>
      <c r="H97" s="20" cm="1">
        <f t="array" ref="H97">Common_InputFunctions.Utility_DisplayArrayInTable(Scope3_SourceData.Scope3_Feed_Data(), Table_SourceData_Scope3_Feed[[#Headers],[Category]], -1, 2)</f>
        <v>0.23599999999999999</v>
      </c>
      <c r="I97" s="20" t="str" cm="1">
        <f t="array" ref="I97">Common_InputFunctions.Utility_DisplayArrayInTable(Scope3_SourceData.Scope3_Feed_Data(), Table_SourceData_Scope3_Feed[[#Headers],[Category]], -1, 2)</f>
        <v>at market</v>
      </c>
      <c r="J97" s="20" t="s">
        <v>990</v>
      </c>
      <c r="L97" s="20" t="s">
        <v>130</v>
      </c>
      <c r="M97" s="20" t="s">
        <v>988</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4:17" ht="20.100000000000001" customHeight="1" x14ac:dyDescent="0.2">
      <c r="D98" s="20" t="str" cm="1">
        <f t="array" ref="D98">Common_InputFunctions.Utility_DisplayArrayInTable(Scope3_SourceData.Scope3_Feed_Data(), Table_SourceData_Scope3_Feed[[#Headers],[Category]], -1, 2)</f>
        <v>Grain</v>
      </c>
      <c r="E98" s="20" t="str" cm="1">
        <f t="array" ref="E98">Common_InputFunctions.Utility_DisplayArrayInTable(Scope3_SourceData.Scope3_Feed_Data(), Table_SourceData_Scope3_Feed[[#Headers],[Category]], -1, 2)</f>
        <v>Maize grain</v>
      </c>
      <c r="F98" s="20" t="str" cm="1">
        <f t="array" ref="F98">Common_InputFunctions.Utility_DisplayArrayInTable(Scope3_SourceData.Scope3_Feed_Data(), Table_SourceData_Scope3_Feed[[#Headers],[Category]], -1, 2)</f>
        <v>Australia</v>
      </c>
      <c r="G98" s="20" t="str" cm="1">
        <f t="array" ref="G98">Common_InputFunctions.Utility_DisplayArrayInTable(Scope3_SourceData.Scope3_Feed_Data(), Table_SourceData_Scope3_Feed[[#Headers],[Category]], -1, 2)</f>
        <v>kg</v>
      </c>
      <c r="H98" s="20" cm="1">
        <f t="array" ref="H98">Common_InputFunctions.Utility_DisplayArrayInTable(Scope3_SourceData.Scope3_Feed_Data(), Table_SourceData_Scope3_Feed[[#Headers],[Category]], -1, 2)</f>
        <v>0.18099999999999999</v>
      </c>
      <c r="I98" s="20" t="str" cm="1">
        <f t="array" ref="I98">Common_InputFunctions.Utility_DisplayArrayInTable(Scope3_SourceData.Scope3_Feed_Data(), Table_SourceData_Scope3_Feed[[#Headers],[Category]], -1, 2)</f>
        <v>at market</v>
      </c>
      <c r="J98" s="20" t="s">
        <v>990</v>
      </c>
      <c r="L98" s="20" t="str">
        <f>Table_SourceData_Scope3_Feed[[#This Row],[Product]]</f>
        <v>Maize grain</v>
      </c>
      <c r="M98" s="20" t="str">
        <f>Table_SourceData_Scope3_Feed[[#This Row],[Region of origin]]</f>
        <v>Australia</v>
      </c>
    </row>
    <row r="99" spans="4:17" ht="20.100000000000001" customHeight="1" x14ac:dyDescent="0.2">
      <c r="D99" s="20" t="str" cm="1">
        <f t="array" ref="D99">Common_InputFunctions.Utility_DisplayArrayInTable(Scope3_SourceData.Scope3_Feed_Data(), Table_SourceData_Scope3_Feed[[#Headers],[Category]], -1, 2)</f>
        <v>Grain</v>
      </c>
      <c r="E99" s="20" t="str" cm="1">
        <f t="array" ref="E99">Common_InputFunctions.Utility_DisplayArrayInTable(Scope3_SourceData.Scope3_Feed_Data(), Table_SourceData_Scope3_Feed[[#Headers],[Category]], -1, 2)</f>
        <v>Maize grain</v>
      </c>
      <c r="F99" s="20" t="str" cm="1">
        <f t="array" ref="F99">Common_InputFunctions.Utility_DisplayArrayInTable(Scope3_SourceData.Scope3_Feed_Data(), Table_SourceData_Scope3_Feed[[#Headers],[Category]], -1, 2)</f>
        <v>NSW</v>
      </c>
      <c r="G99" s="20" t="str" cm="1">
        <f t="array" ref="G99">Common_InputFunctions.Utility_DisplayArrayInTable(Scope3_SourceData.Scope3_Feed_Data(), Table_SourceData_Scope3_Feed[[#Headers],[Category]], -1, 2)</f>
        <v>kg</v>
      </c>
      <c r="H99" s="20" cm="1">
        <f t="array" ref="H99">Common_InputFunctions.Utility_DisplayArrayInTable(Scope3_SourceData.Scope3_Feed_Data(), Table_SourceData_Scope3_Feed[[#Headers],[Category]], -1, 2)</f>
        <v>0.16900000000000001</v>
      </c>
      <c r="I99" s="20" t="str" cm="1">
        <f t="array" ref="I99">Common_InputFunctions.Utility_DisplayArrayInTable(Scope3_SourceData.Scope3_Feed_Data(), Table_SourceData_Scope3_Feed[[#Headers],[Category]], -1, 2)</f>
        <v>at market</v>
      </c>
      <c r="J99" s="20" t="s">
        <v>990</v>
      </c>
      <c r="L99" s="20" t="str">
        <f>Table_SourceData_Scope3_Feed[[#This Row],[Product]]</f>
        <v>Maize grain</v>
      </c>
      <c r="M99" s="20" t="str">
        <f>Table_SourceData_Scope3_Feed[[#This Row],[Region of origin]]</f>
        <v>NSW</v>
      </c>
    </row>
    <row r="100" spans="4:17" ht="20.100000000000001" customHeight="1" x14ac:dyDescent="0.2">
      <c r="D100" s="20" t="str" cm="1">
        <f t="array" ref="D100">Common_InputFunctions.Utility_DisplayArrayInTable(Scope3_SourceData.Scope3_Feed_Data(), Table_SourceData_Scope3_Feed[[#Headers],[Category]], -1, 2)</f>
        <v>Grain</v>
      </c>
      <c r="E100" s="20" t="str" cm="1">
        <f t="array" ref="E100">Common_InputFunctions.Utility_DisplayArrayInTable(Scope3_SourceData.Scope3_Feed_Data(), Table_SourceData_Scope3_Feed[[#Headers],[Category]], -1, 2)</f>
        <v>Maize grain</v>
      </c>
      <c r="F100" s="20" t="str" cm="1">
        <f t="array" ref="F100">Common_InputFunctions.Utility_DisplayArrayInTable(Scope3_SourceData.Scope3_Feed_Data(), Table_SourceData_Scope3_Feed[[#Headers],[Category]], -1, 2)</f>
        <v>NT</v>
      </c>
      <c r="G100" s="20" t="str" cm="1">
        <f t="array" ref="G100">Common_InputFunctions.Utility_DisplayArrayInTable(Scope3_SourceData.Scope3_Feed_Data(), Table_SourceData_Scope3_Feed[[#Headers],[Category]], -1, 2)</f>
        <v>kg</v>
      </c>
      <c r="H100" s="20" cm="1">
        <f t="array" ref="H100">Common_InputFunctions.Utility_DisplayArrayInTable(Scope3_SourceData.Scope3_Feed_Data(), Table_SourceData_Scope3_Feed[[#Headers],[Category]], -1, 2)</f>
        <v>0.25600000000000001</v>
      </c>
      <c r="I100" s="20" t="str" cm="1">
        <f t="array" ref="I100">Common_InputFunctions.Utility_DisplayArrayInTable(Scope3_SourceData.Scope3_Feed_Data(), Table_SourceData_Scope3_Feed[[#Headers],[Category]], -1, 2)</f>
        <v>at market</v>
      </c>
      <c r="J100" s="20" t="s">
        <v>990</v>
      </c>
      <c r="L100" s="20" t="str">
        <f>Table_SourceData_Scope3_Feed[[#This Row],[Product]]</f>
        <v>Maize grain</v>
      </c>
      <c r="M100" s="20" t="str">
        <f>Table_SourceData_Scope3_Feed[[#This Row],[Region of origin]]</f>
        <v>NT</v>
      </c>
    </row>
    <row r="101" spans="4:17" ht="20.100000000000001" customHeight="1" x14ac:dyDescent="0.2">
      <c r="D101" s="20" t="str" cm="1">
        <f t="array" ref="D101">Common_InputFunctions.Utility_DisplayArrayInTable(Scope3_SourceData.Scope3_Feed_Data(), Table_SourceData_Scope3_Feed[[#Headers],[Category]], -1, 2)</f>
        <v>Grain</v>
      </c>
      <c r="E101" s="20" t="str" cm="1">
        <f t="array" ref="E101">Common_InputFunctions.Utility_DisplayArrayInTable(Scope3_SourceData.Scope3_Feed_Data(), Table_SourceData_Scope3_Feed[[#Headers],[Category]], -1, 2)</f>
        <v>Maize grain</v>
      </c>
      <c r="F101" s="20" t="str" cm="1">
        <f t="array" ref="F101">Common_InputFunctions.Utility_DisplayArrayInTable(Scope3_SourceData.Scope3_Feed_Data(), Table_SourceData_Scope3_Feed[[#Headers],[Category]], -1, 2)</f>
        <v>QLD</v>
      </c>
      <c r="G101" s="20" t="str" cm="1">
        <f t="array" ref="G101">Common_InputFunctions.Utility_DisplayArrayInTable(Scope3_SourceData.Scope3_Feed_Data(), Table_SourceData_Scope3_Feed[[#Headers],[Category]], -1, 2)</f>
        <v>kg</v>
      </c>
      <c r="H101" s="20" cm="1">
        <f t="array" ref="H101">Common_InputFunctions.Utility_DisplayArrayInTable(Scope3_SourceData.Scope3_Feed_Data(), Table_SourceData_Scope3_Feed[[#Headers],[Category]], -1, 2)</f>
        <v>0.186</v>
      </c>
      <c r="I101" s="20" t="str" cm="1">
        <f t="array" ref="I101">Common_InputFunctions.Utility_DisplayArrayInTable(Scope3_SourceData.Scope3_Feed_Data(), Table_SourceData_Scope3_Feed[[#Headers],[Category]], -1, 2)</f>
        <v>at market</v>
      </c>
      <c r="J101" s="20" t="s">
        <v>990</v>
      </c>
      <c r="L101" s="20" t="str">
        <f>Table_SourceData_Scope3_Feed[[#This Row],[Product]]</f>
        <v>Maize grain</v>
      </c>
      <c r="M101" s="20" t="str">
        <f>Table_SourceData_Scope3_Feed[[#This Row],[Region of origin]]</f>
        <v>QLD</v>
      </c>
    </row>
    <row r="102" spans="4:17" ht="20.100000000000001" customHeight="1" x14ac:dyDescent="0.2">
      <c r="D102" s="20" t="str" cm="1">
        <f t="array" ref="D102">Common_InputFunctions.Utility_DisplayArrayInTable(Scope3_SourceData.Scope3_Feed_Data(), Table_SourceData_Scope3_Feed[[#Headers],[Category]], -1, 2)</f>
        <v>Grain</v>
      </c>
      <c r="E102" s="20" t="str" cm="1">
        <f t="array" ref="E102">Common_InputFunctions.Utility_DisplayArrayInTable(Scope3_SourceData.Scope3_Feed_Data(), Table_SourceData_Scope3_Feed[[#Headers],[Category]], -1, 2)</f>
        <v>Maize grain</v>
      </c>
      <c r="F102" s="20" t="str" cm="1">
        <f t="array" ref="F102">Common_InputFunctions.Utility_DisplayArrayInTable(Scope3_SourceData.Scope3_Feed_Data(), Table_SourceData_Scope3_Feed[[#Headers],[Category]], -1, 2)</f>
        <v>SA</v>
      </c>
      <c r="G102" s="20" t="str" cm="1">
        <f t="array" ref="G102">Common_InputFunctions.Utility_DisplayArrayInTable(Scope3_SourceData.Scope3_Feed_Data(), Table_SourceData_Scope3_Feed[[#Headers],[Category]], -1, 2)</f>
        <v>kg</v>
      </c>
      <c r="H102" s="20" cm="1">
        <f t="array" ref="H102">Common_InputFunctions.Utility_DisplayArrayInTable(Scope3_SourceData.Scope3_Feed_Data(), Table_SourceData_Scope3_Feed[[#Headers],[Category]], -1, 2)</f>
        <v>0.17599999999999999</v>
      </c>
      <c r="I102" s="20" t="str" cm="1">
        <f t="array" ref="I102">Common_InputFunctions.Utility_DisplayArrayInTable(Scope3_SourceData.Scope3_Feed_Data(), Table_SourceData_Scope3_Feed[[#Headers],[Category]], -1, 2)</f>
        <v>at market</v>
      </c>
      <c r="J102" s="20" t="s">
        <v>990</v>
      </c>
      <c r="L102" s="20" t="str">
        <f>Table_SourceData_Scope3_Feed[[#This Row],[Product]]</f>
        <v>Maize grain</v>
      </c>
      <c r="M102" s="20" t="str">
        <f>Table_SourceData_Scope3_Feed[[#This Row],[Region of origin]]</f>
        <v>SA</v>
      </c>
    </row>
    <row r="103" spans="4:17" ht="20.100000000000001" customHeight="1" x14ac:dyDescent="0.2">
      <c r="D103" s="20" t="str" cm="1">
        <f t="array" ref="D103">Common_InputFunctions.Utility_DisplayArrayInTable(Scope3_SourceData.Scope3_Feed_Data(), Table_SourceData_Scope3_Feed[[#Headers],[Category]], -1, 2)</f>
        <v>Grain</v>
      </c>
      <c r="E103" s="20" t="str" cm="1">
        <f t="array" ref="E103">Common_InputFunctions.Utility_DisplayArrayInTable(Scope3_SourceData.Scope3_Feed_Data(), Table_SourceData_Scope3_Feed[[#Headers],[Category]], -1, 2)</f>
        <v>Maize grain</v>
      </c>
      <c r="F103" s="20" t="str" cm="1">
        <f t="array" ref="F103">Common_InputFunctions.Utility_DisplayArrayInTable(Scope3_SourceData.Scope3_Feed_Data(), Table_SourceData_Scope3_Feed[[#Headers],[Category]], -1, 2)</f>
        <v>VIC</v>
      </c>
      <c r="G103" s="20" t="str" cm="1">
        <f t="array" ref="G103">Common_InputFunctions.Utility_DisplayArrayInTable(Scope3_SourceData.Scope3_Feed_Data(), Table_SourceData_Scope3_Feed[[#Headers],[Category]], -1, 2)</f>
        <v>kg</v>
      </c>
      <c r="H103" s="20" cm="1">
        <f t="array" ref="H103">Common_InputFunctions.Utility_DisplayArrayInTable(Scope3_SourceData.Scope3_Feed_Data(), Table_SourceData_Scope3_Feed[[#Headers],[Category]], -1, 2)</f>
        <v>0.159</v>
      </c>
      <c r="I103" s="20" t="str" cm="1">
        <f t="array" ref="I103">Common_InputFunctions.Utility_DisplayArrayInTable(Scope3_SourceData.Scope3_Feed_Data(), Table_SourceData_Scope3_Feed[[#Headers],[Category]], -1, 2)</f>
        <v>at market</v>
      </c>
      <c r="J103" s="20" t="s">
        <v>990</v>
      </c>
      <c r="L103" s="20" t="str">
        <f>Table_SourceData_Scope3_Feed[[#This Row],[Product]]</f>
        <v>Maize grain</v>
      </c>
      <c r="M103" s="20" t="str">
        <f>Table_SourceData_Scope3_Feed[[#This Row],[Region of origin]]</f>
        <v>VIC</v>
      </c>
    </row>
    <row r="104" spans="4:17" ht="20.100000000000001" customHeight="1" x14ac:dyDescent="0.2">
      <c r="D104" s="20" t="str" cm="1">
        <f t="array" ref="D104">Common_InputFunctions.Utility_DisplayArrayInTable(Scope3_SourceData.Scope3_Feed_Data(), Table_SourceData_Scope3_Feed[[#Headers],[Category]], -1, 2)</f>
        <v>Grain</v>
      </c>
      <c r="E104" s="20" t="str" cm="1">
        <f t="array" ref="E104">Common_InputFunctions.Utility_DisplayArrayInTable(Scope3_SourceData.Scope3_Feed_Data(), Table_SourceData_Scope3_Feed[[#Headers],[Category]], -1, 2)</f>
        <v>Maize grain</v>
      </c>
      <c r="F104" s="20" t="str" cm="1">
        <f t="array" ref="F104">Common_InputFunctions.Utility_DisplayArrayInTable(Scope3_SourceData.Scope3_Feed_Data(), Table_SourceData_Scope3_Feed[[#Headers],[Category]], -1, 2)</f>
        <v>WA</v>
      </c>
      <c r="G104" s="20" t="str" cm="1">
        <f t="array" ref="G104">Common_InputFunctions.Utility_DisplayArrayInTable(Scope3_SourceData.Scope3_Feed_Data(), Table_SourceData_Scope3_Feed[[#Headers],[Category]], -1, 2)</f>
        <v>kg</v>
      </c>
      <c r="H104" s="20" cm="1">
        <f t="array" ref="H104">Common_InputFunctions.Utility_DisplayArrayInTable(Scope3_SourceData.Scope3_Feed_Data(), Table_SourceData_Scope3_Feed[[#Headers],[Category]], -1, 2)</f>
        <v>0.28499999999999998</v>
      </c>
      <c r="I104" s="20" t="str" cm="1">
        <f t="array" ref="I104">Common_InputFunctions.Utility_DisplayArrayInTable(Scope3_SourceData.Scope3_Feed_Data(), Table_SourceData_Scope3_Feed[[#Headers],[Category]], -1, 2)</f>
        <v>at market</v>
      </c>
      <c r="J104" s="20" t="s">
        <v>990</v>
      </c>
      <c r="L104" s="20" t="str">
        <f>Table_SourceData_Scope3_Feed[[#This Row],[Product]]</f>
        <v>Maize grain</v>
      </c>
      <c r="M104" s="20" t="str">
        <f>Table_SourceData_Scope3_Feed[[#This Row],[Region of origin]]</f>
        <v>WA</v>
      </c>
      <c r="O104" s="20" t="s">
        <v>130</v>
      </c>
      <c r="P104" s="20" t="s">
        <v>988</v>
      </c>
      <c r="Q104" s="1" t="str">
        <f>"Table_ProductRegions_" &amp; SUBSTITUTE(SUBSTITUTE(SUBSTITUTE(SUBSTITUTE(O105, " ", ""), ",", ""), "(", ""), ")", "")</f>
        <v>Table_ProductRegions_Sorghumgrain</v>
      </c>
    </row>
    <row r="105" spans="4:17" ht="20.100000000000001" customHeight="1" x14ac:dyDescent="0.2">
      <c r="D105" s="20" t="str" cm="1">
        <f t="array" ref="D105">Common_InputFunctions.Utility_DisplayArrayInTable(Scope3_SourceData.Scope3_Feed_Data(), Table_SourceData_Scope3_Feed[[#Headers],[Category]], -1, 2)</f>
        <v>Grain</v>
      </c>
      <c r="E105" s="20" t="str" cm="1">
        <f t="array" ref="E105">Common_InputFunctions.Utility_DisplayArrayInTable(Scope3_SourceData.Scope3_Feed_Data(), Table_SourceData_Scope3_Feed[[#Headers],[Category]], -1, 2)</f>
        <v>Sorghum grain</v>
      </c>
      <c r="F105" s="20" t="str" cm="1">
        <f t="array" ref="F105">Common_InputFunctions.Utility_DisplayArrayInTable(Scope3_SourceData.Scope3_Feed_Data(), Table_SourceData_Scope3_Feed[[#Headers],[Category]], -1, 2)</f>
        <v>Australia</v>
      </c>
      <c r="G105" s="20" t="str" cm="1">
        <f t="array" ref="G105">Common_InputFunctions.Utility_DisplayArrayInTable(Scope3_SourceData.Scope3_Feed_Data(), Table_SourceData_Scope3_Feed[[#Headers],[Category]], -1, 2)</f>
        <v>kg</v>
      </c>
      <c r="H105" s="20" cm="1">
        <f t="array" ref="H105">Common_InputFunctions.Utility_DisplayArrayInTable(Scope3_SourceData.Scope3_Feed_Data(), Table_SourceData_Scope3_Feed[[#Headers],[Category]], -1, 2)</f>
        <v>0.23200000000000001</v>
      </c>
      <c r="I105" s="20" t="str" cm="1">
        <f t="array" ref="I105">Common_InputFunctions.Utility_DisplayArrayInTable(Scope3_SourceData.Scope3_Feed_Data(), Table_SourceData_Scope3_Feed[[#Headers],[Category]], -1, 2)</f>
        <v>at market</v>
      </c>
      <c r="J105" s="20" t="s">
        <v>990</v>
      </c>
      <c r="O105" s="20" t="str">
        <f>Table_SourceData_Scope3_Feed[[#This Row],[Product]]</f>
        <v>Sorghum grain</v>
      </c>
      <c r="P105" s="20" t="str">
        <f>Table_SourceData_Scope3_Feed[[#This Row],[Region of origin]]</f>
        <v>Australia</v>
      </c>
    </row>
    <row r="106" spans="4:17" ht="20.100000000000001" customHeight="1" x14ac:dyDescent="0.2">
      <c r="D106" s="20" t="str" cm="1">
        <f t="array" ref="D106">Common_InputFunctions.Utility_DisplayArrayInTable(Scope3_SourceData.Scope3_Feed_Data(), Table_SourceData_Scope3_Feed[[#Headers],[Category]], -1, 2)</f>
        <v>Grain</v>
      </c>
      <c r="E106" s="20" t="str" cm="1">
        <f t="array" ref="E106">Common_InputFunctions.Utility_DisplayArrayInTable(Scope3_SourceData.Scope3_Feed_Data(), Table_SourceData_Scope3_Feed[[#Headers],[Category]], -1, 2)</f>
        <v>Sorghum grain</v>
      </c>
      <c r="F106" s="20" t="str" cm="1">
        <f t="array" ref="F106">Common_InputFunctions.Utility_DisplayArrayInTable(Scope3_SourceData.Scope3_Feed_Data(), Table_SourceData_Scope3_Feed[[#Headers],[Category]], -1, 2)</f>
        <v>NSW</v>
      </c>
      <c r="G106" s="20" t="str" cm="1">
        <f t="array" ref="G106">Common_InputFunctions.Utility_DisplayArrayInTable(Scope3_SourceData.Scope3_Feed_Data(), Table_SourceData_Scope3_Feed[[#Headers],[Category]], -1, 2)</f>
        <v>kg</v>
      </c>
      <c r="H106" s="20" cm="1">
        <f t="array" ref="H106">Common_InputFunctions.Utility_DisplayArrayInTable(Scope3_SourceData.Scope3_Feed_Data(), Table_SourceData_Scope3_Feed[[#Headers],[Category]], -1, 2)</f>
        <v>0.23200000000000001</v>
      </c>
      <c r="I106" s="20" t="str" cm="1">
        <f t="array" ref="I106">Common_InputFunctions.Utility_DisplayArrayInTable(Scope3_SourceData.Scope3_Feed_Data(), Table_SourceData_Scope3_Feed[[#Headers],[Category]], -1, 2)</f>
        <v>at market</v>
      </c>
      <c r="J106" s="20" t="s">
        <v>990</v>
      </c>
      <c r="O106" s="20" t="str">
        <f>Table_SourceData_Scope3_Feed[[#This Row],[Product]]</f>
        <v>Sorghum grain</v>
      </c>
      <c r="P106" s="20" t="str">
        <f>Table_SourceData_Scope3_Feed[[#This Row],[Region of origin]]</f>
        <v>NSW</v>
      </c>
    </row>
    <row r="107" spans="4:17" ht="20.100000000000001" customHeight="1" x14ac:dyDescent="0.2">
      <c r="D107" s="20" t="str" cm="1">
        <f t="array" ref="D107">Common_InputFunctions.Utility_DisplayArrayInTable(Scope3_SourceData.Scope3_Feed_Data(), Table_SourceData_Scope3_Feed[[#Headers],[Category]], -1, 2)</f>
        <v>Grain</v>
      </c>
      <c r="E107" s="20" t="str" cm="1">
        <f t="array" ref="E107">Common_InputFunctions.Utility_DisplayArrayInTable(Scope3_SourceData.Scope3_Feed_Data(), Table_SourceData_Scope3_Feed[[#Headers],[Category]], -1, 2)</f>
        <v>Sorghum grain</v>
      </c>
      <c r="F107" s="20" t="str" cm="1">
        <f t="array" ref="F107">Common_InputFunctions.Utility_DisplayArrayInTable(Scope3_SourceData.Scope3_Feed_Data(), Table_SourceData_Scope3_Feed[[#Headers],[Category]], -1, 2)</f>
        <v>QLD</v>
      </c>
      <c r="G107" s="20" t="str" cm="1">
        <f t="array" ref="G107">Common_InputFunctions.Utility_DisplayArrayInTable(Scope3_SourceData.Scope3_Feed_Data(), Table_SourceData_Scope3_Feed[[#Headers],[Category]], -1, 2)</f>
        <v>kg</v>
      </c>
      <c r="H107" s="20" cm="1">
        <f t="array" ref="H107">Common_InputFunctions.Utility_DisplayArrayInTable(Scope3_SourceData.Scope3_Feed_Data(), Table_SourceData_Scope3_Feed[[#Headers],[Category]], -1, 2)</f>
        <v>0.23100000000000001</v>
      </c>
      <c r="I107" s="20" t="str" cm="1">
        <f t="array" ref="I107">Common_InputFunctions.Utility_DisplayArrayInTable(Scope3_SourceData.Scope3_Feed_Data(), Table_SourceData_Scope3_Feed[[#Headers],[Category]], -1, 2)</f>
        <v>at market</v>
      </c>
      <c r="J107" s="20" t="s">
        <v>990</v>
      </c>
      <c r="O107" s="20" t="str">
        <f>Table_SourceData_Scope3_Feed[[#This Row],[Product]]</f>
        <v>Sorghum grain</v>
      </c>
      <c r="P107" s="20" t="str">
        <f>Table_SourceData_Scope3_Feed[[#This Row],[Region of origin]]</f>
        <v>QLD</v>
      </c>
    </row>
    <row r="108" spans="4:17" ht="20.100000000000001" customHeight="1" x14ac:dyDescent="0.2">
      <c r="D108" s="20" t="str" cm="1">
        <f t="array" ref="D108">Common_InputFunctions.Utility_DisplayArrayInTable(Scope3_SourceData.Scope3_Feed_Data(), Table_SourceData_Scope3_Feed[[#Headers],[Category]], -1, 2)</f>
        <v>Grain</v>
      </c>
      <c r="E108" s="20" t="str" cm="1">
        <f t="array" ref="E108">Common_InputFunctions.Utility_DisplayArrayInTable(Scope3_SourceData.Scope3_Feed_Data(), Table_SourceData_Scope3_Feed[[#Headers],[Category]], -1, 2)</f>
        <v>Sorghum grain</v>
      </c>
      <c r="F108" s="20" t="str" cm="1">
        <f t="array" ref="F108">Common_InputFunctions.Utility_DisplayArrayInTable(Scope3_SourceData.Scope3_Feed_Data(), Table_SourceData_Scope3_Feed[[#Headers],[Category]], -1, 2)</f>
        <v>SA</v>
      </c>
      <c r="G108" s="20" t="str" cm="1">
        <f t="array" ref="G108">Common_InputFunctions.Utility_DisplayArrayInTable(Scope3_SourceData.Scope3_Feed_Data(), Table_SourceData_Scope3_Feed[[#Headers],[Category]], -1, 2)</f>
        <v>kg</v>
      </c>
      <c r="H108" s="20" cm="1">
        <f t="array" ref="H108">Common_InputFunctions.Utility_DisplayArrayInTable(Scope3_SourceData.Scope3_Feed_Data(), Table_SourceData_Scope3_Feed[[#Headers],[Category]], -1, 2)</f>
        <v>0.218</v>
      </c>
      <c r="I108" s="20" t="str" cm="1">
        <f t="array" ref="I108">Common_InputFunctions.Utility_DisplayArrayInTable(Scope3_SourceData.Scope3_Feed_Data(), Table_SourceData_Scope3_Feed[[#Headers],[Category]], -1, 2)</f>
        <v>at market</v>
      </c>
      <c r="J108" s="20" t="s">
        <v>990</v>
      </c>
      <c r="O108" s="20" t="str">
        <f>Table_SourceData_Scope3_Feed[[#This Row],[Product]]</f>
        <v>Sorghum grain</v>
      </c>
      <c r="P108" s="20" t="str">
        <f>Table_SourceData_Scope3_Feed[[#This Row],[Region of origin]]</f>
        <v>SA</v>
      </c>
    </row>
    <row r="109" spans="4:17" ht="20.100000000000001" customHeight="1" x14ac:dyDescent="0.2">
      <c r="D109" s="20" t="str" cm="1">
        <f t="array" ref="D109">Common_InputFunctions.Utility_DisplayArrayInTable(Scope3_SourceData.Scope3_Feed_Data(), Table_SourceData_Scope3_Feed[[#Headers],[Category]], -1, 2)</f>
        <v>Grain</v>
      </c>
      <c r="E109" s="20" t="str" cm="1">
        <f t="array" ref="E109">Common_InputFunctions.Utility_DisplayArrayInTable(Scope3_SourceData.Scope3_Feed_Data(), Table_SourceData_Scope3_Feed[[#Headers],[Category]], -1, 2)</f>
        <v>Sorghum grain</v>
      </c>
      <c r="F109" s="20" t="str" cm="1">
        <f t="array" ref="F109">Common_InputFunctions.Utility_DisplayArrayInTable(Scope3_SourceData.Scope3_Feed_Data(), Table_SourceData_Scope3_Feed[[#Headers],[Category]], -1, 2)</f>
        <v>VIC</v>
      </c>
      <c r="G109" s="20" t="str" cm="1">
        <f t="array" ref="G109">Common_InputFunctions.Utility_DisplayArrayInTable(Scope3_SourceData.Scope3_Feed_Data(), Table_SourceData_Scope3_Feed[[#Headers],[Category]], -1, 2)</f>
        <v>kg</v>
      </c>
      <c r="H109" s="20" cm="1">
        <f t="array" ref="H109">Common_InputFunctions.Utility_DisplayArrayInTable(Scope3_SourceData.Scope3_Feed_Data(), Table_SourceData_Scope3_Feed[[#Headers],[Category]], -1, 2)</f>
        <v>0.246</v>
      </c>
      <c r="I109" s="20" t="str" cm="1">
        <f t="array" ref="I109">Common_InputFunctions.Utility_DisplayArrayInTable(Scope3_SourceData.Scope3_Feed_Data(), Table_SourceData_Scope3_Feed[[#Headers],[Category]], -1, 2)</f>
        <v>at market</v>
      </c>
      <c r="J109" s="20" t="s">
        <v>990</v>
      </c>
      <c r="L109" s="20" t="s">
        <v>130</v>
      </c>
      <c r="M109" s="20" t="s">
        <v>988</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4:17" ht="20.100000000000001" customHeight="1" x14ac:dyDescent="0.2">
      <c r="D110" s="20" t="str" cm="1">
        <f t="array" ref="D110">Common_InputFunctions.Utility_DisplayArrayInTable(Scope3_SourceData.Scope3_Feed_Data(), Table_SourceData_Scope3_Feed[[#Headers],[Category]], -1, 2)</f>
        <v>Grain</v>
      </c>
      <c r="E110" s="20" t="str" cm="1">
        <f t="array" ref="E110">Common_InputFunctions.Utility_DisplayArrayInTable(Scope3_SourceData.Scope3_Feed_Data(), Table_SourceData_Scope3_Feed[[#Headers],[Category]], -1, 2)</f>
        <v>Wheat grain</v>
      </c>
      <c r="F110" s="20" t="str" cm="1">
        <f t="array" ref="F110">Common_InputFunctions.Utility_DisplayArrayInTable(Scope3_SourceData.Scope3_Feed_Data(), Table_SourceData_Scope3_Feed[[#Headers],[Category]], -1, 2)</f>
        <v>Australia</v>
      </c>
      <c r="G110" s="20" t="str" cm="1">
        <f t="array" ref="G110">Common_InputFunctions.Utility_DisplayArrayInTable(Scope3_SourceData.Scope3_Feed_Data(), Table_SourceData_Scope3_Feed[[#Headers],[Category]], -1, 2)</f>
        <v>kg</v>
      </c>
      <c r="H110" s="20" cm="1">
        <f t="array" ref="H110">Common_InputFunctions.Utility_DisplayArrayInTable(Scope3_SourceData.Scope3_Feed_Data(), Table_SourceData_Scope3_Feed[[#Headers],[Category]], -1, 2)</f>
        <v>0.26800000000000002</v>
      </c>
      <c r="I110" s="20" t="str" cm="1">
        <f t="array" ref="I110">Common_InputFunctions.Utility_DisplayArrayInTable(Scope3_SourceData.Scope3_Feed_Data(), Table_SourceData_Scope3_Feed[[#Headers],[Category]], -1, 2)</f>
        <v>at market</v>
      </c>
      <c r="J110" s="20" t="s">
        <v>990</v>
      </c>
      <c r="L110" s="20" t="str">
        <f>Table_SourceData_Scope3_Feed[[#This Row],[Product]]</f>
        <v>Wheat grain</v>
      </c>
      <c r="M110" s="20" t="str">
        <f>Table_SourceData_Scope3_Feed[[#This Row],[Region of origin]]</f>
        <v>Australia</v>
      </c>
    </row>
    <row r="111" spans="4:17" ht="20.100000000000001" customHeight="1" x14ac:dyDescent="0.2">
      <c r="D111" s="20" t="str" cm="1">
        <f t="array" ref="D111">Common_InputFunctions.Utility_DisplayArrayInTable(Scope3_SourceData.Scope3_Feed_Data(), Table_SourceData_Scope3_Feed[[#Headers],[Category]], -1, 2)</f>
        <v>Grain</v>
      </c>
      <c r="E111" s="20" t="str" cm="1">
        <f t="array" ref="E111">Common_InputFunctions.Utility_DisplayArrayInTable(Scope3_SourceData.Scope3_Feed_Data(), Table_SourceData_Scope3_Feed[[#Headers],[Category]], -1, 2)</f>
        <v>Wheat grain</v>
      </c>
      <c r="F111" s="20" t="str" cm="1">
        <f t="array" ref="F111">Common_InputFunctions.Utility_DisplayArrayInTable(Scope3_SourceData.Scope3_Feed_Data(), Table_SourceData_Scope3_Feed[[#Headers],[Category]], -1, 2)</f>
        <v>NSW</v>
      </c>
      <c r="G111" s="20" t="str" cm="1">
        <f t="array" ref="G111">Common_InputFunctions.Utility_DisplayArrayInTable(Scope3_SourceData.Scope3_Feed_Data(), Table_SourceData_Scope3_Feed[[#Headers],[Category]], -1, 2)</f>
        <v>kg</v>
      </c>
      <c r="H111" s="20" cm="1">
        <f t="array" ref="H111">Common_InputFunctions.Utility_DisplayArrayInTable(Scope3_SourceData.Scope3_Feed_Data(), Table_SourceData_Scope3_Feed[[#Headers],[Category]], -1, 2)</f>
        <v>0.28199999999999997</v>
      </c>
      <c r="I111" s="20" t="str" cm="1">
        <f t="array" ref="I111">Common_InputFunctions.Utility_DisplayArrayInTable(Scope3_SourceData.Scope3_Feed_Data(), Table_SourceData_Scope3_Feed[[#Headers],[Category]], -1, 2)</f>
        <v>at market</v>
      </c>
      <c r="J111" s="20" t="s">
        <v>990</v>
      </c>
      <c r="L111" s="20" t="str">
        <f>Table_SourceData_Scope3_Feed[[#This Row],[Product]]</f>
        <v>Wheat grain</v>
      </c>
      <c r="M111" s="20" t="str">
        <f>Table_SourceData_Scope3_Feed[[#This Row],[Region of origin]]</f>
        <v>NSW</v>
      </c>
    </row>
    <row r="112" spans="4:17" ht="20.100000000000001" customHeight="1" x14ac:dyDescent="0.2">
      <c r="D112" s="20" t="str" cm="1">
        <f t="array" ref="D112">Common_InputFunctions.Utility_DisplayArrayInTable(Scope3_SourceData.Scope3_Feed_Data(), Table_SourceData_Scope3_Feed[[#Headers],[Category]], -1, 2)</f>
        <v>Grain</v>
      </c>
      <c r="E112" s="20" t="str" cm="1">
        <f t="array" ref="E112">Common_InputFunctions.Utility_DisplayArrayInTable(Scope3_SourceData.Scope3_Feed_Data(), Table_SourceData_Scope3_Feed[[#Headers],[Category]], -1, 2)</f>
        <v>Wheat grain</v>
      </c>
      <c r="F112" s="20" t="str" cm="1">
        <f t="array" ref="F112">Common_InputFunctions.Utility_DisplayArrayInTable(Scope3_SourceData.Scope3_Feed_Data(), Table_SourceData_Scope3_Feed[[#Headers],[Category]], -1, 2)</f>
        <v>NT</v>
      </c>
      <c r="G112" s="20" t="str" cm="1">
        <f t="array" ref="G112">Common_InputFunctions.Utility_DisplayArrayInTable(Scope3_SourceData.Scope3_Feed_Data(), Table_SourceData_Scope3_Feed[[#Headers],[Category]], -1, 2)</f>
        <v>kg</v>
      </c>
      <c r="H112" s="20" cm="1">
        <f t="array" ref="H112">Common_InputFunctions.Utility_DisplayArrayInTable(Scope3_SourceData.Scope3_Feed_Data(), Table_SourceData_Scope3_Feed[[#Headers],[Category]], -1, 2)</f>
        <v>0.38500000000000001</v>
      </c>
      <c r="I112" s="20" t="str" cm="1">
        <f t="array" ref="I112">Common_InputFunctions.Utility_DisplayArrayInTable(Scope3_SourceData.Scope3_Feed_Data(), Table_SourceData_Scope3_Feed[[#Headers],[Category]], -1, 2)</f>
        <v>at market</v>
      </c>
      <c r="J112" s="20" t="s">
        <v>990</v>
      </c>
      <c r="L112" s="20" t="str">
        <f>Table_SourceData_Scope3_Feed[[#This Row],[Product]]</f>
        <v>Wheat grain</v>
      </c>
      <c r="M112" s="20" t="str">
        <f>Table_SourceData_Scope3_Feed[[#This Row],[Region of origin]]</f>
        <v>NT</v>
      </c>
    </row>
    <row r="113" spans="1:17" ht="20.100000000000001" customHeight="1" x14ac:dyDescent="0.2">
      <c r="D113" s="20" t="str" cm="1">
        <f t="array" ref="D113">Common_InputFunctions.Utility_DisplayArrayInTable(Scope3_SourceData.Scope3_Feed_Data(), Table_SourceData_Scope3_Feed[[#Headers],[Category]], -1, 2)</f>
        <v>Grain</v>
      </c>
      <c r="E113" s="20" t="str" cm="1">
        <f t="array" ref="E113">Common_InputFunctions.Utility_DisplayArrayInTable(Scope3_SourceData.Scope3_Feed_Data(), Table_SourceData_Scope3_Feed[[#Headers],[Category]], -1, 2)</f>
        <v>Wheat grain</v>
      </c>
      <c r="F113" s="20" t="str" cm="1">
        <f t="array" ref="F113">Common_InputFunctions.Utility_DisplayArrayInTable(Scope3_SourceData.Scope3_Feed_Data(), Table_SourceData_Scope3_Feed[[#Headers],[Category]], -1, 2)</f>
        <v>QLD</v>
      </c>
      <c r="G113" s="20" t="str" cm="1">
        <f t="array" ref="G113">Common_InputFunctions.Utility_DisplayArrayInTable(Scope3_SourceData.Scope3_Feed_Data(), Table_SourceData_Scope3_Feed[[#Headers],[Category]], -1, 2)</f>
        <v>kg</v>
      </c>
      <c r="H113" s="20" cm="1">
        <f t="array" ref="H113">Common_InputFunctions.Utility_DisplayArrayInTable(Scope3_SourceData.Scope3_Feed_Data(), Table_SourceData_Scope3_Feed[[#Headers],[Category]], -1, 2)</f>
        <v>0.29599999999999999</v>
      </c>
      <c r="I113" s="20" t="str" cm="1">
        <f t="array" ref="I113">Common_InputFunctions.Utility_DisplayArrayInTable(Scope3_SourceData.Scope3_Feed_Data(), Table_SourceData_Scope3_Feed[[#Headers],[Category]], -1, 2)</f>
        <v>at market</v>
      </c>
      <c r="J113" s="20" t="s">
        <v>990</v>
      </c>
      <c r="L113" s="20" t="str">
        <f>Table_SourceData_Scope3_Feed[[#This Row],[Product]]</f>
        <v>Wheat grain</v>
      </c>
      <c r="M113" s="20" t="str">
        <f>Table_SourceData_Scope3_Feed[[#This Row],[Region of origin]]</f>
        <v>QLD</v>
      </c>
    </row>
    <row r="114" spans="1:17" ht="20.100000000000001" customHeight="1" x14ac:dyDescent="0.2">
      <c r="D114" s="20" t="str" cm="1">
        <f t="array" ref="D114">Common_InputFunctions.Utility_DisplayArrayInTable(Scope3_SourceData.Scope3_Feed_Data(), Table_SourceData_Scope3_Feed[[#Headers],[Category]], -1, 2)</f>
        <v>Grain</v>
      </c>
      <c r="E114" s="20" t="str" cm="1">
        <f t="array" ref="E114">Common_InputFunctions.Utility_DisplayArrayInTable(Scope3_SourceData.Scope3_Feed_Data(), Table_SourceData_Scope3_Feed[[#Headers],[Category]], -1, 2)</f>
        <v>Wheat grain</v>
      </c>
      <c r="F114" s="20" t="str" cm="1">
        <f t="array" ref="F114">Common_InputFunctions.Utility_DisplayArrayInTable(Scope3_SourceData.Scope3_Feed_Data(), Table_SourceData_Scope3_Feed[[#Headers],[Category]], -1, 2)</f>
        <v>SA</v>
      </c>
      <c r="G114" s="20" t="str" cm="1">
        <f t="array" ref="G114">Common_InputFunctions.Utility_DisplayArrayInTable(Scope3_SourceData.Scope3_Feed_Data(), Table_SourceData_Scope3_Feed[[#Headers],[Category]], -1, 2)</f>
        <v>kg</v>
      </c>
      <c r="H114" s="20" cm="1">
        <f t="array" ref="H114">Common_InputFunctions.Utility_DisplayArrayInTable(Scope3_SourceData.Scope3_Feed_Data(), Table_SourceData_Scope3_Feed[[#Headers],[Category]], -1, 2)</f>
        <v>0.24099999999999999</v>
      </c>
      <c r="I114" s="20" t="str" cm="1">
        <f t="array" ref="I114">Common_InputFunctions.Utility_DisplayArrayInTable(Scope3_SourceData.Scope3_Feed_Data(), Table_SourceData_Scope3_Feed[[#Headers],[Category]], -1, 2)</f>
        <v>at market</v>
      </c>
      <c r="J114" s="20" t="s">
        <v>990</v>
      </c>
      <c r="L114" s="20" t="str">
        <f>Table_SourceData_Scope3_Feed[[#This Row],[Product]]</f>
        <v>Wheat grain</v>
      </c>
      <c r="M114" s="20" t="str">
        <f>Table_SourceData_Scope3_Feed[[#This Row],[Region of origin]]</f>
        <v>SA</v>
      </c>
    </row>
    <row r="115" spans="1:17" ht="20.100000000000001" customHeight="1" x14ac:dyDescent="0.2">
      <c r="D115" s="20" t="str" cm="1">
        <f t="array" ref="D115">Common_InputFunctions.Utility_DisplayArrayInTable(Scope3_SourceData.Scope3_Feed_Data(), Table_SourceData_Scope3_Feed[[#Headers],[Category]], -1, 2)</f>
        <v>Grain</v>
      </c>
      <c r="E115" s="20" t="str" cm="1">
        <f t="array" ref="E115">Common_InputFunctions.Utility_DisplayArrayInTable(Scope3_SourceData.Scope3_Feed_Data(), Table_SourceData_Scope3_Feed[[#Headers],[Category]], -1, 2)</f>
        <v>Wheat grain</v>
      </c>
      <c r="F115" s="20" t="str" cm="1">
        <f t="array" ref="F115">Common_InputFunctions.Utility_DisplayArrayInTable(Scope3_SourceData.Scope3_Feed_Data(), Table_SourceData_Scope3_Feed[[#Headers],[Category]], -1, 2)</f>
        <v>TAS</v>
      </c>
      <c r="G115" s="20" t="str" cm="1">
        <f t="array" ref="G115">Common_InputFunctions.Utility_DisplayArrayInTable(Scope3_SourceData.Scope3_Feed_Data(), Table_SourceData_Scope3_Feed[[#Headers],[Category]], -1, 2)</f>
        <v>kg</v>
      </c>
      <c r="H115" s="20" cm="1">
        <f t="array" ref="H115">Common_InputFunctions.Utility_DisplayArrayInTable(Scope3_SourceData.Scope3_Feed_Data(), Table_SourceData_Scope3_Feed[[#Headers],[Category]], -1, 2)</f>
        <v>0.33800000000000002</v>
      </c>
      <c r="I115" s="20" t="str" cm="1">
        <f t="array" ref="I115">Common_InputFunctions.Utility_DisplayArrayInTable(Scope3_SourceData.Scope3_Feed_Data(), Table_SourceData_Scope3_Feed[[#Headers],[Category]], -1, 2)</f>
        <v>at market</v>
      </c>
      <c r="J115" s="20" t="s">
        <v>990</v>
      </c>
      <c r="L115" s="20" t="str">
        <f>Table_SourceData_Scope3_Feed[[#This Row],[Product]]</f>
        <v>Wheat grain</v>
      </c>
      <c r="M115" s="20" t="str">
        <f>Table_SourceData_Scope3_Feed[[#This Row],[Region of origin]]</f>
        <v>TAS</v>
      </c>
    </row>
    <row r="116" spans="1:17" ht="20.100000000000001" customHeight="1" x14ac:dyDescent="0.2">
      <c r="D116" s="20" t="str" cm="1">
        <f t="array" ref="D116">Common_InputFunctions.Utility_DisplayArrayInTable(Scope3_SourceData.Scope3_Feed_Data(), Table_SourceData_Scope3_Feed[[#Headers],[Category]], -1, 2)</f>
        <v>Grain</v>
      </c>
      <c r="E116" s="20" t="str" cm="1">
        <f t="array" ref="E116">Common_InputFunctions.Utility_DisplayArrayInTable(Scope3_SourceData.Scope3_Feed_Data(), Table_SourceData_Scope3_Feed[[#Headers],[Category]], -1, 2)</f>
        <v>Wheat grain</v>
      </c>
      <c r="F116" s="20" t="str" cm="1">
        <f t="array" ref="F116">Common_InputFunctions.Utility_DisplayArrayInTable(Scope3_SourceData.Scope3_Feed_Data(), Table_SourceData_Scope3_Feed[[#Headers],[Category]], -1, 2)</f>
        <v>VIC</v>
      </c>
      <c r="G116" s="20" t="str" cm="1">
        <f t="array" ref="G116">Common_InputFunctions.Utility_DisplayArrayInTable(Scope3_SourceData.Scope3_Feed_Data(), Table_SourceData_Scope3_Feed[[#Headers],[Category]], -1, 2)</f>
        <v>kg</v>
      </c>
      <c r="H116" s="20" cm="1">
        <f t="array" ref="H116">Common_InputFunctions.Utility_DisplayArrayInTable(Scope3_SourceData.Scope3_Feed_Data(), Table_SourceData_Scope3_Feed[[#Headers],[Category]], -1, 2)</f>
        <v>0.26600000000000001</v>
      </c>
      <c r="I116" s="20" t="str" cm="1">
        <f t="array" ref="I116">Common_InputFunctions.Utility_DisplayArrayInTable(Scope3_SourceData.Scope3_Feed_Data(), Table_SourceData_Scope3_Feed[[#Headers],[Category]], -1, 2)</f>
        <v>at market</v>
      </c>
      <c r="J116" s="20" t="s">
        <v>990</v>
      </c>
      <c r="L116" s="20" t="str">
        <f>Table_SourceData_Scope3_Feed[[#This Row],[Product]]</f>
        <v>Wheat grain</v>
      </c>
      <c r="M116" s="20" t="str">
        <f>Table_SourceData_Scope3_Feed[[#This Row],[Region of origin]]</f>
        <v>VIC</v>
      </c>
    </row>
    <row r="117" spans="1:17" ht="20.100000000000001" customHeight="1" x14ac:dyDescent="0.2">
      <c r="D117" s="20" t="str" cm="1">
        <f t="array" ref="D117">Common_InputFunctions.Utility_DisplayArrayInTable(Scope3_SourceData.Scope3_Feed_Data(), Table_SourceData_Scope3_Feed[[#Headers],[Category]], -1, 2)</f>
        <v>Grain</v>
      </c>
      <c r="E117" s="20" t="str" cm="1">
        <f t="array" ref="E117">Common_InputFunctions.Utility_DisplayArrayInTable(Scope3_SourceData.Scope3_Feed_Data(), Table_SourceData_Scope3_Feed[[#Headers],[Category]], -1, 2)</f>
        <v>Wheat grain</v>
      </c>
      <c r="F117" s="20" t="str" cm="1">
        <f t="array" ref="F117">Common_InputFunctions.Utility_DisplayArrayInTable(Scope3_SourceData.Scope3_Feed_Data(), Table_SourceData_Scope3_Feed[[#Headers],[Category]], -1, 2)</f>
        <v>WA</v>
      </c>
      <c r="G117" s="20" t="str" cm="1">
        <f t="array" ref="G117">Common_InputFunctions.Utility_DisplayArrayInTable(Scope3_SourceData.Scope3_Feed_Data(), Table_SourceData_Scope3_Feed[[#Headers],[Category]], -1, 2)</f>
        <v>kg</v>
      </c>
      <c r="H117" s="20" cm="1">
        <f t="array" ref="H117">Common_InputFunctions.Utility_DisplayArrayInTable(Scope3_SourceData.Scope3_Feed_Data(), Table_SourceData_Scope3_Feed[[#Headers],[Category]], -1, 2)</f>
        <v>0.26100000000000001</v>
      </c>
      <c r="I117" s="20" t="str" cm="1">
        <f t="array" ref="I117">Common_InputFunctions.Utility_DisplayArrayInTable(Scope3_SourceData.Scope3_Feed_Data(), Table_SourceData_Scope3_Feed[[#Headers],[Category]], -1, 2)</f>
        <v>at market</v>
      </c>
      <c r="J117" s="20" t="s">
        <v>990</v>
      </c>
      <c r="L117" s="20" t="str">
        <f>Table_SourceData_Scope3_Feed[[#This Row],[Product]]</f>
        <v>Wheat grain</v>
      </c>
      <c r="M117" s="20" t="str">
        <f>Table_SourceData_Scope3_Feed[[#This Row],[Region of origin]]</f>
        <v>WA</v>
      </c>
      <c r="O117" s="20" t="s">
        <v>130</v>
      </c>
      <c r="P117" s="20" t="s">
        <v>988</v>
      </c>
      <c r="Q117" s="1" t="str">
        <f>"Table_ProductRegions_" &amp; SUBSTITUTE(SUBSTITUTE(SUBSTITUTE(SUBSTITUTE(O118, " ", ""), ",", ""), "(", ""), ")", "")</f>
        <v>Table_ProductRegions_Cerealhay</v>
      </c>
    </row>
    <row r="118" spans="1:17" ht="20.100000000000001" customHeight="1" x14ac:dyDescent="0.2">
      <c r="A118" s="81" t="str">
        <f>HYPERLINK("#A1", "▲ Back to top")</f>
        <v>▲ Back to top</v>
      </c>
      <c r="D118" s="20" t="str" cm="1">
        <f t="array" ref="D118">Common_InputFunctions.Utility_DisplayArrayInTable(Scope3_SourceData.Scope3_Feed_Data(), Table_SourceData_Scope3_Feed[[#Headers],[Category]], -1, 2)</f>
        <v>Hay</v>
      </c>
      <c r="E118" s="20" t="str" cm="1">
        <f t="array" ref="E118">Common_InputFunctions.Utility_DisplayArrayInTable(Scope3_SourceData.Scope3_Feed_Data(), Table_SourceData_Scope3_Feed[[#Headers],[Category]], -1, 2)</f>
        <v>Cereal hay</v>
      </c>
      <c r="F118" s="20" t="str" cm="1">
        <f t="array" ref="F118">Common_InputFunctions.Utility_DisplayArrayInTable(Scope3_SourceData.Scope3_Feed_Data(), Table_SourceData_Scope3_Feed[[#Headers],[Category]], -1, 2)</f>
        <v>Australia</v>
      </c>
      <c r="G118" s="20" t="str" cm="1">
        <f t="array" ref="G118">Common_InputFunctions.Utility_DisplayArrayInTable(Scope3_SourceData.Scope3_Feed_Data(), Table_SourceData_Scope3_Feed[[#Headers],[Category]], -1, 2)</f>
        <v>kg</v>
      </c>
      <c r="H118" s="20" cm="1">
        <f t="array" ref="H118">Common_InputFunctions.Utility_DisplayArrayInTable(Scope3_SourceData.Scope3_Feed_Data(), Table_SourceData_Scope3_Feed[[#Headers],[Category]], -1, 2)</f>
        <v>0.11700000000000001</v>
      </c>
      <c r="I118" s="20" t="str" cm="1">
        <f t="array" ref="I118">Common_InputFunctions.Utility_DisplayArrayInTable(Scope3_SourceData.Scope3_Feed_Data(), Table_SourceData_Scope3_Feed[[#Headers],[Category]], -1, 2)</f>
        <v>at market</v>
      </c>
      <c r="J118" s="20" t="s">
        <v>990</v>
      </c>
      <c r="O118" s="20" t="str">
        <f>Table_SourceData_Scope3_Feed[[#This Row],[Product]]</f>
        <v>Cereal hay</v>
      </c>
      <c r="P118" s="20" t="str">
        <f>Table_SourceData_Scope3_Feed[[#This Row],[Region of origin]]</f>
        <v>Australia</v>
      </c>
    </row>
    <row r="119" spans="1:17" ht="20.100000000000001" customHeight="1" x14ac:dyDescent="0.2">
      <c r="D119" s="20" t="str" cm="1">
        <f t="array" ref="D119">Common_InputFunctions.Utility_DisplayArrayInTable(Scope3_SourceData.Scope3_Feed_Data(), Table_SourceData_Scope3_Feed[[#Headers],[Category]], -1, 2)</f>
        <v>Hay</v>
      </c>
      <c r="E119" s="20" t="str" cm="1">
        <f t="array" ref="E119">Common_InputFunctions.Utility_DisplayArrayInTable(Scope3_SourceData.Scope3_Feed_Data(), Table_SourceData_Scope3_Feed[[#Headers],[Category]], -1, 2)</f>
        <v>Cereal hay</v>
      </c>
      <c r="F119" s="20" t="str" cm="1">
        <f t="array" ref="F119">Common_InputFunctions.Utility_DisplayArrayInTable(Scope3_SourceData.Scope3_Feed_Data(), Table_SourceData_Scope3_Feed[[#Headers],[Category]], -1, 2)</f>
        <v>NSW</v>
      </c>
      <c r="G119" s="20" t="str" cm="1">
        <f t="array" ref="G119">Common_InputFunctions.Utility_DisplayArrayInTable(Scope3_SourceData.Scope3_Feed_Data(), Table_SourceData_Scope3_Feed[[#Headers],[Category]], -1, 2)</f>
        <v>kg</v>
      </c>
      <c r="H119" s="20" cm="1">
        <f t="array" ref="H119">Common_InputFunctions.Utility_DisplayArrayInTable(Scope3_SourceData.Scope3_Feed_Data(), Table_SourceData_Scope3_Feed[[#Headers],[Category]], -1, 2)</f>
        <v>0.11600000000000001</v>
      </c>
      <c r="I119" s="20" t="str" cm="1">
        <f t="array" ref="I119">Common_InputFunctions.Utility_DisplayArrayInTable(Scope3_SourceData.Scope3_Feed_Data(), Table_SourceData_Scope3_Feed[[#Headers],[Category]], -1, 2)</f>
        <v>at market</v>
      </c>
      <c r="J119" s="20" t="s">
        <v>990</v>
      </c>
      <c r="O119" s="20" t="str">
        <f>Table_SourceData_Scope3_Feed[[#This Row],[Product]]</f>
        <v>Cereal hay</v>
      </c>
      <c r="P119" s="20" t="str">
        <f>Table_SourceData_Scope3_Feed[[#This Row],[Region of origin]]</f>
        <v>NSW</v>
      </c>
    </row>
    <row r="120" spans="1:17" ht="20.100000000000001" customHeight="1" x14ac:dyDescent="0.2">
      <c r="D120" s="20" t="str" cm="1">
        <f t="array" ref="D120">Common_InputFunctions.Utility_DisplayArrayInTable(Scope3_SourceData.Scope3_Feed_Data(), Table_SourceData_Scope3_Feed[[#Headers],[Category]], -1, 2)</f>
        <v>Hay</v>
      </c>
      <c r="E120" s="20" t="str" cm="1">
        <f t="array" ref="E120">Common_InputFunctions.Utility_DisplayArrayInTable(Scope3_SourceData.Scope3_Feed_Data(), Table_SourceData_Scope3_Feed[[#Headers],[Category]], -1, 2)</f>
        <v>Cereal hay</v>
      </c>
      <c r="F120" s="20" t="str" cm="1">
        <f t="array" ref="F120">Common_InputFunctions.Utility_DisplayArrayInTable(Scope3_SourceData.Scope3_Feed_Data(), Table_SourceData_Scope3_Feed[[#Headers],[Category]], -1, 2)</f>
        <v>QLD</v>
      </c>
      <c r="G120" s="20" t="str" cm="1">
        <f t="array" ref="G120">Common_InputFunctions.Utility_DisplayArrayInTable(Scope3_SourceData.Scope3_Feed_Data(), Table_SourceData_Scope3_Feed[[#Headers],[Category]], -1, 2)</f>
        <v>kg</v>
      </c>
      <c r="H120" s="20" cm="1">
        <f t="array" ref="H120">Common_InputFunctions.Utility_DisplayArrayInTable(Scope3_SourceData.Scope3_Feed_Data(), Table_SourceData_Scope3_Feed[[#Headers],[Category]], -1, 2)</f>
        <v>0.11799999999999999</v>
      </c>
      <c r="I120" s="20" t="str" cm="1">
        <f t="array" ref="I120">Common_InputFunctions.Utility_DisplayArrayInTable(Scope3_SourceData.Scope3_Feed_Data(), Table_SourceData_Scope3_Feed[[#Headers],[Category]], -1, 2)</f>
        <v>at market</v>
      </c>
      <c r="J120" s="20" t="s">
        <v>990</v>
      </c>
      <c r="O120" s="20" t="str">
        <f>Table_SourceData_Scope3_Feed[[#This Row],[Product]]</f>
        <v>Cereal hay</v>
      </c>
      <c r="P120" s="20" t="str">
        <f>Table_SourceData_Scope3_Feed[[#This Row],[Region of origin]]</f>
        <v>QLD</v>
      </c>
    </row>
    <row r="121" spans="1:17" ht="20.100000000000001" customHeight="1" x14ac:dyDescent="0.2">
      <c r="D121" s="20" t="str" cm="1">
        <f t="array" ref="D121">Common_InputFunctions.Utility_DisplayArrayInTable(Scope3_SourceData.Scope3_Feed_Data(), Table_SourceData_Scope3_Feed[[#Headers],[Category]], -1, 2)</f>
        <v>Hay</v>
      </c>
      <c r="E121" s="20" t="str" cm="1">
        <f t="array" ref="E121">Common_InputFunctions.Utility_DisplayArrayInTable(Scope3_SourceData.Scope3_Feed_Data(), Table_SourceData_Scope3_Feed[[#Headers],[Category]], -1, 2)</f>
        <v>Cereal hay</v>
      </c>
      <c r="F121" s="20" t="str" cm="1">
        <f t="array" ref="F121">Common_InputFunctions.Utility_DisplayArrayInTable(Scope3_SourceData.Scope3_Feed_Data(), Table_SourceData_Scope3_Feed[[#Headers],[Category]], -1, 2)</f>
        <v>SA</v>
      </c>
      <c r="G121" s="20" t="str" cm="1">
        <f t="array" ref="G121">Common_InputFunctions.Utility_DisplayArrayInTable(Scope3_SourceData.Scope3_Feed_Data(), Table_SourceData_Scope3_Feed[[#Headers],[Category]], -1, 2)</f>
        <v>kg</v>
      </c>
      <c r="H121" s="20" cm="1">
        <f t="array" ref="H121">Common_InputFunctions.Utility_DisplayArrayInTable(Scope3_SourceData.Scope3_Feed_Data(), Table_SourceData_Scope3_Feed[[#Headers],[Category]], -1, 2)</f>
        <v>0.111</v>
      </c>
      <c r="I121" s="20" t="str" cm="1">
        <f t="array" ref="I121">Common_InputFunctions.Utility_DisplayArrayInTable(Scope3_SourceData.Scope3_Feed_Data(), Table_SourceData_Scope3_Feed[[#Headers],[Category]], -1, 2)</f>
        <v>at market</v>
      </c>
      <c r="J121" s="20" t="s">
        <v>990</v>
      </c>
      <c r="O121" s="20" t="str">
        <f>Table_SourceData_Scope3_Feed[[#This Row],[Product]]</f>
        <v>Cereal hay</v>
      </c>
      <c r="P121" s="20" t="str">
        <f>Table_SourceData_Scope3_Feed[[#This Row],[Region of origin]]</f>
        <v>SA</v>
      </c>
    </row>
    <row r="122" spans="1:17" ht="20.100000000000001" customHeight="1" x14ac:dyDescent="0.2">
      <c r="D122" s="20" t="str" cm="1">
        <f t="array" ref="D122">Common_InputFunctions.Utility_DisplayArrayInTable(Scope3_SourceData.Scope3_Feed_Data(), Table_SourceData_Scope3_Feed[[#Headers],[Category]], -1, 2)</f>
        <v>Hay</v>
      </c>
      <c r="E122" s="20" t="str" cm="1">
        <f t="array" ref="E122">Common_InputFunctions.Utility_DisplayArrayInTable(Scope3_SourceData.Scope3_Feed_Data(), Table_SourceData_Scope3_Feed[[#Headers],[Category]], -1, 2)</f>
        <v>Cereal hay</v>
      </c>
      <c r="F122" s="20" t="str" cm="1">
        <f t="array" ref="F122">Common_InputFunctions.Utility_DisplayArrayInTable(Scope3_SourceData.Scope3_Feed_Data(), Table_SourceData_Scope3_Feed[[#Headers],[Category]], -1, 2)</f>
        <v>TAS</v>
      </c>
      <c r="G122" s="20" t="str" cm="1">
        <f t="array" ref="G122">Common_InputFunctions.Utility_DisplayArrayInTable(Scope3_SourceData.Scope3_Feed_Data(), Table_SourceData_Scope3_Feed[[#Headers],[Category]], -1, 2)</f>
        <v>kg</v>
      </c>
      <c r="H122" s="20" cm="1">
        <f t="array" ref="H122">Common_InputFunctions.Utility_DisplayArrayInTable(Scope3_SourceData.Scope3_Feed_Data(), Table_SourceData_Scope3_Feed[[#Headers],[Category]], -1, 2)</f>
        <v>0.13900000000000001</v>
      </c>
      <c r="I122" s="20" t="str" cm="1">
        <f t="array" ref="I122">Common_InputFunctions.Utility_DisplayArrayInTable(Scope3_SourceData.Scope3_Feed_Data(), Table_SourceData_Scope3_Feed[[#Headers],[Category]], -1, 2)</f>
        <v>at market</v>
      </c>
      <c r="J122" s="20" t="s">
        <v>990</v>
      </c>
      <c r="O122" s="20" t="str">
        <f>Table_SourceData_Scope3_Feed[[#This Row],[Product]]</f>
        <v>Cereal hay</v>
      </c>
      <c r="P122" s="20" t="str">
        <f>Table_SourceData_Scope3_Feed[[#This Row],[Region of origin]]</f>
        <v>TAS</v>
      </c>
    </row>
    <row r="123" spans="1:17" ht="20.100000000000001" customHeight="1" x14ac:dyDescent="0.2">
      <c r="D123" s="20" t="str" cm="1">
        <f t="array" ref="D123">Common_InputFunctions.Utility_DisplayArrayInTable(Scope3_SourceData.Scope3_Feed_Data(), Table_SourceData_Scope3_Feed[[#Headers],[Category]], -1, 2)</f>
        <v>Hay</v>
      </c>
      <c r="E123" s="20" t="str" cm="1">
        <f t="array" ref="E123">Common_InputFunctions.Utility_DisplayArrayInTable(Scope3_SourceData.Scope3_Feed_Data(), Table_SourceData_Scope3_Feed[[#Headers],[Category]], -1, 2)</f>
        <v>Cereal hay</v>
      </c>
      <c r="F123" s="20" t="str" cm="1">
        <f t="array" ref="F123">Common_InputFunctions.Utility_DisplayArrayInTable(Scope3_SourceData.Scope3_Feed_Data(), Table_SourceData_Scope3_Feed[[#Headers],[Category]], -1, 2)</f>
        <v>VIC</v>
      </c>
      <c r="G123" s="20" t="str" cm="1">
        <f t="array" ref="G123">Common_InputFunctions.Utility_DisplayArrayInTable(Scope3_SourceData.Scope3_Feed_Data(), Table_SourceData_Scope3_Feed[[#Headers],[Category]], -1, 2)</f>
        <v>kg</v>
      </c>
      <c r="H123" s="20" cm="1">
        <f t="array" ref="H123">Common_InputFunctions.Utility_DisplayArrayInTable(Scope3_SourceData.Scope3_Feed_Data(), Table_SourceData_Scope3_Feed[[#Headers],[Category]], -1, 2)</f>
        <v>0.11600000000000001</v>
      </c>
      <c r="I123" s="20" t="str" cm="1">
        <f t="array" ref="I123">Common_InputFunctions.Utility_DisplayArrayInTable(Scope3_SourceData.Scope3_Feed_Data(), Table_SourceData_Scope3_Feed[[#Headers],[Category]], -1, 2)</f>
        <v>at market</v>
      </c>
      <c r="J123" s="20" t="s">
        <v>990</v>
      </c>
      <c r="O123" s="20" t="str">
        <f>Table_SourceData_Scope3_Feed[[#This Row],[Product]]</f>
        <v>Cereal hay</v>
      </c>
      <c r="P123" s="20" t="str">
        <f>Table_SourceData_Scope3_Feed[[#This Row],[Region of origin]]</f>
        <v>VIC</v>
      </c>
    </row>
    <row r="124" spans="1:17" ht="20.100000000000001" customHeight="1" x14ac:dyDescent="0.2">
      <c r="D124" s="20" t="str" cm="1">
        <f t="array" ref="D124">Common_InputFunctions.Utility_DisplayArrayInTable(Scope3_SourceData.Scope3_Feed_Data(), Table_SourceData_Scope3_Feed[[#Headers],[Category]], -1, 2)</f>
        <v>Hay</v>
      </c>
      <c r="E124" s="20" t="str" cm="1">
        <f t="array" ref="E124">Common_InputFunctions.Utility_DisplayArrayInTable(Scope3_SourceData.Scope3_Feed_Data(), Table_SourceData_Scope3_Feed[[#Headers],[Category]], -1, 2)</f>
        <v>Cereal hay</v>
      </c>
      <c r="F124" s="20" t="str" cm="1">
        <f t="array" ref="F124">Common_InputFunctions.Utility_DisplayArrayInTable(Scope3_SourceData.Scope3_Feed_Data(), Table_SourceData_Scope3_Feed[[#Headers],[Category]], -1, 2)</f>
        <v>WA</v>
      </c>
      <c r="G124" s="20" t="str" cm="1">
        <f t="array" ref="G124">Common_InputFunctions.Utility_DisplayArrayInTable(Scope3_SourceData.Scope3_Feed_Data(), Table_SourceData_Scope3_Feed[[#Headers],[Category]], -1, 2)</f>
        <v>kg</v>
      </c>
      <c r="H124" s="20" cm="1">
        <f t="array" ref="H124">Common_InputFunctions.Utility_DisplayArrayInTable(Scope3_SourceData.Scope3_Feed_Data(), Table_SourceData_Scope3_Feed[[#Headers],[Category]], -1, 2)</f>
        <v>0.122</v>
      </c>
      <c r="I124" s="20" t="str" cm="1">
        <f t="array" ref="I124">Common_InputFunctions.Utility_DisplayArrayInTable(Scope3_SourceData.Scope3_Feed_Data(), Table_SourceData_Scope3_Feed[[#Headers],[Category]], -1, 2)</f>
        <v>at market</v>
      </c>
      <c r="J124" s="20" t="s">
        <v>990</v>
      </c>
      <c r="L124" s="20" t="s">
        <v>130</v>
      </c>
      <c r="M124" s="20" t="s">
        <v>988</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100000000000001" customHeight="1" x14ac:dyDescent="0.2">
      <c r="D125" s="20" t="str" cm="1">
        <f t="array" ref="D125">Common_InputFunctions.Utility_DisplayArrayInTable(Scope3_SourceData.Scope3_Feed_Data(), Table_SourceData_Scope3_Feed[[#Headers],[Category]], -1, 2)</f>
        <v>Hay</v>
      </c>
      <c r="E125" s="20" t="str" cm="1">
        <f t="array" ref="E125">Common_InputFunctions.Utility_DisplayArrayInTable(Scope3_SourceData.Scope3_Feed_Data(), Table_SourceData_Scope3_Feed[[#Headers],[Category]], -1, 2)</f>
        <v>Cereal silage</v>
      </c>
      <c r="F125" s="20" t="str" cm="1">
        <f t="array" ref="F125">Common_InputFunctions.Utility_DisplayArrayInTable(Scope3_SourceData.Scope3_Feed_Data(), Table_SourceData_Scope3_Feed[[#Headers],[Category]], -1, 2)</f>
        <v>Australia</v>
      </c>
      <c r="G125" s="20" t="str" cm="1">
        <f t="array" ref="G125">Common_InputFunctions.Utility_DisplayArrayInTable(Scope3_SourceData.Scope3_Feed_Data(), Table_SourceData_Scope3_Feed[[#Headers],[Category]], -1, 2)</f>
        <v>kg</v>
      </c>
      <c r="H125" s="20" cm="1">
        <f t="array" ref="H125">Common_InputFunctions.Utility_DisplayArrayInTable(Scope3_SourceData.Scope3_Feed_Data(), Table_SourceData_Scope3_Feed[[#Headers],[Category]], -1, 2)</f>
        <v>7.4399999999999994E-2</v>
      </c>
      <c r="I125" s="20" t="str" cm="1">
        <f t="array" ref="I125">Common_InputFunctions.Utility_DisplayArrayInTable(Scope3_SourceData.Scope3_Feed_Data(), Table_SourceData_Scope3_Feed[[#Headers],[Category]], -1, 2)</f>
        <v>at market</v>
      </c>
      <c r="J125" s="20" t="s">
        <v>990</v>
      </c>
      <c r="L125" s="20" t="str">
        <f>Table_SourceData_Scope3_Feed[[#This Row],[Product]]</f>
        <v>Cereal silage</v>
      </c>
      <c r="M125" s="20" t="str">
        <f>Table_SourceData_Scope3_Feed[[#This Row],[Region of origin]]</f>
        <v>Australia</v>
      </c>
    </row>
    <row r="126" spans="1:17" ht="20.100000000000001" customHeight="1" x14ac:dyDescent="0.2">
      <c r="D126" s="20" t="str" cm="1">
        <f t="array" ref="D126">Common_InputFunctions.Utility_DisplayArrayInTable(Scope3_SourceData.Scope3_Feed_Data(), Table_SourceData_Scope3_Feed[[#Headers],[Category]], -1, 2)</f>
        <v>Hay</v>
      </c>
      <c r="E126" s="20" t="str" cm="1">
        <f t="array" ref="E126">Common_InputFunctions.Utility_DisplayArrayInTable(Scope3_SourceData.Scope3_Feed_Data(), Table_SourceData_Scope3_Feed[[#Headers],[Category]], -1, 2)</f>
        <v>Cereal silage</v>
      </c>
      <c r="F126" s="20" t="str" cm="1">
        <f t="array" ref="F126">Common_InputFunctions.Utility_DisplayArrayInTable(Scope3_SourceData.Scope3_Feed_Data(), Table_SourceData_Scope3_Feed[[#Headers],[Category]], -1, 2)</f>
        <v>NSW</v>
      </c>
      <c r="G126" s="20" t="str" cm="1">
        <f t="array" ref="G126">Common_InputFunctions.Utility_DisplayArrayInTable(Scope3_SourceData.Scope3_Feed_Data(), Table_SourceData_Scope3_Feed[[#Headers],[Category]], -1, 2)</f>
        <v>kg</v>
      </c>
      <c r="H126" s="20" cm="1">
        <f t="array" ref="H126">Common_InputFunctions.Utility_DisplayArrayInTable(Scope3_SourceData.Scope3_Feed_Data(), Table_SourceData_Scope3_Feed[[#Headers],[Category]], -1, 2)</f>
        <v>7.3899999999999993E-2</v>
      </c>
      <c r="I126" s="20" t="str" cm="1">
        <f t="array" ref="I126">Common_InputFunctions.Utility_DisplayArrayInTable(Scope3_SourceData.Scope3_Feed_Data(), Table_SourceData_Scope3_Feed[[#Headers],[Category]], -1, 2)</f>
        <v>at market</v>
      </c>
      <c r="J126" s="20" t="s">
        <v>990</v>
      </c>
      <c r="L126" s="20" t="str">
        <f>Table_SourceData_Scope3_Feed[[#This Row],[Product]]</f>
        <v>Cereal silage</v>
      </c>
      <c r="M126" s="20" t="str">
        <f>Table_SourceData_Scope3_Feed[[#This Row],[Region of origin]]</f>
        <v>NSW</v>
      </c>
    </row>
    <row r="127" spans="1:17" ht="20.100000000000001" customHeight="1" x14ac:dyDescent="0.2">
      <c r="D127" s="20" t="str" cm="1">
        <f t="array" ref="D127">Common_InputFunctions.Utility_DisplayArrayInTable(Scope3_SourceData.Scope3_Feed_Data(), Table_SourceData_Scope3_Feed[[#Headers],[Category]], -1, 2)</f>
        <v>Hay</v>
      </c>
      <c r="E127" s="20" t="str" cm="1">
        <f t="array" ref="E127">Common_InputFunctions.Utility_DisplayArrayInTable(Scope3_SourceData.Scope3_Feed_Data(), Table_SourceData_Scope3_Feed[[#Headers],[Category]], -1, 2)</f>
        <v>Cereal silage</v>
      </c>
      <c r="F127" s="20" t="str" cm="1">
        <f t="array" ref="F127">Common_InputFunctions.Utility_DisplayArrayInTable(Scope3_SourceData.Scope3_Feed_Data(), Table_SourceData_Scope3_Feed[[#Headers],[Category]], -1, 2)</f>
        <v>QLD</v>
      </c>
      <c r="G127" s="20" t="str" cm="1">
        <f t="array" ref="G127">Common_InputFunctions.Utility_DisplayArrayInTable(Scope3_SourceData.Scope3_Feed_Data(), Table_SourceData_Scope3_Feed[[#Headers],[Category]], -1, 2)</f>
        <v>kg</v>
      </c>
      <c r="H127" s="20" cm="1">
        <f t="array" ref="H127">Common_InputFunctions.Utility_DisplayArrayInTable(Scope3_SourceData.Scope3_Feed_Data(), Table_SourceData_Scope3_Feed[[#Headers],[Category]], -1, 2)</f>
        <v>7.9000000000000001E-2</v>
      </c>
      <c r="I127" s="20" t="str" cm="1">
        <f t="array" ref="I127">Common_InputFunctions.Utility_DisplayArrayInTable(Scope3_SourceData.Scope3_Feed_Data(), Table_SourceData_Scope3_Feed[[#Headers],[Category]], -1, 2)</f>
        <v>at market</v>
      </c>
      <c r="J127" s="20" t="s">
        <v>990</v>
      </c>
      <c r="L127" s="20" t="str">
        <f>Table_SourceData_Scope3_Feed[[#This Row],[Product]]</f>
        <v>Cereal silage</v>
      </c>
      <c r="M127" s="20" t="str">
        <f>Table_SourceData_Scope3_Feed[[#This Row],[Region of origin]]</f>
        <v>QLD</v>
      </c>
    </row>
    <row r="128" spans="1:17" ht="20.100000000000001" customHeight="1" x14ac:dyDescent="0.2">
      <c r="D128" s="20" t="str" cm="1">
        <f t="array" ref="D128">Common_InputFunctions.Utility_DisplayArrayInTable(Scope3_SourceData.Scope3_Feed_Data(), Table_SourceData_Scope3_Feed[[#Headers],[Category]], -1, 2)</f>
        <v>Hay</v>
      </c>
      <c r="E128" s="20" t="str" cm="1">
        <f t="array" ref="E128">Common_InputFunctions.Utility_DisplayArrayInTable(Scope3_SourceData.Scope3_Feed_Data(), Table_SourceData_Scope3_Feed[[#Headers],[Category]], -1, 2)</f>
        <v>Cereal silage</v>
      </c>
      <c r="F128" s="20" t="str" cm="1">
        <f t="array" ref="F128">Common_InputFunctions.Utility_DisplayArrayInTable(Scope3_SourceData.Scope3_Feed_Data(), Table_SourceData_Scope3_Feed[[#Headers],[Category]], -1, 2)</f>
        <v>SA</v>
      </c>
      <c r="G128" s="20" t="str" cm="1">
        <f t="array" ref="G128">Common_InputFunctions.Utility_DisplayArrayInTable(Scope3_SourceData.Scope3_Feed_Data(), Table_SourceData_Scope3_Feed[[#Headers],[Category]], -1, 2)</f>
        <v>kg</v>
      </c>
      <c r="H128" s="20" cm="1">
        <f t="array" ref="H128">Common_InputFunctions.Utility_DisplayArrayInTable(Scope3_SourceData.Scope3_Feed_Data(), Table_SourceData_Scope3_Feed[[#Headers],[Category]], -1, 2)</f>
        <v>7.0599999999999996E-2</v>
      </c>
      <c r="I128" s="20" t="str" cm="1">
        <f t="array" ref="I128">Common_InputFunctions.Utility_DisplayArrayInTable(Scope3_SourceData.Scope3_Feed_Data(), Table_SourceData_Scope3_Feed[[#Headers],[Category]], -1, 2)</f>
        <v>at market</v>
      </c>
      <c r="J128" s="20" t="s">
        <v>990</v>
      </c>
      <c r="L128" s="20" t="str">
        <f>Table_SourceData_Scope3_Feed[[#This Row],[Product]]</f>
        <v>Cereal silage</v>
      </c>
      <c r="M128" s="20" t="str">
        <f>Table_SourceData_Scope3_Feed[[#This Row],[Region of origin]]</f>
        <v>SA</v>
      </c>
    </row>
    <row r="129" spans="4:17" ht="20.100000000000001" customHeight="1" x14ac:dyDescent="0.2">
      <c r="D129" s="20" t="str" cm="1">
        <f t="array" ref="D129">Common_InputFunctions.Utility_DisplayArrayInTable(Scope3_SourceData.Scope3_Feed_Data(), Table_SourceData_Scope3_Feed[[#Headers],[Category]], -1, 2)</f>
        <v>Hay</v>
      </c>
      <c r="E129" s="20" t="str" cm="1">
        <f t="array" ref="E129">Common_InputFunctions.Utility_DisplayArrayInTable(Scope3_SourceData.Scope3_Feed_Data(), Table_SourceData_Scope3_Feed[[#Headers],[Category]], -1, 2)</f>
        <v>Cereal silage</v>
      </c>
      <c r="F129" s="20" t="str" cm="1">
        <f t="array" ref="F129">Common_InputFunctions.Utility_DisplayArrayInTable(Scope3_SourceData.Scope3_Feed_Data(), Table_SourceData_Scope3_Feed[[#Headers],[Category]], -1, 2)</f>
        <v>TAS</v>
      </c>
      <c r="G129" s="20" t="str" cm="1">
        <f t="array" ref="G129">Common_InputFunctions.Utility_DisplayArrayInTable(Scope3_SourceData.Scope3_Feed_Data(), Table_SourceData_Scope3_Feed[[#Headers],[Category]], -1, 2)</f>
        <v>kg</v>
      </c>
      <c r="H129" s="20" cm="1">
        <f t="array" ref="H129">Common_InputFunctions.Utility_DisplayArrayInTable(Scope3_SourceData.Scope3_Feed_Data(), Table_SourceData_Scope3_Feed[[#Headers],[Category]], -1, 2)</f>
        <v>8.0799999999999997E-2</v>
      </c>
      <c r="I129" s="20" t="str" cm="1">
        <f t="array" ref="I129">Common_InputFunctions.Utility_DisplayArrayInTable(Scope3_SourceData.Scope3_Feed_Data(), Table_SourceData_Scope3_Feed[[#Headers],[Category]], -1, 2)</f>
        <v>at market</v>
      </c>
      <c r="J129" s="20" t="s">
        <v>990</v>
      </c>
      <c r="L129" s="20" t="str">
        <f>Table_SourceData_Scope3_Feed[[#This Row],[Product]]</f>
        <v>Cereal silage</v>
      </c>
      <c r="M129" s="20" t="str">
        <f>Table_SourceData_Scope3_Feed[[#This Row],[Region of origin]]</f>
        <v>TAS</v>
      </c>
    </row>
    <row r="130" spans="4:17" ht="20.100000000000001" customHeight="1" x14ac:dyDescent="0.2">
      <c r="D130" s="20" t="str" cm="1">
        <f t="array" ref="D130">Common_InputFunctions.Utility_DisplayArrayInTable(Scope3_SourceData.Scope3_Feed_Data(), Table_SourceData_Scope3_Feed[[#Headers],[Category]], -1, 2)</f>
        <v>Hay</v>
      </c>
      <c r="E130" s="20" t="str" cm="1">
        <f t="array" ref="E130">Common_InputFunctions.Utility_DisplayArrayInTable(Scope3_SourceData.Scope3_Feed_Data(), Table_SourceData_Scope3_Feed[[#Headers],[Category]], -1, 2)</f>
        <v>Cereal silage</v>
      </c>
      <c r="F130" s="20" t="str" cm="1">
        <f t="array" ref="F130">Common_InputFunctions.Utility_DisplayArrayInTable(Scope3_SourceData.Scope3_Feed_Data(), Table_SourceData_Scope3_Feed[[#Headers],[Category]], -1, 2)</f>
        <v>VIC</v>
      </c>
      <c r="G130" s="20" t="str" cm="1">
        <f t="array" ref="G130">Common_InputFunctions.Utility_DisplayArrayInTable(Scope3_SourceData.Scope3_Feed_Data(), Table_SourceData_Scope3_Feed[[#Headers],[Category]], -1, 2)</f>
        <v>kg</v>
      </c>
      <c r="H130" s="20" cm="1">
        <f t="array" ref="H130">Common_InputFunctions.Utility_DisplayArrayInTable(Scope3_SourceData.Scope3_Feed_Data(), Table_SourceData_Scope3_Feed[[#Headers],[Category]], -1, 2)</f>
        <v>7.3599999999999999E-2</v>
      </c>
      <c r="I130" s="20" t="str" cm="1">
        <f t="array" ref="I130">Common_InputFunctions.Utility_DisplayArrayInTable(Scope3_SourceData.Scope3_Feed_Data(), Table_SourceData_Scope3_Feed[[#Headers],[Category]], -1, 2)</f>
        <v>at market</v>
      </c>
      <c r="J130" s="20" t="s">
        <v>990</v>
      </c>
      <c r="L130" s="20" t="str">
        <f>Table_SourceData_Scope3_Feed[[#This Row],[Product]]</f>
        <v>Cereal silage</v>
      </c>
      <c r="M130" s="20" t="str">
        <f>Table_SourceData_Scope3_Feed[[#This Row],[Region of origin]]</f>
        <v>VIC</v>
      </c>
      <c r="O130" s="20" t="s">
        <v>130</v>
      </c>
      <c r="P130" s="20" t="s">
        <v>988</v>
      </c>
      <c r="Q130" s="1" t="str">
        <f>"Table_ProductRegions_" &amp; SUBSTITUTE(SUBSTITUTE(SUBSTITUTE(SUBSTITUTE(O131, " ", ""), ",", ""), "(", ""), ")", "")</f>
        <v>Table_ProductRegions_Lucernehay</v>
      </c>
    </row>
    <row r="131" spans="4:17" ht="20.100000000000001" customHeight="1" x14ac:dyDescent="0.2">
      <c r="D131" s="20" t="str" cm="1">
        <f t="array" ref="D131">Common_InputFunctions.Utility_DisplayArrayInTable(Scope3_SourceData.Scope3_Feed_Data(), Table_SourceData_Scope3_Feed[[#Headers],[Category]], -1, 2)</f>
        <v>Hay</v>
      </c>
      <c r="E131" s="20" t="str" cm="1">
        <f t="array" ref="E131">Common_InputFunctions.Utility_DisplayArrayInTable(Scope3_SourceData.Scope3_Feed_Data(), Table_SourceData_Scope3_Feed[[#Headers],[Category]], -1, 2)</f>
        <v>Lucerne hay</v>
      </c>
      <c r="F131" s="20" t="str" cm="1">
        <f t="array" ref="F131">Common_InputFunctions.Utility_DisplayArrayInTable(Scope3_SourceData.Scope3_Feed_Data(), Table_SourceData_Scope3_Feed[[#Headers],[Category]], -1, 2)</f>
        <v>Australia</v>
      </c>
      <c r="G131" s="20" t="str" cm="1">
        <f t="array" ref="G131">Common_InputFunctions.Utility_DisplayArrayInTable(Scope3_SourceData.Scope3_Feed_Data(), Table_SourceData_Scope3_Feed[[#Headers],[Category]], -1, 2)</f>
        <v>kg</v>
      </c>
      <c r="H131" s="20" cm="1">
        <f t="array" ref="H131">Common_InputFunctions.Utility_DisplayArrayInTable(Scope3_SourceData.Scope3_Feed_Data(), Table_SourceData_Scope3_Feed[[#Headers],[Category]], -1, 2)</f>
        <v>0.11700000000000001</v>
      </c>
      <c r="I131" s="20" t="str" cm="1">
        <f t="array" ref="I131">Common_InputFunctions.Utility_DisplayArrayInTable(Scope3_SourceData.Scope3_Feed_Data(), Table_SourceData_Scope3_Feed[[#Headers],[Category]], -1, 2)</f>
        <v>at market</v>
      </c>
      <c r="J131" s="20" t="s">
        <v>990</v>
      </c>
      <c r="O131" s="20" t="str">
        <f>Table_SourceData_Scope3_Feed[[#This Row],[Product]]</f>
        <v>Lucerne hay</v>
      </c>
      <c r="P131" s="20" t="str">
        <f>Table_SourceData_Scope3_Feed[[#This Row],[Region of origin]]</f>
        <v>Australia</v>
      </c>
    </row>
    <row r="132" spans="4:17" ht="20.100000000000001" customHeight="1" x14ac:dyDescent="0.2">
      <c r="D132" s="20" t="str" cm="1">
        <f t="array" ref="D132">Common_InputFunctions.Utility_DisplayArrayInTable(Scope3_SourceData.Scope3_Feed_Data(), Table_SourceData_Scope3_Feed[[#Headers],[Category]], -1, 2)</f>
        <v>Hay</v>
      </c>
      <c r="E132" s="20" t="str" cm="1">
        <f t="array" ref="E132">Common_InputFunctions.Utility_DisplayArrayInTable(Scope3_SourceData.Scope3_Feed_Data(), Table_SourceData_Scope3_Feed[[#Headers],[Category]], -1, 2)</f>
        <v>Lucerne hay</v>
      </c>
      <c r="F132" s="20" t="str" cm="1">
        <f t="array" ref="F132">Common_InputFunctions.Utility_DisplayArrayInTable(Scope3_SourceData.Scope3_Feed_Data(), Table_SourceData_Scope3_Feed[[#Headers],[Category]], -1, 2)</f>
        <v>NSW</v>
      </c>
      <c r="G132" s="20" t="str" cm="1">
        <f t="array" ref="G132">Common_InputFunctions.Utility_DisplayArrayInTable(Scope3_SourceData.Scope3_Feed_Data(), Table_SourceData_Scope3_Feed[[#Headers],[Category]], -1, 2)</f>
        <v>kg</v>
      </c>
      <c r="H132" s="20" cm="1">
        <f t="array" ref="H132">Common_InputFunctions.Utility_DisplayArrayInTable(Scope3_SourceData.Scope3_Feed_Data(), Table_SourceData_Scope3_Feed[[#Headers],[Category]], -1, 2)</f>
        <v>0.113</v>
      </c>
      <c r="I132" s="20" t="str" cm="1">
        <f t="array" ref="I132">Common_InputFunctions.Utility_DisplayArrayInTable(Scope3_SourceData.Scope3_Feed_Data(), Table_SourceData_Scope3_Feed[[#Headers],[Category]], -1, 2)</f>
        <v>at market</v>
      </c>
      <c r="J132" s="20" t="s">
        <v>990</v>
      </c>
      <c r="O132" s="20" t="str">
        <f>Table_SourceData_Scope3_Feed[[#This Row],[Product]]</f>
        <v>Lucerne hay</v>
      </c>
      <c r="P132" s="20" t="str">
        <f>Table_SourceData_Scope3_Feed[[#This Row],[Region of origin]]</f>
        <v>NSW</v>
      </c>
    </row>
    <row r="133" spans="4:17" ht="20.100000000000001" customHeight="1" x14ac:dyDescent="0.2">
      <c r="D133" s="20" t="str" cm="1">
        <f t="array" ref="D133">Common_InputFunctions.Utility_DisplayArrayInTable(Scope3_SourceData.Scope3_Feed_Data(), Table_SourceData_Scope3_Feed[[#Headers],[Category]], -1, 2)</f>
        <v>Hay</v>
      </c>
      <c r="E133" s="20" t="str" cm="1">
        <f t="array" ref="E133">Common_InputFunctions.Utility_DisplayArrayInTable(Scope3_SourceData.Scope3_Feed_Data(), Table_SourceData_Scope3_Feed[[#Headers],[Category]], -1, 2)</f>
        <v>Lucerne hay</v>
      </c>
      <c r="F133" s="20" t="str" cm="1">
        <f t="array" ref="F133">Common_InputFunctions.Utility_DisplayArrayInTable(Scope3_SourceData.Scope3_Feed_Data(), Table_SourceData_Scope3_Feed[[#Headers],[Category]], -1, 2)</f>
        <v>QLD</v>
      </c>
      <c r="G133" s="20" t="str" cm="1">
        <f t="array" ref="G133">Common_InputFunctions.Utility_DisplayArrayInTable(Scope3_SourceData.Scope3_Feed_Data(), Table_SourceData_Scope3_Feed[[#Headers],[Category]], -1, 2)</f>
        <v>kg</v>
      </c>
      <c r="H133" s="20" cm="1">
        <f t="array" ref="H133">Common_InputFunctions.Utility_DisplayArrayInTable(Scope3_SourceData.Scope3_Feed_Data(), Table_SourceData_Scope3_Feed[[#Headers],[Category]], -1, 2)</f>
        <v>0.14299999999999999</v>
      </c>
      <c r="I133" s="20" t="str" cm="1">
        <f t="array" ref="I133">Common_InputFunctions.Utility_DisplayArrayInTable(Scope3_SourceData.Scope3_Feed_Data(), Table_SourceData_Scope3_Feed[[#Headers],[Category]], -1, 2)</f>
        <v>at market</v>
      </c>
      <c r="J133" s="20" t="s">
        <v>990</v>
      </c>
      <c r="O133" s="20" t="str">
        <f>Table_SourceData_Scope3_Feed[[#This Row],[Product]]</f>
        <v>Lucerne hay</v>
      </c>
      <c r="P133" s="20" t="str">
        <f>Table_SourceData_Scope3_Feed[[#This Row],[Region of origin]]</f>
        <v>QLD</v>
      </c>
    </row>
    <row r="134" spans="4:17" ht="20.100000000000001" customHeight="1" x14ac:dyDescent="0.2">
      <c r="D134" s="20" t="str" cm="1">
        <f t="array" ref="D134">Common_InputFunctions.Utility_DisplayArrayInTable(Scope3_SourceData.Scope3_Feed_Data(), Table_SourceData_Scope3_Feed[[#Headers],[Category]], -1, 2)</f>
        <v>Hay</v>
      </c>
      <c r="E134" s="20" t="str" cm="1">
        <f t="array" ref="E134">Common_InputFunctions.Utility_DisplayArrayInTable(Scope3_SourceData.Scope3_Feed_Data(), Table_SourceData_Scope3_Feed[[#Headers],[Category]], -1, 2)</f>
        <v>Lucerne hay</v>
      </c>
      <c r="F134" s="20" t="str" cm="1">
        <f t="array" ref="F134">Common_InputFunctions.Utility_DisplayArrayInTable(Scope3_SourceData.Scope3_Feed_Data(), Table_SourceData_Scope3_Feed[[#Headers],[Category]], -1, 2)</f>
        <v>SA</v>
      </c>
      <c r="G134" s="20" t="str" cm="1">
        <f t="array" ref="G134">Common_InputFunctions.Utility_DisplayArrayInTable(Scope3_SourceData.Scope3_Feed_Data(), Table_SourceData_Scope3_Feed[[#Headers],[Category]], -1, 2)</f>
        <v>kg</v>
      </c>
      <c r="H134" s="20" cm="1">
        <f t="array" ref="H134">Common_InputFunctions.Utility_DisplayArrayInTable(Scope3_SourceData.Scope3_Feed_Data(), Table_SourceData_Scope3_Feed[[#Headers],[Category]], -1, 2)</f>
        <v>0.106</v>
      </c>
      <c r="I134" s="20" t="str" cm="1">
        <f t="array" ref="I134">Common_InputFunctions.Utility_DisplayArrayInTable(Scope3_SourceData.Scope3_Feed_Data(), Table_SourceData_Scope3_Feed[[#Headers],[Category]], -1, 2)</f>
        <v>at market</v>
      </c>
      <c r="J134" s="20" t="s">
        <v>990</v>
      </c>
      <c r="O134" s="20" t="str">
        <f>Table_SourceData_Scope3_Feed[[#This Row],[Product]]</f>
        <v>Lucerne hay</v>
      </c>
      <c r="P134" s="20" t="str">
        <f>Table_SourceData_Scope3_Feed[[#This Row],[Region of origin]]</f>
        <v>SA</v>
      </c>
    </row>
    <row r="135" spans="4:17" ht="20.100000000000001" customHeight="1" x14ac:dyDescent="0.2">
      <c r="D135" s="20" t="str" cm="1">
        <f t="array" ref="D135">Common_InputFunctions.Utility_DisplayArrayInTable(Scope3_SourceData.Scope3_Feed_Data(), Table_SourceData_Scope3_Feed[[#Headers],[Category]], -1, 2)</f>
        <v>Hay</v>
      </c>
      <c r="E135" s="20" t="str" cm="1">
        <f t="array" ref="E135">Common_InputFunctions.Utility_DisplayArrayInTable(Scope3_SourceData.Scope3_Feed_Data(), Table_SourceData_Scope3_Feed[[#Headers],[Category]], -1, 2)</f>
        <v>Lucerne hay</v>
      </c>
      <c r="F135" s="20" t="str" cm="1">
        <f t="array" ref="F135">Common_InputFunctions.Utility_DisplayArrayInTable(Scope3_SourceData.Scope3_Feed_Data(), Table_SourceData_Scope3_Feed[[#Headers],[Category]], -1, 2)</f>
        <v>TAS</v>
      </c>
      <c r="G135" s="20" t="str" cm="1">
        <f t="array" ref="G135">Common_InputFunctions.Utility_DisplayArrayInTable(Scope3_SourceData.Scope3_Feed_Data(), Table_SourceData_Scope3_Feed[[#Headers],[Category]], -1, 2)</f>
        <v>kg</v>
      </c>
      <c r="H135" s="20" cm="1">
        <f t="array" ref="H135">Common_InputFunctions.Utility_DisplayArrayInTable(Scope3_SourceData.Scope3_Feed_Data(), Table_SourceData_Scope3_Feed[[#Headers],[Category]], -1, 2)</f>
        <v>0.113</v>
      </c>
      <c r="I135" s="20" t="str" cm="1">
        <f t="array" ref="I135">Common_InputFunctions.Utility_DisplayArrayInTable(Scope3_SourceData.Scope3_Feed_Data(), Table_SourceData_Scope3_Feed[[#Headers],[Category]], -1, 2)</f>
        <v>at market</v>
      </c>
      <c r="J135" s="20" t="s">
        <v>990</v>
      </c>
      <c r="O135" s="20" t="str">
        <f>Table_SourceData_Scope3_Feed[[#This Row],[Product]]</f>
        <v>Lucerne hay</v>
      </c>
      <c r="P135" s="20" t="str">
        <f>Table_SourceData_Scope3_Feed[[#This Row],[Region of origin]]</f>
        <v>TAS</v>
      </c>
    </row>
    <row r="136" spans="4:17" ht="20.100000000000001" customHeight="1" x14ac:dyDescent="0.2">
      <c r="D136" s="20" t="str" cm="1">
        <f t="array" ref="D136">Common_InputFunctions.Utility_DisplayArrayInTable(Scope3_SourceData.Scope3_Feed_Data(), Table_SourceData_Scope3_Feed[[#Headers],[Category]], -1, 2)</f>
        <v>Hay</v>
      </c>
      <c r="E136" s="20" t="str" cm="1">
        <f t="array" ref="E136">Common_InputFunctions.Utility_DisplayArrayInTable(Scope3_SourceData.Scope3_Feed_Data(), Table_SourceData_Scope3_Feed[[#Headers],[Category]], -1, 2)</f>
        <v>Lucerne hay</v>
      </c>
      <c r="F136" s="20" t="str" cm="1">
        <f t="array" ref="F136">Common_InputFunctions.Utility_DisplayArrayInTable(Scope3_SourceData.Scope3_Feed_Data(), Table_SourceData_Scope3_Feed[[#Headers],[Category]], -1, 2)</f>
        <v>VIC</v>
      </c>
      <c r="G136" s="20" t="str" cm="1">
        <f t="array" ref="G136">Common_InputFunctions.Utility_DisplayArrayInTable(Scope3_SourceData.Scope3_Feed_Data(), Table_SourceData_Scope3_Feed[[#Headers],[Category]], -1, 2)</f>
        <v>kg</v>
      </c>
      <c r="H136" s="20" cm="1">
        <f t="array" ref="H136">Common_InputFunctions.Utility_DisplayArrayInTable(Scope3_SourceData.Scope3_Feed_Data(), Table_SourceData_Scope3_Feed[[#Headers],[Category]], -1, 2)</f>
        <v>0.106</v>
      </c>
      <c r="I136" s="20" t="str" cm="1">
        <f t="array" ref="I136">Common_InputFunctions.Utility_DisplayArrayInTable(Scope3_SourceData.Scope3_Feed_Data(), Table_SourceData_Scope3_Feed[[#Headers],[Category]], -1, 2)</f>
        <v>at market</v>
      </c>
      <c r="J136" s="20" t="s">
        <v>990</v>
      </c>
      <c r="O136" s="20" t="str">
        <f>Table_SourceData_Scope3_Feed[[#This Row],[Product]]</f>
        <v>Lucerne hay</v>
      </c>
      <c r="P136" s="20" t="str">
        <f>Table_SourceData_Scope3_Feed[[#This Row],[Region of origin]]</f>
        <v>VIC</v>
      </c>
    </row>
    <row r="137" spans="4:17" ht="20.100000000000001" customHeight="1" x14ac:dyDescent="0.2">
      <c r="D137" s="20" t="str" cm="1">
        <f t="array" ref="D137">Common_InputFunctions.Utility_DisplayArrayInTable(Scope3_SourceData.Scope3_Feed_Data(), Table_SourceData_Scope3_Feed[[#Headers],[Category]], -1, 2)</f>
        <v>Hay</v>
      </c>
      <c r="E137" s="20" t="str" cm="1">
        <f t="array" ref="E137">Common_InputFunctions.Utility_DisplayArrayInTable(Scope3_SourceData.Scope3_Feed_Data(), Table_SourceData_Scope3_Feed[[#Headers],[Category]], -1, 2)</f>
        <v>Maize silage</v>
      </c>
      <c r="F137" s="20" t="str" cm="1">
        <f t="array" ref="F137">Common_InputFunctions.Utility_DisplayArrayInTable(Scope3_SourceData.Scope3_Feed_Data(), Table_SourceData_Scope3_Feed[[#Headers],[Category]], -1, 2)</f>
        <v>VIC</v>
      </c>
      <c r="G137" s="20" t="str" cm="1">
        <f t="array" ref="G137">Common_InputFunctions.Utility_DisplayArrayInTable(Scope3_SourceData.Scope3_Feed_Data(), Table_SourceData_Scope3_Feed[[#Headers],[Category]], -1, 2)</f>
        <v>kg</v>
      </c>
      <c r="H137" s="20" cm="1">
        <f t="array" ref="H137">Common_InputFunctions.Utility_DisplayArrayInTable(Scope3_SourceData.Scope3_Feed_Data(), Table_SourceData_Scope3_Feed[[#Headers],[Category]], -1, 2)</f>
        <v>0.16300000000000001</v>
      </c>
      <c r="I137" s="20" t="str" cm="1">
        <f t="array" ref="I137">Common_InputFunctions.Utility_DisplayArrayInTable(Scope3_SourceData.Scope3_Feed_Data(), Table_SourceData_Scope3_Feed[[#Headers],[Category]], -1, 2)</f>
        <v>at market</v>
      </c>
      <c r="J137" s="20" t="s">
        <v>990</v>
      </c>
      <c r="L137" s="20" t="s">
        <v>130</v>
      </c>
      <c r="M137" s="20" t="s">
        <v>988</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4:17" ht="20.100000000000001" customHeight="1" x14ac:dyDescent="0.2">
      <c r="D138" s="20" t="str" cm="1">
        <f t="array" ref="D138">Common_InputFunctions.Utility_DisplayArrayInTable(Scope3_SourceData.Scope3_Feed_Data(), Table_SourceData_Scope3_Feed[[#Headers],[Category]], -1, 2)</f>
        <v>Hay</v>
      </c>
      <c r="E138" s="20" t="str" cm="1">
        <f t="array" ref="E138">Common_InputFunctions.Utility_DisplayArrayInTable(Scope3_SourceData.Scope3_Feed_Data(), Table_SourceData_Scope3_Feed[[#Headers],[Category]], -1, 2)</f>
        <v>Oaten hay</v>
      </c>
      <c r="F138" s="20" t="str" cm="1">
        <f t="array" ref="F138">Common_InputFunctions.Utility_DisplayArrayInTable(Scope3_SourceData.Scope3_Feed_Data(), Table_SourceData_Scope3_Feed[[#Headers],[Category]], -1, 2)</f>
        <v>Australia</v>
      </c>
      <c r="G138" s="20" t="str" cm="1">
        <f t="array" ref="G138">Common_InputFunctions.Utility_DisplayArrayInTable(Scope3_SourceData.Scope3_Feed_Data(), Table_SourceData_Scope3_Feed[[#Headers],[Category]], -1, 2)</f>
        <v>kg</v>
      </c>
      <c r="H138" s="20" cm="1">
        <f t="array" ref="H138">Common_InputFunctions.Utility_DisplayArrayInTable(Scope3_SourceData.Scope3_Feed_Data(), Table_SourceData_Scope3_Feed[[#Headers],[Category]], -1, 2)</f>
        <v>0.12</v>
      </c>
      <c r="I138" s="20" t="str" cm="1">
        <f t="array" ref="I138">Common_InputFunctions.Utility_DisplayArrayInTable(Scope3_SourceData.Scope3_Feed_Data(), Table_SourceData_Scope3_Feed[[#Headers],[Category]], -1, 2)</f>
        <v>at market</v>
      </c>
      <c r="J138" s="20" t="s">
        <v>990</v>
      </c>
      <c r="L138" s="20" t="str">
        <f>Table_SourceData_Scope3_Feed[[#This Row],[Product]]</f>
        <v>Oaten hay</v>
      </c>
      <c r="M138" s="20" t="str">
        <f>Table_SourceData_Scope3_Feed[[#This Row],[Region of origin]]</f>
        <v>Australia</v>
      </c>
    </row>
    <row r="139" spans="4:17" ht="20.100000000000001" customHeight="1" x14ac:dyDescent="0.2">
      <c r="D139" s="20" t="str" cm="1">
        <f t="array" ref="D139">Common_InputFunctions.Utility_DisplayArrayInTable(Scope3_SourceData.Scope3_Feed_Data(), Table_SourceData_Scope3_Feed[[#Headers],[Category]], -1, 2)</f>
        <v>Hay</v>
      </c>
      <c r="E139" s="20" t="str" cm="1">
        <f t="array" ref="E139">Common_InputFunctions.Utility_DisplayArrayInTable(Scope3_SourceData.Scope3_Feed_Data(), Table_SourceData_Scope3_Feed[[#Headers],[Category]], -1, 2)</f>
        <v>Oaten hay</v>
      </c>
      <c r="F139" s="20" t="str" cm="1">
        <f t="array" ref="F139">Common_InputFunctions.Utility_DisplayArrayInTable(Scope3_SourceData.Scope3_Feed_Data(), Table_SourceData_Scope3_Feed[[#Headers],[Category]], -1, 2)</f>
        <v>NSW</v>
      </c>
      <c r="G139" s="20" t="str" cm="1">
        <f t="array" ref="G139">Common_InputFunctions.Utility_DisplayArrayInTable(Scope3_SourceData.Scope3_Feed_Data(), Table_SourceData_Scope3_Feed[[#Headers],[Category]], -1, 2)</f>
        <v>kg</v>
      </c>
      <c r="H139" s="20" cm="1">
        <f t="array" ref="H139">Common_InputFunctions.Utility_DisplayArrayInTable(Scope3_SourceData.Scope3_Feed_Data(), Table_SourceData_Scope3_Feed[[#Headers],[Category]], -1, 2)</f>
        <v>0.11899999999999999</v>
      </c>
      <c r="I139" s="20" t="str" cm="1">
        <f t="array" ref="I139">Common_InputFunctions.Utility_DisplayArrayInTable(Scope3_SourceData.Scope3_Feed_Data(), Table_SourceData_Scope3_Feed[[#Headers],[Category]], -1, 2)</f>
        <v>at market</v>
      </c>
      <c r="J139" s="20" t="s">
        <v>990</v>
      </c>
      <c r="L139" s="20" t="str">
        <f>Table_SourceData_Scope3_Feed[[#This Row],[Product]]</f>
        <v>Oaten hay</v>
      </c>
      <c r="M139" s="20" t="str">
        <f>Table_SourceData_Scope3_Feed[[#This Row],[Region of origin]]</f>
        <v>NSW</v>
      </c>
    </row>
    <row r="140" spans="4:17" ht="20.100000000000001" customHeight="1" x14ac:dyDescent="0.2">
      <c r="D140" s="20" t="str" cm="1">
        <f t="array" ref="D140">Common_InputFunctions.Utility_DisplayArrayInTable(Scope3_SourceData.Scope3_Feed_Data(), Table_SourceData_Scope3_Feed[[#Headers],[Category]], -1, 2)</f>
        <v>Hay</v>
      </c>
      <c r="E140" s="20" t="str" cm="1">
        <f t="array" ref="E140">Common_InputFunctions.Utility_DisplayArrayInTable(Scope3_SourceData.Scope3_Feed_Data(), Table_SourceData_Scope3_Feed[[#Headers],[Category]], -1, 2)</f>
        <v>Oaten hay</v>
      </c>
      <c r="F140" s="20" t="str" cm="1">
        <f t="array" ref="F140">Common_InputFunctions.Utility_DisplayArrayInTable(Scope3_SourceData.Scope3_Feed_Data(), Table_SourceData_Scope3_Feed[[#Headers],[Category]], -1, 2)</f>
        <v>QLD</v>
      </c>
      <c r="G140" s="20" t="str" cm="1">
        <f t="array" ref="G140">Common_InputFunctions.Utility_DisplayArrayInTable(Scope3_SourceData.Scope3_Feed_Data(), Table_SourceData_Scope3_Feed[[#Headers],[Category]], -1, 2)</f>
        <v>kg</v>
      </c>
      <c r="H140" s="20" cm="1">
        <f t="array" ref="H140">Common_InputFunctions.Utility_DisplayArrayInTable(Scope3_SourceData.Scope3_Feed_Data(), Table_SourceData_Scope3_Feed[[#Headers],[Category]], -1, 2)</f>
        <v>0.11700000000000001</v>
      </c>
      <c r="I140" s="20" t="str" cm="1">
        <f t="array" ref="I140">Common_InputFunctions.Utility_DisplayArrayInTable(Scope3_SourceData.Scope3_Feed_Data(), Table_SourceData_Scope3_Feed[[#Headers],[Category]], -1, 2)</f>
        <v>at market</v>
      </c>
      <c r="J140" s="20" t="s">
        <v>990</v>
      </c>
      <c r="L140" s="20" t="str">
        <f>Table_SourceData_Scope3_Feed[[#This Row],[Product]]</f>
        <v>Oaten hay</v>
      </c>
      <c r="M140" s="20" t="str">
        <f>Table_SourceData_Scope3_Feed[[#This Row],[Region of origin]]</f>
        <v>QLD</v>
      </c>
    </row>
    <row r="141" spans="4:17" ht="20.100000000000001" customHeight="1" x14ac:dyDescent="0.2">
      <c r="D141" s="20" t="str" cm="1">
        <f t="array" ref="D141">Common_InputFunctions.Utility_DisplayArrayInTable(Scope3_SourceData.Scope3_Feed_Data(), Table_SourceData_Scope3_Feed[[#Headers],[Category]], -1, 2)</f>
        <v>Hay</v>
      </c>
      <c r="E141" s="20" t="str" cm="1">
        <f t="array" ref="E141">Common_InputFunctions.Utility_DisplayArrayInTable(Scope3_SourceData.Scope3_Feed_Data(), Table_SourceData_Scope3_Feed[[#Headers],[Category]], -1, 2)</f>
        <v>Oaten hay</v>
      </c>
      <c r="F141" s="20" t="str" cm="1">
        <f t="array" ref="F141">Common_InputFunctions.Utility_DisplayArrayInTable(Scope3_SourceData.Scope3_Feed_Data(), Table_SourceData_Scope3_Feed[[#Headers],[Category]], -1, 2)</f>
        <v>SA</v>
      </c>
      <c r="G141" s="20" t="str" cm="1">
        <f t="array" ref="G141">Common_InputFunctions.Utility_DisplayArrayInTable(Scope3_SourceData.Scope3_Feed_Data(), Table_SourceData_Scope3_Feed[[#Headers],[Category]], -1, 2)</f>
        <v>kg</v>
      </c>
      <c r="H141" s="20" cm="1">
        <f t="array" ref="H141">Common_InputFunctions.Utility_DisplayArrayInTable(Scope3_SourceData.Scope3_Feed_Data(), Table_SourceData_Scope3_Feed[[#Headers],[Category]], -1, 2)</f>
        <v>0.114</v>
      </c>
      <c r="I141" s="20" t="str" cm="1">
        <f t="array" ref="I141">Common_InputFunctions.Utility_DisplayArrayInTable(Scope3_SourceData.Scope3_Feed_Data(), Table_SourceData_Scope3_Feed[[#Headers],[Category]], -1, 2)</f>
        <v>at market</v>
      </c>
      <c r="J141" s="20" t="s">
        <v>990</v>
      </c>
      <c r="L141" s="20" t="str">
        <f>Table_SourceData_Scope3_Feed[[#This Row],[Product]]</f>
        <v>Oaten hay</v>
      </c>
      <c r="M141" s="20" t="str">
        <f>Table_SourceData_Scope3_Feed[[#This Row],[Region of origin]]</f>
        <v>SA</v>
      </c>
    </row>
    <row r="142" spans="4:17" ht="20.100000000000001" customHeight="1" x14ac:dyDescent="0.2">
      <c r="D142" s="20" t="str" cm="1">
        <f t="array" ref="D142">Common_InputFunctions.Utility_DisplayArrayInTable(Scope3_SourceData.Scope3_Feed_Data(), Table_SourceData_Scope3_Feed[[#Headers],[Category]], -1, 2)</f>
        <v>Hay</v>
      </c>
      <c r="E142" s="20" t="str" cm="1">
        <f t="array" ref="E142">Common_InputFunctions.Utility_DisplayArrayInTable(Scope3_SourceData.Scope3_Feed_Data(), Table_SourceData_Scope3_Feed[[#Headers],[Category]], -1, 2)</f>
        <v>Oaten hay</v>
      </c>
      <c r="F142" s="20" t="str" cm="1">
        <f t="array" ref="F142">Common_InputFunctions.Utility_DisplayArrayInTable(Scope3_SourceData.Scope3_Feed_Data(), Table_SourceData_Scope3_Feed[[#Headers],[Category]], -1, 2)</f>
        <v>VIC</v>
      </c>
      <c r="G142" s="20" t="str" cm="1">
        <f t="array" ref="G142">Common_InputFunctions.Utility_DisplayArrayInTable(Scope3_SourceData.Scope3_Feed_Data(), Table_SourceData_Scope3_Feed[[#Headers],[Category]], -1, 2)</f>
        <v>kg</v>
      </c>
      <c r="H142" s="20" cm="1">
        <f t="array" ref="H142">Common_InputFunctions.Utility_DisplayArrayInTable(Scope3_SourceData.Scope3_Feed_Data(), Table_SourceData_Scope3_Feed[[#Headers],[Category]], -1, 2)</f>
        <v>0.11799999999999999</v>
      </c>
      <c r="I142" s="20" t="str" cm="1">
        <f t="array" ref="I142">Common_InputFunctions.Utility_DisplayArrayInTable(Scope3_SourceData.Scope3_Feed_Data(), Table_SourceData_Scope3_Feed[[#Headers],[Category]], -1, 2)</f>
        <v>at market</v>
      </c>
      <c r="J142" s="20" t="s">
        <v>990</v>
      </c>
      <c r="L142" s="20" t="str">
        <f>Table_SourceData_Scope3_Feed[[#This Row],[Product]]</f>
        <v>Oaten hay</v>
      </c>
      <c r="M142" s="20" t="str">
        <f>Table_SourceData_Scope3_Feed[[#This Row],[Region of origin]]</f>
        <v>VIC</v>
      </c>
    </row>
    <row r="143" spans="4:17" ht="20.100000000000001" customHeight="1" x14ac:dyDescent="0.2">
      <c r="D143" s="20" t="str" cm="1">
        <f t="array" ref="D143">Common_InputFunctions.Utility_DisplayArrayInTable(Scope3_SourceData.Scope3_Feed_Data(), Table_SourceData_Scope3_Feed[[#Headers],[Category]], -1, 2)</f>
        <v>Hay</v>
      </c>
      <c r="E143" s="20" t="str" cm="1">
        <f t="array" ref="E143">Common_InputFunctions.Utility_DisplayArrayInTable(Scope3_SourceData.Scope3_Feed_Data(), Table_SourceData_Scope3_Feed[[#Headers],[Category]], -1, 2)</f>
        <v>Oaten hay</v>
      </c>
      <c r="F143" s="20" t="str" cm="1">
        <f t="array" ref="F143">Common_InputFunctions.Utility_DisplayArrayInTable(Scope3_SourceData.Scope3_Feed_Data(), Table_SourceData_Scope3_Feed[[#Headers],[Category]], -1, 2)</f>
        <v>WA</v>
      </c>
      <c r="G143" s="20" t="str" cm="1">
        <f t="array" ref="G143">Common_InputFunctions.Utility_DisplayArrayInTable(Scope3_SourceData.Scope3_Feed_Data(), Table_SourceData_Scope3_Feed[[#Headers],[Category]], -1, 2)</f>
        <v>kg</v>
      </c>
      <c r="H143" s="20" cm="1">
        <f t="array" ref="H143">Common_InputFunctions.Utility_DisplayArrayInTable(Scope3_SourceData.Scope3_Feed_Data(), Table_SourceData_Scope3_Feed[[#Headers],[Category]], -1, 2)</f>
        <v>0.124</v>
      </c>
      <c r="I143" s="20" t="str" cm="1">
        <f t="array" ref="I143">Common_InputFunctions.Utility_DisplayArrayInTable(Scope3_SourceData.Scope3_Feed_Data(), Table_SourceData_Scope3_Feed[[#Headers],[Category]], -1, 2)</f>
        <v>at market</v>
      </c>
      <c r="J143" s="20" t="s">
        <v>990</v>
      </c>
      <c r="L143" s="20" t="str">
        <f>Table_SourceData_Scope3_Feed[[#This Row],[Product]]</f>
        <v>Oaten hay</v>
      </c>
      <c r="M143" s="20" t="str">
        <f>Table_SourceData_Scope3_Feed[[#This Row],[Region of origin]]</f>
        <v>WA</v>
      </c>
      <c r="O143" s="20" t="s">
        <v>130</v>
      </c>
      <c r="P143" s="20" t="s">
        <v>988</v>
      </c>
      <c r="Q143" s="1" t="str">
        <f>"Table_ProductRegions_" &amp; SUBSTITUTE(SUBSTITUTE(SUBSTITUTE(SUBSTITUTE(O144, " ", ""), ",", ""), "(", ""), ")", "")</f>
        <v>Table_ProductRegions_Pasturehay</v>
      </c>
    </row>
    <row r="144" spans="4:17" ht="20.100000000000001" customHeight="1" x14ac:dyDescent="0.2">
      <c r="D144" s="20" t="str" cm="1">
        <f t="array" ref="D144">Common_InputFunctions.Utility_DisplayArrayInTable(Scope3_SourceData.Scope3_Feed_Data(), Table_SourceData_Scope3_Feed[[#Headers],[Category]], -1, 2)</f>
        <v>Hay</v>
      </c>
      <c r="E144" s="20" t="str" cm="1">
        <f t="array" ref="E144">Common_InputFunctions.Utility_DisplayArrayInTable(Scope3_SourceData.Scope3_Feed_Data(), Table_SourceData_Scope3_Feed[[#Headers],[Category]], -1, 2)</f>
        <v>Pasture hay</v>
      </c>
      <c r="F144" s="20" t="str" cm="1">
        <f t="array" ref="F144">Common_InputFunctions.Utility_DisplayArrayInTable(Scope3_SourceData.Scope3_Feed_Data(), Table_SourceData_Scope3_Feed[[#Headers],[Category]], -1, 2)</f>
        <v>Australia</v>
      </c>
      <c r="G144" s="20" t="str" cm="1">
        <f t="array" ref="G144">Common_InputFunctions.Utility_DisplayArrayInTable(Scope3_SourceData.Scope3_Feed_Data(), Table_SourceData_Scope3_Feed[[#Headers],[Category]], -1, 2)</f>
        <v>kg</v>
      </c>
      <c r="H144" s="20" cm="1">
        <f t="array" ref="H144">Common_InputFunctions.Utility_DisplayArrayInTable(Scope3_SourceData.Scope3_Feed_Data(), Table_SourceData_Scope3_Feed[[#Headers],[Category]], -1, 2)</f>
        <v>0.33900000000000002</v>
      </c>
      <c r="I144" s="20" t="str" cm="1">
        <f t="array" ref="I144">Common_InputFunctions.Utility_DisplayArrayInTable(Scope3_SourceData.Scope3_Feed_Data(), Table_SourceData_Scope3_Feed[[#Headers],[Category]], -1, 2)</f>
        <v>at market</v>
      </c>
      <c r="J144" s="20" t="s">
        <v>990</v>
      </c>
      <c r="O144" s="20" t="str">
        <f>Table_SourceData_Scope3_Feed[[#This Row],[Product]]</f>
        <v>Pasture hay</v>
      </c>
      <c r="P144" s="20" t="str">
        <f>Table_SourceData_Scope3_Feed[[#This Row],[Region of origin]]</f>
        <v>Australia</v>
      </c>
    </row>
    <row r="145" spans="1:17" ht="20.100000000000001" customHeight="1" x14ac:dyDescent="0.2">
      <c r="D145" s="20" t="str" cm="1">
        <f t="array" ref="D145">Common_InputFunctions.Utility_DisplayArrayInTable(Scope3_SourceData.Scope3_Feed_Data(), Table_SourceData_Scope3_Feed[[#Headers],[Category]], -1, 2)</f>
        <v>Hay</v>
      </c>
      <c r="E145" s="20" t="str" cm="1">
        <f t="array" ref="E145">Common_InputFunctions.Utility_DisplayArrayInTable(Scope3_SourceData.Scope3_Feed_Data(), Table_SourceData_Scope3_Feed[[#Headers],[Category]], -1, 2)</f>
        <v>Pasture hay</v>
      </c>
      <c r="F145" s="20" t="str" cm="1">
        <f t="array" ref="F145">Common_InputFunctions.Utility_DisplayArrayInTable(Scope3_SourceData.Scope3_Feed_Data(), Table_SourceData_Scope3_Feed[[#Headers],[Category]], -1, 2)</f>
        <v>NSW</v>
      </c>
      <c r="G145" s="20" t="str" cm="1">
        <f t="array" ref="G145">Common_InputFunctions.Utility_DisplayArrayInTable(Scope3_SourceData.Scope3_Feed_Data(), Table_SourceData_Scope3_Feed[[#Headers],[Category]], -1, 2)</f>
        <v>kg</v>
      </c>
      <c r="H145" s="20" cm="1">
        <f t="array" ref="H145">Common_InputFunctions.Utility_DisplayArrayInTable(Scope3_SourceData.Scope3_Feed_Data(), Table_SourceData_Scope3_Feed[[#Headers],[Category]], -1, 2)</f>
        <v>0.311</v>
      </c>
      <c r="I145" s="20" t="str" cm="1">
        <f t="array" ref="I145">Common_InputFunctions.Utility_DisplayArrayInTable(Scope3_SourceData.Scope3_Feed_Data(), Table_SourceData_Scope3_Feed[[#Headers],[Category]], -1, 2)</f>
        <v>at market</v>
      </c>
      <c r="J145" s="20" t="s">
        <v>990</v>
      </c>
      <c r="O145" s="20" t="str">
        <f>Table_SourceData_Scope3_Feed[[#This Row],[Product]]</f>
        <v>Pasture hay</v>
      </c>
      <c r="P145" s="20" t="str">
        <f>Table_SourceData_Scope3_Feed[[#This Row],[Region of origin]]</f>
        <v>NSW</v>
      </c>
    </row>
    <row r="146" spans="1:17" ht="20.100000000000001" customHeight="1" x14ac:dyDescent="0.2">
      <c r="D146" s="20" t="str" cm="1">
        <f t="array" ref="D146">Common_InputFunctions.Utility_DisplayArrayInTable(Scope3_SourceData.Scope3_Feed_Data(), Table_SourceData_Scope3_Feed[[#Headers],[Category]], -1, 2)</f>
        <v>Hay</v>
      </c>
      <c r="E146" s="20" t="str" cm="1">
        <f t="array" ref="E146">Common_InputFunctions.Utility_DisplayArrayInTable(Scope3_SourceData.Scope3_Feed_Data(), Table_SourceData_Scope3_Feed[[#Headers],[Category]], -1, 2)</f>
        <v>Pasture hay</v>
      </c>
      <c r="F146" s="20" t="str" cm="1">
        <f t="array" ref="F146">Common_InputFunctions.Utility_DisplayArrayInTable(Scope3_SourceData.Scope3_Feed_Data(), Table_SourceData_Scope3_Feed[[#Headers],[Category]], -1, 2)</f>
        <v>QLD</v>
      </c>
      <c r="G146" s="20" t="str" cm="1">
        <f t="array" ref="G146">Common_InputFunctions.Utility_DisplayArrayInTable(Scope3_SourceData.Scope3_Feed_Data(), Table_SourceData_Scope3_Feed[[#Headers],[Category]], -1, 2)</f>
        <v>kg</v>
      </c>
      <c r="H146" s="20" cm="1">
        <f t="array" ref="H146">Common_InputFunctions.Utility_DisplayArrayInTable(Scope3_SourceData.Scope3_Feed_Data(), Table_SourceData_Scope3_Feed[[#Headers],[Category]], -1, 2)</f>
        <v>0.254</v>
      </c>
      <c r="I146" s="20" t="str" cm="1">
        <f t="array" ref="I146">Common_InputFunctions.Utility_DisplayArrayInTable(Scope3_SourceData.Scope3_Feed_Data(), Table_SourceData_Scope3_Feed[[#Headers],[Category]], -1, 2)</f>
        <v>at market</v>
      </c>
      <c r="J146" s="20" t="s">
        <v>990</v>
      </c>
      <c r="O146" s="20" t="str">
        <f>Table_SourceData_Scope3_Feed[[#This Row],[Product]]</f>
        <v>Pasture hay</v>
      </c>
      <c r="P146" s="20" t="str">
        <f>Table_SourceData_Scope3_Feed[[#This Row],[Region of origin]]</f>
        <v>QLD</v>
      </c>
    </row>
    <row r="147" spans="1:17" ht="20.100000000000001" customHeight="1" x14ac:dyDescent="0.2">
      <c r="D147" s="20" t="str" cm="1">
        <f t="array" ref="D147">Common_InputFunctions.Utility_DisplayArrayInTable(Scope3_SourceData.Scope3_Feed_Data(), Table_SourceData_Scope3_Feed[[#Headers],[Category]], -1, 2)</f>
        <v>Hay</v>
      </c>
      <c r="E147" s="20" t="str" cm="1">
        <f t="array" ref="E147">Common_InputFunctions.Utility_DisplayArrayInTable(Scope3_SourceData.Scope3_Feed_Data(), Table_SourceData_Scope3_Feed[[#Headers],[Category]], -1, 2)</f>
        <v>Pasture hay</v>
      </c>
      <c r="F147" s="20" t="str" cm="1">
        <f t="array" ref="F147">Common_InputFunctions.Utility_DisplayArrayInTable(Scope3_SourceData.Scope3_Feed_Data(), Table_SourceData_Scope3_Feed[[#Headers],[Category]], -1, 2)</f>
        <v>SA</v>
      </c>
      <c r="G147" s="20" t="str" cm="1">
        <f t="array" ref="G147">Common_InputFunctions.Utility_DisplayArrayInTable(Scope3_SourceData.Scope3_Feed_Data(), Table_SourceData_Scope3_Feed[[#Headers],[Category]], -1, 2)</f>
        <v>kg</v>
      </c>
      <c r="H147" s="20" cm="1">
        <f t="array" ref="H147">Common_InputFunctions.Utility_DisplayArrayInTable(Scope3_SourceData.Scope3_Feed_Data(), Table_SourceData_Scope3_Feed[[#Headers],[Category]], -1, 2)</f>
        <v>0.313</v>
      </c>
      <c r="I147" s="20" t="str" cm="1">
        <f t="array" ref="I147">Common_InputFunctions.Utility_DisplayArrayInTable(Scope3_SourceData.Scope3_Feed_Data(), Table_SourceData_Scope3_Feed[[#Headers],[Category]], -1, 2)</f>
        <v>at market</v>
      </c>
      <c r="J147" s="20" t="s">
        <v>990</v>
      </c>
      <c r="O147" s="20" t="str">
        <f>Table_SourceData_Scope3_Feed[[#This Row],[Product]]</f>
        <v>Pasture hay</v>
      </c>
      <c r="P147" s="20" t="str">
        <f>Table_SourceData_Scope3_Feed[[#This Row],[Region of origin]]</f>
        <v>SA</v>
      </c>
    </row>
    <row r="148" spans="1:17" ht="20.100000000000001" customHeight="1" x14ac:dyDescent="0.2">
      <c r="A148" s="81" t="str">
        <f>HYPERLINK("#A1", "▲ Back to top")</f>
        <v>▲ Back to top</v>
      </c>
      <c r="D148" s="20" t="str" cm="1">
        <f t="array" ref="D148">Common_InputFunctions.Utility_DisplayArrayInTable(Scope3_SourceData.Scope3_Feed_Data(), Table_SourceData_Scope3_Feed[[#Headers],[Category]], -1, 2)</f>
        <v>Hay</v>
      </c>
      <c r="E148" s="20" t="str" cm="1">
        <f t="array" ref="E148">Common_InputFunctions.Utility_DisplayArrayInTable(Scope3_SourceData.Scope3_Feed_Data(), Table_SourceData_Scope3_Feed[[#Headers],[Category]], -1, 2)</f>
        <v>Pasture hay</v>
      </c>
      <c r="F148" s="20" t="str" cm="1">
        <f t="array" ref="F148">Common_InputFunctions.Utility_DisplayArrayInTable(Scope3_SourceData.Scope3_Feed_Data(), Table_SourceData_Scope3_Feed[[#Headers],[Category]], -1, 2)</f>
        <v>TAS</v>
      </c>
      <c r="G148" s="20" t="str" cm="1">
        <f t="array" ref="G148">Common_InputFunctions.Utility_DisplayArrayInTable(Scope3_SourceData.Scope3_Feed_Data(), Table_SourceData_Scope3_Feed[[#Headers],[Category]], -1, 2)</f>
        <v>kg</v>
      </c>
      <c r="H148" s="20" cm="1">
        <f t="array" ref="H148">Common_InputFunctions.Utility_DisplayArrayInTable(Scope3_SourceData.Scope3_Feed_Data(), Table_SourceData_Scope3_Feed[[#Headers],[Category]], -1, 2)</f>
        <v>0.39800000000000002</v>
      </c>
      <c r="I148" s="20" t="str" cm="1">
        <f t="array" ref="I148">Common_InputFunctions.Utility_DisplayArrayInTable(Scope3_SourceData.Scope3_Feed_Data(), Table_SourceData_Scope3_Feed[[#Headers],[Category]], -1, 2)</f>
        <v>at market</v>
      </c>
      <c r="J148" s="20" t="s">
        <v>990</v>
      </c>
      <c r="O148" s="20" t="str">
        <f>Table_SourceData_Scope3_Feed[[#This Row],[Product]]</f>
        <v>Pasture hay</v>
      </c>
      <c r="P148" s="20" t="str">
        <f>Table_SourceData_Scope3_Feed[[#This Row],[Region of origin]]</f>
        <v>TAS</v>
      </c>
    </row>
    <row r="149" spans="1:17" ht="20.100000000000001" customHeight="1" x14ac:dyDescent="0.2">
      <c r="D149" s="20" t="str" cm="1">
        <f t="array" ref="D149">Common_InputFunctions.Utility_DisplayArrayInTable(Scope3_SourceData.Scope3_Feed_Data(), Table_SourceData_Scope3_Feed[[#Headers],[Category]], -1, 2)</f>
        <v>Hay</v>
      </c>
      <c r="E149" s="20" t="str" cm="1">
        <f t="array" ref="E149">Common_InputFunctions.Utility_DisplayArrayInTable(Scope3_SourceData.Scope3_Feed_Data(), Table_SourceData_Scope3_Feed[[#Headers],[Category]], -1, 2)</f>
        <v>Pasture hay</v>
      </c>
      <c r="F149" s="20" t="str" cm="1">
        <f t="array" ref="F149">Common_InputFunctions.Utility_DisplayArrayInTable(Scope3_SourceData.Scope3_Feed_Data(), Table_SourceData_Scope3_Feed[[#Headers],[Category]], -1, 2)</f>
        <v>VIC</v>
      </c>
      <c r="G149" s="20" t="str" cm="1">
        <f t="array" ref="G149">Common_InputFunctions.Utility_DisplayArrayInTable(Scope3_SourceData.Scope3_Feed_Data(), Table_SourceData_Scope3_Feed[[#Headers],[Category]], -1, 2)</f>
        <v>kg</v>
      </c>
      <c r="H149" s="20" cm="1">
        <f t="array" ref="H149">Common_InputFunctions.Utility_DisplayArrayInTable(Scope3_SourceData.Scope3_Feed_Data(), Table_SourceData_Scope3_Feed[[#Headers],[Category]], -1, 2)</f>
        <v>0.34499999999999997</v>
      </c>
      <c r="I149" s="20" t="str" cm="1">
        <f t="array" ref="I149">Common_InputFunctions.Utility_DisplayArrayInTable(Scope3_SourceData.Scope3_Feed_Data(), Table_SourceData_Scope3_Feed[[#Headers],[Category]], -1, 2)</f>
        <v>at market</v>
      </c>
      <c r="J149" s="20" t="s">
        <v>990</v>
      </c>
      <c r="O149" s="20" t="str">
        <f>Table_SourceData_Scope3_Feed[[#This Row],[Product]]</f>
        <v>Pasture hay</v>
      </c>
      <c r="P149" s="20" t="str">
        <f>Table_SourceData_Scope3_Feed[[#This Row],[Region of origin]]</f>
        <v>VIC</v>
      </c>
    </row>
    <row r="150" spans="1:17" ht="20.100000000000001" customHeight="1" x14ac:dyDescent="0.2">
      <c r="D150" s="20" t="str" cm="1">
        <f t="array" ref="D150">Common_InputFunctions.Utility_DisplayArrayInTable(Scope3_SourceData.Scope3_Feed_Data(), Table_SourceData_Scope3_Feed[[#Headers],[Category]], -1, 2)</f>
        <v>Hay</v>
      </c>
      <c r="E150" s="20" t="str" cm="1">
        <f t="array" ref="E150">Common_InputFunctions.Utility_DisplayArrayInTable(Scope3_SourceData.Scope3_Feed_Data(), Table_SourceData_Scope3_Feed[[#Headers],[Category]], -1, 2)</f>
        <v>Pasture hay</v>
      </c>
      <c r="F150" s="20" t="str" cm="1">
        <f t="array" ref="F150">Common_InputFunctions.Utility_DisplayArrayInTable(Scope3_SourceData.Scope3_Feed_Data(), Table_SourceData_Scope3_Feed[[#Headers],[Category]], -1, 2)</f>
        <v>WA</v>
      </c>
      <c r="G150" s="20" t="str" cm="1">
        <f t="array" ref="G150">Common_InputFunctions.Utility_DisplayArrayInTable(Scope3_SourceData.Scope3_Feed_Data(), Table_SourceData_Scope3_Feed[[#Headers],[Category]], -1, 2)</f>
        <v>kg</v>
      </c>
      <c r="H150" s="20" cm="1">
        <f t="array" ref="H150">Common_InputFunctions.Utility_DisplayArrayInTable(Scope3_SourceData.Scope3_Feed_Data(), Table_SourceData_Scope3_Feed[[#Headers],[Category]], -1, 2)</f>
        <v>0.36799999999999999</v>
      </c>
      <c r="I150" s="20" t="str" cm="1">
        <f t="array" ref="I150">Common_InputFunctions.Utility_DisplayArrayInTable(Scope3_SourceData.Scope3_Feed_Data(), Table_SourceData_Scope3_Feed[[#Headers],[Category]], -1, 2)</f>
        <v>at market</v>
      </c>
      <c r="J150" s="20" t="s">
        <v>990</v>
      </c>
      <c r="L150" s="221" t="s">
        <v>130</v>
      </c>
      <c r="M150" s="221" t="s">
        <v>988</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100000000000001" customHeight="1" x14ac:dyDescent="0.2">
      <c r="D151" s="20" t="str" cm="1">
        <f t="array" ref="D151">Common_InputFunctions.Utility_DisplayArrayInTable(Scope3_SourceData.Scope3_Feed_Data(), Table_SourceData_Scope3_Feed[[#Headers],[Category]], -1, 2)</f>
        <v>Meal</v>
      </c>
      <c r="E151" s="20" t="str" cm="1">
        <f t="array" ref="E151">Common_InputFunctions.Utility_DisplayArrayInTable(Scope3_SourceData.Scope3_Feed_Data(), Table_SourceData_Scope3_Feed[[#Headers],[Category]], -1, 2)</f>
        <v>Canola meal</v>
      </c>
      <c r="F151" s="20" t="str" cm="1">
        <f t="array" ref="F151">Common_InputFunctions.Utility_DisplayArrayInTable(Scope3_SourceData.Scope3_Feed_Data(), Table_SourceData_Scope3_Feed[[#Headers],[Category]], -1, 2)</f>
        <v>Australia</v>
      </c>
      <c r="G151" s="20" t="str" cm="1">
        <f t="array" ref="G151">Common_InputFunctions.Utility_DisplayArrayInTable(Scope3_SourceData.Scope3_Feed_Data(), Table_SourceData_Scope3_Feed[[#Headers],[Category]], -1, 2)</f>
        <v>kg</v>
      </c>
      <c r="H151" s="20" cm="1">
        <f t="array" ref="H151">Common_InputFunctions.Utility_DisplayArrayInTable(Scope3_SourceData.Scope3_Feed_Data(), Table_SourceData_Scope3_Feed[[#Headers],[Category]], -1, 2)</f>
        <v>0.24399999999999999</v>
      </c>
      <c r="I151" s="20" t="str" cm="1">
        <f t="array" ref="I151">Common_InputFunctions.Utility_DisplayArrayInTable(Scope3_SourceData.Scope3_Feed_Data(), Table_SourceData_Scope3_Feed[[#Headers],[Category]], -1, 2)</f>
        <v>at market</v>
      </c>
      <c r="J151" s="20" t="s">
        <v>990</v>
      </c>
      <c r="L151" s="1" t="str">
        <f>Table_SourceData_Scope3_Feed[[#This Row],[Product]]</f>
        <v>Canola meal</v>
      </c>
      <c r="M151" s="1" t="str">
        <f>Table_SourceData_Scope3_Feed[[#This Row],[Region of origin]]</f>
        <v>Australia</v>
      </c>
      <c r="O151" s="20" t="s">
        <v>130</v>
      </c>
      <c r="P151" s="20" t="s">
        <v>988</v>
      </c>
      <c r="Q151" s="1" t="str">
        <f>"Table_ProductRegions_" &amp; SUBSTITUTE(SUBSTITUTE(SUBSTITUTE(SUBSTITUTE(O152, " ", ""), ",", ""), "(", ""), ")", "")</f>
        <v>Table_ProductRegions_Meatmeal</v>
      </c>
    </row>
    <row r="152" spans="1:17" ht="20.100000000000001" customHeight="1" x14ac:dyDescent="0.2">
      <c r="D152" s="20" t="str" cm="1">
        <f t="array" ref="D152">Common_InputFunctions.Utility_DisplayArrayInTable(Scope3_SourceData.Scope3_Feed_Data(), Table_SourceData_Scope3_Feed[[#Headers],[Category]], -1, 2)</f>
        <v>Meal</v>
      </c>
      <c r="E152" s="20" t="str" cm="1">
        <f t="array" ref="E152">Common_InputFunctions.Utility_DisplayArrayInTable(Scope3_SourceData.Scope3_Feed_Data(), Table_SourceData_Scope3_Feed[[#Headers],[Category]], -1, 2)</f>
        <v>Meat meal</v>
      </c>
      <c r="F152" s="20" t="str" cm="1">
        <f t="array" ref="F152">Common_InputFunctions.Utility_DisplayArrayInTable(Scope3_SourceData.Scope3_Feed_Data(), Table_SourceData_Scope3_Feed[[#Headers],[Category]], -1, 2)</f>
        <v>Australia</v>
      </c>
      <c r="G152" s="20" t="str" cm="1">
        <f t="array" ref="G152">Common_InputFunctions.Utility_DisplayArrayInTable(Scope3_SourceData.Scope3_Feed_Data(), Table_SourceData_Scope3_Feed[[#Headers],[Category]], -1, 2)</f>
        <v>kg</v>
      </c>
      <c r="H152" s="20" cm="1">
        <f t="array" ref="H152">Common_InputFunctions.Utility_DisplayArrayInTable(Scope3_SourceData.Scope3_Feed_Data(), Table_SourceData_Scope3_Feed[[#Headers],[Category]], -1, 2)</f>
        <v>0.40799999999999997</v>
      </c>
      <c r="I152" s="20" t="str" cm="1">
        <f t="array" ref="I152">Common_InputFunctions.Utility_DisplayArrayInTable(Scope3_SourceData.Scope3_Feed_Data(), Table_SourceData_Scope3_Feed[[#Headers],[Category]], -1, 2)</f>
        <v>at market</v>
      </c>
      <c r="J152" s="20" t="s">
        <v>990</v>
      </c>
      <c r="L152" s="20" t="s">
        <v>130</v>
      </c>
      <c r="M152" s="20" t="s">
        <v>988</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100000000000001" customHeight="1" x14ac:dyDescent="0.2">
      <c r="D153" s="20" t="str" cm="1">
        <f t="array" ref="D153">Common_InputFunctions.Utility_DisplayArrayInTable(Scope3_SourceData.Scope3_Feed_Data(), Table_SourceData_Scope3_Feed[[#Headers],[Category]], -1, 2)</f>
        <v>Meal</v>
      </c>
      <c r="E153" s="20" t="str" cm="1">
        <f t="array" ref="E153">Common_InputFunctions.Utility_DisplayArrayInTable(Scope3_SourceData.Scope3_Feed_Data(), Table_SourceData_Scope3_Feed[[#Headers],[Category]], -1, 2)</f>
        <v>Soybean meal</v>
      </c>
      <c r="F153" s="20" t="str" cm="1">
        <f t="array" ref="F153">Common_InputFunctions.Utility_DisplayArrayInTable(Scope3_SourceData.Scope3_Feed_Data(), Table_SourceData_Scope3_Feed[[#Headers],[Category]], -1, 2)</f>
        <v>Brazil</v>
      </c>
      <c r="G153" s="20" t="str" cm="1">
        <f t="array" ref="G153">Common_InputFunctions.Utility_DisplayArrayInTable(Scope3_SourceData.Scope3_Feed_Data(), Table_SourceData_Scope3_Feed[[#Headers],[Category]], -1, 2)</f>
        <v>kg</v>
      </c>
      <c r="H153" s="20" cm="1">
        <f t="array" ref="H153">Common_InputFunctions.Utility_DisplayArrayInTable(Scope3_SourceData.Scope3_Feed_Data(), Table_SourceData_Scope3_Feed[[#Headers],[Category]], -1, 2)</f>
        <v>0.42599999999999999</v>
      </c>
      <c r="I153" s="20" t="str" cm="1">
        <f t="array" ref="I153">Common_InputFunctions.Utility_DisplayArrayInTable(Scope3_SourceData.Scope3_Feed_Data(), Table_SourceData_Scope3_Feed[[#Headers],[Category]], -1, 2)</f>
        <v>at market</v>
      </c>
      <c r="J153" s="20" t="s">
        <v>990</v>
      </c>
      <c r="L153" s="20" t="str">
        <f>Table_SourceData_Scope3_Feed[[#This Row],[Product]]</f>
        <v>Soybean meal</v>
      </c>
      <c r="M153" s="20" t="str">
        <f>Table_SourceData_Scope3_Feed[[#This Row],[Region of origin]]</f>
        <v>Brazil</v>
      </c>
      <c r="O153" s="20" t="s">
        <v>130</v>
      </c>
      <c r="P153" s="20" t="s">
        <v>988</v>
      </c>
      <c r="Q153" s="1" t="str">
        <f>"Table_ProductRegions_" &amp; SUBSTITUTE(SUBSTITUTE(SUBSTITUTE(SUBSTITUTE(O154, " ", ""), ",", ""), "(", ""), ")", "")</f>
        <v>Table_ProductRegions_Wheatbran</v>
      </c>
    </row>
    <row r="154" spans="1:17" ht="20.100000000000001" customHeight="1" x14ac:dyDescent="0.2">
      <c r="D154" s="20" t="str" cm="1">
        <f t="array" ref="D154">Common_InputFunctions.Utility_DisplayArrayInTable(Scope3_SourceData.Scope3_Feed_Data(), Table_SourceData_Scope3_Feed[[#Headers],[Category]], -1, 2)</f>
        <v>Meal</v>
      </c>
      <c r="E154" s="20" t="str" cm="1">
        <f t="array" ref="E154">Common_InputFunctions.Utility_DisplayArrayInTable(Scope3_SourceData.Scope3_Feed_Data(), Table_SourceData_Scope3_Feed[[#Headers],[Category]], -1, 2)</f>
        <v>Wheat bran</v>
      </c>
      <c r="F154" s="20" t="str" cm="1">
        <f t="array" ref="F154">Common_InputFunctions.Utility_DisplayArrayInTable(Scope3_SourceData.Scope3_Feed_Data(), Table_SourceData_Scope3_Feed[[#Headers],[Category]], -1, 2)</f>
        <v>Australia</v>
      </c>
      <c r="G154" s="20" t="str" cm="1">
        <f t="array" ref="G154">Common_InputFunctions.Utility_DisplayArrayInTable(Scope3_SourceData.Scope3_Feed_Data(), Table_SourceData_Scope3_Feed[[#Headers],[Category]], -1, 2)</f>
        <v>kg</v>
      </c>
      <c r="H154" s="20" cm="1">
        <f t="array" ref="H154">Common_InputFunctions.Utility_DisplayArrayInTable(Scope3_SourceData.Scope3_Feed_Data(), Table_SourceData_Scope3_Feed[[#Headers],[Category]], -1, 2)</f>
        <v>0.19600000000000001</v>
      </c>
      <c r="I154" s="20" t="str" cm="1">
        <f t="array" ref="I154">Common_InputFunctions.Utility_DisplayArrayInTable(Scope3_SourceData.Scope3_Feed_Data(), Table_SourceData_Scope3_Feed[[#Headers],[Category]], -1, 2)</f>
        <v>at market</v>
      </c>
      <c r="J154" s="20" t="s">
        <v>990</v>
      </c>
      <c r="L154" s="20" t="s">
        <v>130</v>
      </c>
      <c r="M154" s="20" t="s">
        <v>988</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100000000000001" customHeight="1" x14ac:dyDescent="0.2">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20" t="s">
        <v>990</v>
      </c>
      <c r="L155" s="20" t="str">
        <f>Table_SourceData_Scope3_Feed[[#This Row],[Product]]</f>
        <v>Bentonite</v>
      </c>
      <c r="M155" s="20" t="str">
        <f>Table_SourceData_Scope3_Feed[[#This Row],[Region of origin]]</f>
        <v>Australia</v>
      </c>
      <c r="O155" s="20" t="s">
        <v>130</v>
      </c>
      <c r="P155" s="20" t="s">
        <v>988</v>
      </c>
      <c r="Q155" s="1" t="str">
        <f>"Table_ProductRegions_" &amp; SUBSTITUTE(SUBSTITUTE(SUBSTITUTE(SUBSTITUTE(O156, " ", ""), ",", ""), "(", ""), ")", "")</f>
        <v>Table_ProductRegions_Canolaoil</v>
      </c>
    </row>
    <row r="156" spans="1:17" ht="20.100000000000001" customHeight="1" x14ac:dyDescent="0.2">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20" t="s">
        <v>990</v>
      </c>
      <c r="L156" s="20" t="s">
        <v>130</v>
      </c>
      <c r="M156" s="20" t="s">
        <v>988</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100000000000001" customHeight="1" x14ac:dyDescent="0.2">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20" t="s">
        <v>990</v>
      </c>
      <c r="L157" s="20" t="str">
        <f>Table_SourceData_Scope3_Feed[[#This Row],[Product]]</f>
        <v>Cotton seed</v>
      </c>
      <c r="M157" s="20" t="str">
        <f>Table_SourceData_Scope3_Feed[[#This Row],[Region of origin]]</f>
        <v>Australia</v>
      </c>
      <c r="O157" s="20" t="s">
        <v>130</v>
      </c>
      <c r="P157" s="20" t="s">
        <v>988</v>
      </c>
      <c r="Q157" s="1" t="str">
        <f>"Table_ProductRegions_" &amp; SUBSTITUTE(SUBSTITUTE(SUBSTITUTE(SUBSTITUTE(O158, " ", ""), ",", ""), "(", ""), ")", "")</f>
        <v>Table_ProductRegions_Molasses</v>
      </c>
    </row>
    <row r="158" spans="1:17" ht="20.100000000000001" customHeight="1" x14ac:dyDescent="0.2">
      <c r="D158" s="20" t="str" cm="1">
        <f t="array" ref="D158">Common_InputFunctions.Utility_DisplayArrayInTable(Scope3_SourceData.Scope3_Feed_Data(), Table_SourceData_Scope3_Feed[[#Headers],[Category]], -8, 2)</f>
        <v>Other</v>
      </c>
      <c r="E158" s="20" t="str" cm="1">
        <f t="array" ref="E158">Common_InputFunctions.Utility_DisplayArrayInTable(Scope3_SourceData.Scope3_Feed_Data(), Table_SourceData_Scope3_Feed[[#Headers],[Category]], -8, 2)</f>
        <v>Molasses</v>
      </c>
      <c r="F158" s="20" t="str" cm="1">
        <f t="array" ref="F158">Common_InputFunctions.Utility_DisplayArrayInTable(Scope3_SourceData.Scope3_Feed_Data(), Table_SourceData_Scope3_Feed[[#Headers],[Category]], -8, 2)</f>
        <v>QLD</v>
      </c>
      <c r="G158" s="20" t="str" cm="1">
        <f t="array" ref="G158">Common_InputFunctions.Utility_DisplayArrayInTable(Scope3_SourceData.Scope3_Feed_Data(), Table_SourceData_Scope3_Feed[[#Headers],[Category]], -8, 2)</f>
        <v>kg</v>
      </c>
      <c r="H158" s="20" cm="1">
        <f t="array" ref="H158">Common_InputFunctions.Utility_DisplayArrayInTable(Scope3_SourceData.Scope3_Feed_Data(), Table_SourceData_Scope3_Feed[[#Headers],[Category]], -8, 2)</f>
        <v>0.184</v>
      </c>
      <c r="I158" s="20" t="str" cm="1">
        <f t="array" ref="I158">Common_InputFunctions.Utility_DisplayArrayInTable(Scope3_SourceData.Scope3_Feed_Data(), Table_SourceData_Scope3_Feed[[#Headers],[Category]], -8, 2)</f>
        <v>at market</v>
      </c>
      <c r="J158" s="20"/>
      <c r="O158" s="20" t="str">
        <f>Table_SourceData_Scope3_Feed[[#This Row],[Product]]</f>
        <v>Molasses</v>
      </c>
      <c r="P158" s="20" t="str">
        <f>Table_SourceData_Scope3_Feed[[#This Row],[Region of origin]]</f>
        <v>QLD</v>
      </c>
    </row>
    <row r="161" spans="4:14" ht="20.100000000000001" customHeight="1" x14ac:dyDescent="0.2">
      <c r="D161" s="20" t="s">
        <v>983</v>
      </c>
      <c r="E161" s="20" t="s">
        <v>130</v>
      </c>
      <c r="F161" s="20" t="s">
        <v>984</v>
      </c>
      <c r="G161" s="20" t="s">
        <v>985</v>
      </c>
      <c r="H161" s="20" t="s">
        <v>986</v>
      </c>
      <c r="I161" s="20" t="s">
        <v>987</v>
      </c>
      <c r="J161" s="20" t="s">
        <v>498</v>
      </c>
    </row>
    <row r="162" spans="4:14" ht="20.100000000000001" customHeight="1" x14ac:dyDescent="0.2">
      <c r="D162" s="20" t="str" cm="1">
        <f t="array" ref="D162">Common_InputFunctions.Utility_DisplayArrayInTable(Scope3_SourceData.Scope3_Feed_Data(), Table_SourceData_Scope3_MixedRations[[#Headers],[Category]], -66, 2)</f>
        <v>Mixed rations</v>
      </c>
      <c r="E162" s="20" t="str" cm="1">
        <f t="array" ref="E162">Common_InputFunctions.Utility_DisplayArrayInTable(Scope3_SourceData.Scope3_Feed_Data(), Table_SourceData_Scope3_MixedRations[[#Headers],[Category]], -66, 2)</f>
        <v>Feed for chickens</v>
      </c>
      <c r="F162" s="20" t="str" cm="1">
        <f t="array" ref="F162">Common_InputFunctions.Utility_DisplayArrayInTable(Scope3_SourceData.Scope3_Feed_Data(), Table_SourceData_Scope3_MixedRations[[#Headers],[Category]], -66, 2)</f>
        <v>Australia</v>
      </c>
      <c r="G162" s="20" t="str" cm="1">
        <f t="array" ref="G162">Common_InputFunctions.Utility_DisplayArrayInTable(Scope3_SourceData.Scope3_Feed_Data(), Table_SourceData_Scope3_MixedRations[[#Headers],[Category]], -66, 2)</f>
        <v>kg</v>
      </c>
      <c r="H162" s="20" cm="1">
        <f t="array" ref="H162">Common_InputFunctions.Utility_DisplayArrayInTable(Scope3_SourceData.Scope3_Feed_Data(), Table_SourceData_Scope3_MixedRations[[#Headers],[Category]], -66, 2)</f>
        <v>0.59399999999999997</v>
      </c>
      <c r="I162" s="20" t="str" cm="1">
        <f t="array" ref="I162">Common_InputFunctions.Utility_DisplayArrayInTable(Scope3_SourceData.Scope3_Feed_Data(), Table_SourceData_Scope3_MixedRations[[#Headers],[Category]], -66, 2)</f>
        <v>at market</v>
      </c>
      <c r="J162" s="20" t="s">
        <v>990</v>
      </c>
    </row>
    <row r="163" spans="4:14" ht="20.100000000000001" customHeight="1" x14ac:dyDescent="0.2">
      <c r="D163" s="20" t="str" cm="1">
        <f t="array" ref="D163">Common_InputFunctions.Utility_DisplayArrayInTable(Scope3_SourceData.Scope3_Feed_Data(), Table_SourceData_Scope3_MixedRations[[#Headers],[Category]], -66, 2)</f>
        <v>Mixed rations</v>
      </c>
      <c r="E163" s="20" t="str" cm="1">
        <f t="array" ref="E163">Common_InputFunctions.Utility_DisplayArrayInTable(Scope3_SourceData.Scope3_Feed_Data(), Table_SourceData_Scope3_MixedRations[[#Headers],[Category]], -66, 2)</f>
        <v>Feed for dairy calves</v>
      </c>
      <c r="F163" s="20" t="str" cm="1">
        <f t="array" ref="F163">Common_InputFunctions.Utility_DisplayArrayInTable(Scope3_SourceData.Scope3_Feed_Data(), Table_SourceData_Scope3_MixedRations[[#Headers],[Category]], -66, 2)</f>
        <v>Australia</v>
      </c>
      <c r="G163" s="20" t="str" cm="1">
        <f t="array" ref="G163">Common_InputFunctions.Utility_DisplayArrayInTable(Scope3_SourceData.Scope3_Feed_Data(), Table_SourceData_Scope3_MixedRations[[#Headers],[Category]], -66, 2)</f>
        <v>kg</v>
      </c>
      <c r="H163" s="20" cm="1">
        <f t="array" ref="H163">Common_InputFunctions.Utility_DisplayArrayInTable(Scope3_SourceData.Scope3_Feed_Data(), Table_SourceData_Scope3_MixedRations[[#Headers],[Category]], -66, 2)</f>
        <v>0.41899999999999998</v>
      </c>
      <c r="I163" s="20" t="str" cm="1">
        <f t="array" ref="I163">Common_InputFunctions.Utility_DisplayArrayInTable(Scope3_SourceData.Scope3_Feed_Data(), Table_SourceData_Scope3_MixedRations[[#Headers],[Category]], -66, 2)</f>
        <v>at market</v>
      </c>
      <c r="J163" s="20" t="s">
        <v>990</v>
      </c>
    </row>
    <row r="164" spans="4:14" ht="20.100000000000001" customHeight="1" x14ac:dyDescent="0.2">
      <c r="D164" s="20" t="str" cm="1">
        <f t="array" ref="D164">Common_InputFunctions.Utility_DisplayArrayInTable(Scope3_SourceData.Scope3_Feed_Data(), Table_SourceData_Scope3_MixedRations[[#Headers],[Category]], -66, 2)</f>
        <v>Mixed rations</v>
      </c>
      <c r="E164" s="20" t="str" cm="1">
        <f t="array" ref="E164">Common_InputFunctions.Utility_DisplayArrayInTable(Scope3_SourceData.Scope3_Feed_Data(), Table_SourceData_Scope3_MixedRations[[#Headers],[Category]], -66, 2)</f>
        <v>Feed for dairy cows</v>
      </c>
      <c r="F164" s="20" t="str" cm="1">
        <f t="array" ref="F164">Common_InputFunctions.Utility_DisplayArrayInTable(Scope3_SourceData.Scope3_Feed_Data(), Table_SourceData_Scope3_MixedRations[[#Headers],[Category]], -66, 2)</f>
        <v>Australia</v>
      </c>
      <c r="G164" s="20" t="str" cm="1">
        <f t="array" ref="G164">Common_InputFunctions.Utility_DisplayArrayInTable(Scope3_SourceData.Scope3_Feed_Data(), Table_SourceData_Scope3_MixedRations[[#Headers],[Category]], -66, 2)</f>
        <v>kg</v>
      </c>
      <c r="H164" s="20" cm="1">
        <f t="array" ref="H164">Common_InputFunctions.Utility_DisplayArrayInTable(Scope3_SourceData.Scope3_Feed_Data(), Table_SourceData_Scope3_MixedRations[[#Headers],[Category]], -66, 2)</f>
        <v>0.33300000000000002</v>
      </c>
      <c r="I164" s="20" t="str" cm="1">
        <f t="array" ref="I164">Common_InputFunctions.Utility_DisplayArrayInTable(Scope3_SourceData.Scope3_Feed_Data(), Table_SourceData_Scope3_MixedRations[[#Headers],[Category]], -66, 2)</f>
        <v>at market</v>
      </c>
      <c r="J164" s="20" t="s">
        <v>990</v>
      </c>
    </row>
    <row r="165" spans="4:14" ht="20.100000000000001" customHeight="1" x14ac:dyDescent="0.2">
      <c r="D165" s="20" t="str" cm="1">
        <f t="array" ref="D165">Common_InputFunctions.Utility_DisplayArrayInTable(Scope3_SourceData.Scope3_Feed_Data(), Table_SourceData_Scope3_MixedRations[[#Headers],[Category]], -66, 2)</f>
        <v>Mixed rations</v>
      </c>
      <c r="E165" s="20" t="str" cm="1">
        <f t="array" ref="E165">Common_InputFunctions.Utility_DisplayArrayInTable(Scope3_SourceData.Scope3_Feed_Data(), Table_SourceData_Scope3_MixedRations[[#Headers],[Category]], -66, 2)</f>
        <v>Feed for pigs</v>
      </c>
      <c r="F165" s="20" t="str" cm="1">
        <f t="array" ref="F165">Common_InputFunctions.Utility_DisplayArrayInTable(Scope3_SourceData.Scope3_Feed_Data(), Table_SourceData_Scope3_MixedRations[[#Headers],[Category]], -66, 2)</f>
        <v>Australia</v>
      </c>
      <c r="G165" s="20" t="str" cm="1">
        <f t="array" ref="G165">Common_InputFunctions.Utility_DisplayArrayInTable(Scope3_SourceData.Scope3_Feed_Data(), Table_SourceData_Scope3_MixedRations[[#Headers],[Category]], -66, 2)</f>
        <v>kg</v>
      </c>
      <c r="H165" s="20" cm="1">
        <f t="array" ref="H165">Common_InputFunctions.Utility_DisplayArrayInTable(Scope3_SourceData.Scope3_Feed_Data(), Table_SourceData_Scope3_MixedRations[[#Headers],[Category]], -66, 2)</f>
        <v>0.40300000000000002</v>
      </c>
      <c r="I165" s="20" t="str" cm="1">
        <f t="array" ref="I165">Common_InputFunctions.Utility_DisplayArrayInTable(Scope3_SourceData.Scope3_Feed_Data(), Table_SourceData_Scope3_MixedRations[[#Headers],[Category]], -66, 2)</f>
        <v>at market</v>
      </c>
      <c r="J165" s="20" t="s">
        <v>990</v>
      </c>
    </row>
    <row r="167" spans="4:14" ht="20.100000000000001" customHeight="1" x14ac:dyDescent="0.2">
      <c r="D167" s="20" t="s">
        <v>983</v>
      </c>
      <c r="E167" s="20" t="s">
        <v>130</v>
      </c>
      <c r="F167" s="20" t="s">
        <v>984</v>
      </c>
      <c r="G167" s="20" t="s">
        <v>985</v>
      </c>
      <c r="H167" s="20" t="s">
        <v>986</v>
      </c>
      <c r="I167" s="20" t="s">
        <v>987</v>
      </c>
      <c r="J167" s="20" t="s">
        <v>498</v>
      </c>
    </row>
    <row r="168" spans="4:14" ht="20.100000000000001" customHeight="1" x14ac:dyDescent="0.2">
      <c r="D168" s="20" t="str" cm="1">
        <f t="array" ref="D168">Common_InputFunctions.Utility_DisplayArrayInTable(Scope3_SourceData.Scope3_Feed_Data(), Table_SourceData_Scope3_LickBlocks[[#Headers],[Category]], -73, 2)</f>
        <v>Other</v>
      </c>
      <c r="E168" s="20" t="str" cm="1">
        <f t="array" ref="E168">Common_InputFunctions.Utility_DisplayArrayInTable(Scope3_SourceData.Scope3_Feed_Data(), Table_SourceData_Scope3_LickBlocks[[#Headers],[Category]], -73, 2)</f>
        <v>Lick block, dry season mix</v>
      </c>
      <c r="F168" s="20" t="str" cm="1">
        <f t="array" ref="F168">Common_InputFunctions.Utility_DisplayArrayInTable(Scope3_SourceData.Scope3_Feed_Data(), Table_SourceData_Scope3_LickBlocks[[#Headers],[Category]], -73, 2)</f>
        <v>Australia</v>
      </c>
      <c r="G168" s="20" t="str" cm="1">
        <f t="array" ref="G168">Common_InputFunctions.Utility_DisplayArrayInTable(Scope3_SourceData.Scope3_Feed_Data(), Table_SourceData_Scope3_LickBlocks[[#Headers],[Category]], -73, 2)</f>
        <v>kg</v>
      </c>
      <c r="H168" s="20" cm="1">
        <f t="array" ref="H168">Common_InputFunctions.Utility_DisplayArrayInTable(Scope3_SourceData.Scope3_Feed_Data(), Table_SourceData_Scope3_LickBlocks[[#Headers],[Category]], -73, 2)</f>
        <v>0.88100000000000001</v>
      </c>
      <c r="I168" s="20" t="str" cm="1">
        <f t="array" ref="I168">Common_InputFunctions.Utility_DisplayArrayInTable(Scope3_SourceData.Scope3_Feed_Data(), Table_SourceData_Scope3_LickBlocks[[#Headers],[Category]], -73, 2)</f>
        <v>at market</v>
      </c>
      <c r="J168" s="20" t="s">
        <v>990</v>
      </c>
    </row>
    <row r="169" spans="4:14" ht="20.100000000000001" customHeight="1" x14ac:dyDescent="0.2">
      <c r="D169" s="20" t="str" cm="1">
        <f t="array" ref="D169">Common_InputFunctions.Utility_DisplayArrayInTable(Scope3_SourceData.Scope3_Feed_Data(), Table_SourceData_Scope3_LickBlocks[[#Headers],[Category]], -73, 2)</f>
        <v>Other</v>
      </c>
      <c r="E169" s="20" t="str" cm="1">
        <f t="array" ref="E169">Common_InputFunctions.Utility_DisplayArrayInTable(Scope3_SourceData.Scope3_Feed_Data(), Table_SourceData_Scope3_LickBlocks[[#Headers],[Category]], -73, 2)</f>
        <v>Lick block, mineral</v>
      </c>
      <c r="F169" s="20" t="str" cm="1">
        <f t="array" ref="F169">Common_InputFunctions.Utility_DisplayArrayInTable(Scope3_SourceData.Scope3_Feed_Data(), Table_SourceData_Scope3_LickBlocks[[#Headers],[Category]], -73, 2)</f>
        <v>Australia</v>
      </c>
      <c r="G169" s="20" t="str" cm="1">
        <f t="array" ref="G169">Common_InputFunctions.Utility_DisplayArrayInTable(Scope3_SourceData.Scope3_Feed_Data(), Table_SourceData_Scope3_LickBlocks[[#Headers],[Category]], -73, 2)</f>
        <v>kg</v>
      </c>
      <c r="H169" s="20" cm="1">
        <f t="array" ref="H169">Common_InputFunctions.Utility_DisplayArrayInTable(Scope3_SourceData.Scope3_Feed_Data(), Table_SourceData_Scope3_LickBlocks[[#Headers],[Category]], -73, 2)</f>
        <v>0.67700000000000005</v>
      </c>
      <c r="I169" s="20" t="str" cm="1">
        <f t="array" ref="I169">Common_InputFunctions.Utility_DisplayArrayInTable(Scope3_SourceData.Scope3_Feed_Data(), Table_SourceData_Scope3_LickBlocks[[#Headers],[Category]], -73, 2)</f>
        <v>at market</v>
      </c>
      <c r="J169" s="20" t="s">
        <v>990</v>
      </c>
    </row>
    <row r="170" spans="4:14" ht="20.100000000000001" customHeight="1" x14ac:dyDescent="0.2">
      <c r="D170" s="20" t="str" cm="1">
        <f t="array" ref="D170">Common_InputFunctions.Utility_DisplayArrayInTable(Scope3_SourceData.Scope3_Feed_Data(), Table_SourceData_Scope3_LickBlocks[[#Headers],[Category]], -73, 2)</f>
        <v>Other</v>
      </c>
      <c r="E170" s="20" t="str" cm="1">
        <f t="array" ref="E170">Common_InputFunctions.Utility_DisplayArrayInTable(Scope3_SourceData.Scope3_Feed_Data(), Table_SourceData_Scope3_LickBlocks[[#Headers],[Category]], -73, 2)</f>
        <v>Lick block, weaner</v>
      </c>
      <c r="F170" s="20" t="str" cm="1">
        <f t="array" ref="F170">Common_InputFunctions.Utility_DisplayArrayInTable(Scope3_SourceData.Scope3_Feed_Data(), Table_SourceData_Scope3_LickBlocks[[#Headers],[Category]], -73, 2)</f>
        <v>Australia</v>
      </c>
      <c r="G170" s="20" t="str" cm="1">
        <f t="array" ref="G170">Common_InputFunctions.Utility_DisplayArrayInTable(Scope3_SourceData.Scope3_Feed_Data(), Table_SourceData_Scope3_LickBlocks[[#Headers],[Category]], -73, 2)</f>
        <v>kg</v>
      </c>
      <c r="H170" s="20" cm="1">
        <f t="array" ref="H170">Common_InputFunctions.Utility_DisplayArrayInTable(Scope3_SourceData.Scope3_Feed_Data(), Table_SourceData_Scope3_LickBlocks[[#Headers],[Category]], -73, 2)</f>
        <v>0.23100000000000001</v>
      </c>
      <c r="I170" s="20" t="str" cm="1">
        <f t="array" ref="I170">Common_InputFunctions.Utility_DisplayArrayInTable(Scope3_SourceData.Scope3_Feed_Data(), Table_SourceData_Scope3_LickBlocks[[#Headers],[Category]], -73, 2)</f>
        <v>at market</v>
      </c>
      <c r="J170" s="20" t="s">
        <v>990</v>
      </c>
    </row>
    <row r="172" spans="4:14" ht="20.100000000000001" customHeight="1" x14ac:dyDescent="0.2">
      <c r="D172" s="2" t="s">
        <v>1012</v>
      </c>
    </row>
    <row r="173" spans="4:14" ht="20.100000000000001" customHeight="1" x14ac:dyDescent="0.2">
      <c r="D173" s="20" t="s">
        <v>983</v>
      </c>
      <c r="E173" s="20" t="s">
        <v>130</v>
      </c>
      <c r="F173" s="20" t="s">
        <v>984</v>
      </c>
      <c r="G173" s="20" t="s">
        <v>468</v>
      </c>
      <c r="H173" s="20" t="s">
        <v>359</v>
      </c>
      <c r="I173" s="20" t="s">
        <v>360</v>
      </c>
      <c r="J173" s="20" t="s">
        <v>1013</v>
      </c>
      <c r="K173" s="20" t="s">
        <v>985</v>
      </c>
      <c r="L173" s="20" t="s">
        <v>986</v>
      </c>
      <c r="M173" s="20" t="s">
        <v>987</v>
      </c>
      <c r="N173" s="20" t="s">
        <v>498</v>
      </c>
    </row>
    <row r="174" spans="4:14" ht="20.100000000000001" customHeight="1" x14ac:dyDescent="0.2">
      <c r="D174" s="20" t="str" cm="1">
        <f t="array" ref="D174">Common_InputFunctions.Utility_DisplayArrayInTable(Scope3_SourceData.Scope3_InorganicFertilisers_Data(), Table_SourceData_Scope3_InorganicFertiliser[[#Headers],[Category]], 0, 2)</f>
        <v>Inorganic fertilisers</v>
      </c>
      <c r="E174" s="20" t="str" cm="1">
        <f t="array" ref="E174">Common_InputFunctions.Utility_DisplayArrayInTable(Scope3_SourceData.Scope3_InorganicFertilisers_Data(), Table_SourceData_Scope3_InorganicFertiliser[[#Headers],[Category]], 0, 2)</f>
        <v>Ammonia, AU market mix</v>
      </c>
      <c r="F174" s="20" t="str" cm="1">
        <f t="array" ref="F174">Common_InputFunctions.Utility_DisplayArrayInTable(Scope3_SourceData.Scope3_InorganicFertilisers_Data(), Table_SourceData_Scope3_InorganicFertiliser[[#Headers],[Category]], 0, 2)</f>
        <v>Global</v>
      </c>
      <c r="G174" s="20" t="str">
        <f>'Constants - Fertiliser'!$D$37</f>
        <v>Ammonia</v>
      </c>
      <c r="H174" s="20"/>
      <c r="I174" s="20" t="str">
        <f>'Constants - Fertiliser'!$V$20</f>
        <v>Global</v>
      </c>
      <c r="J174" s="20"/>
      <c r="K174" s="20" t="str" cm="1">
        <f t="array" ref="K174">Common_InputFunctions.Utility_DisplayArrayInTable(Scope3_SourceData.Scope3_InorganicFertilisers_Data(), Table_SourceData_Scope3_InorganicFertiliser[[#Headers],[Category]], 0, -2)</f>
        <v>kg</v>
      </c>
      <c r="L174" s="20" cm="1">
        <f t="array" ref="L174">Common_InputFunctions.Utility_DisplayArrayInTable(Scope3_SourceData.Scope3_InorganicFertilisers_Data(), Table_SourceData_Scope3_InorganicFertiliser[[#Headers],[Category]], 0, -2)</f>
        <v>2.3199999999999998</v>
      </c>
      <c r="M174" s="20" t="str" cm="1">
        <f t="array" ref="M174">Common_InputFunctions.Utility_DisplayArrayInTable(Scope3_SourceData.Scope3_InorganicFertilisers_Data(), Table_SourceData_Scope3_InorganicFertiliser[[#Headers],[Category]], 0, -2)</f>
        <v>at market</v>
      </c>
      <c r="N174" s="20" t="s">
        <v>990</v>
      </c>
    </row>
    <row r="175" spans="4:14" ht="20.100000000000001" customHeight="1" x14ac:dyDescent="0.2">
      <c r="D175" s="20" t="str" cm="1">
        <f t="array" ref="D175">Common_InputFunctions.Utility_DisplayArrayInTable(Scope3_SourceData.Scope3_InorganicFertilisers_Data(), Table_SourceData_Scope3_InorganicFertiliser[[#Headers],[Category]], 0, 2)</f>
        <v>Inorganic fertilisers</v>
      </c>
      <c r="E175" s="20" t="str" cm="1">
        <f t="array" ref="E175">Common_InputFunctions.Utility_DisplayArrayInTable(Scope3_SourceData.Scope3_InorganicFertilisers_Data(), Table_SourceData_Scope3_InorganicFertiliser[[#Headers],[Category]], 0, 2)</f>
        <v>Ammonia, Canada</v>
      </c>
      <c r="F175" s="20" t="str" cm="1">
        <f t="array" ref="F175">Common_InputFunctions.Utility_DisplayArrayInTable(Scope3_SourceData.Scope3_InorganicFertilisers_Data(), Table_SourceData_Scope3_InorganicFertiliser[[#Headers],[Category]], 0, 2)</f>
        <v>Canada</v>
      </c>
      <c r="G175" s="20" t="str">
        <f>'Constants - Fertiliser'!$D$37</f>
        <v>Ammonia</v>
      </c>
      <c r="H175" s="20"/>
      <c r="I175" s="20" t="str">
        <f>'Constants - Fertiliser'!$V$21</f>
        <v>Canada</v>
      </c>
      <c r="J175" s="20"/>
      <c r="K175" s="20" t="str" cm="1">
        <f t="array" ref="K175">Common_InputFunctions.Utility_DisplayArrayInTable(Scope3_SourceData.Scope3_InorganicFertilisers_Data(), Table_SourceData_Scope3_InorganicFertiliser[[#Headers],[Category]], 0, -2)</f>
        <v>kg</v>
      </c>
      <c r="L175" s="20" cm="1">
        <f t="array" ref="L175">Common_InputFunctions.Utility_DisplayArrayInTable(Scope3_SourceData.Scope3_InorganicFertilisers_Data(), Table_SourceData_Scope3_InorganicFertiliser[[#Headers],[Category]], 0, -2)</f>
        <v>2.12</v>
      </c>
      <c r="M175" s="20" t="str" cm="1">
        <f t="array" ref="M175">Common_InputFunctions.Utility_DisplayArrayInTable(Scope3_SourceData.Scope3_InorganicFertilisers_Data(), Table_SourceData_Scope3_InorganicFertiliser[[#Headers],[Category]], 0, -2)</f>
        <v>at market</v>
      </c>
      <c r="N175" s="20" t="s">
        <v>990</v>
      </c>
    </row>
    <row r="176" spans="4:14" ht="20.100000000000001" customHeight="1" x14ac:dyDescent="0.2">
      <c r="D176" s="20" t="str" cm="1">
        <f t="array" ref="D176">Common_InputFunctions.Utility_DisplayArrayInTable(Scope3_SourceData.Scope3_InorganicFertilisers_Data(), Table_SourceData_Scope3_InorganicFertiliser[[#Headers],[Category]], 0, 2)</f>
        <v>Inorganic fertilisers</v>
      </c>
      <c r="E176" s="20" t="str" cm="1">
        <f t="array" ref="E176">Common_InputFunctions.Utility_DisplayArrayInTable(Scope3_SourceData.Scope3_InorganicFertilisers_Data(), Table_SourceData_Scope3_InorganicFertiliser[[#Headers],[Category]], 0, 2)</f>
        <v>Ammonia, China</v>
      </c>
      <c r="F176" s="20" t="str" cm="1">
        <f t="array" ref="F176">Common_InputFunctions.Utility_DisplayArrayInTable(Scope3_SourceData.Scope3_InorganicFertilisers_Data(), Table_SourceData_Scope3_InorganicFertiliser[[#Headers],[Category]], 0, 2)</f>
        <v>China</v>
      </c>
      <c r="G176" s="20" t="str">
        <f>'Constants - Fertiliser'!$D$37</f>
        <v>Ammonia</v>
      </c>
      <c r="H176" s="20"/>
      <c r="I176" s="20" t="str">
        <f>'Constants - Fertiliser'!$V$22</f>
        <v>China</v>
      </c>
      <c r="J176" s="20"/>
      <c r="K176" s="20" t="str" cm="1">
        <f t="array" ref="K176">Common_InputFunctions.Utility_DisplayArrayInTable(Scope3_SourceData.Scope3_InorganicFertilisers_Data(), Table_SourceData_Scope3_InorganicFertiliser[[#Headers],[Category]], 0, -2)</f>
        <v>kg</v>
      </c>
      <c r="L176" s="20" cm="1">
        <f t="array" ref="L176">Common_InputFunctions.Utility_DisplayArrayInTable(Scope3_SourceData.Scope3_InorganicFertilisers_Data(), Table_SourceData_Scope3_InorganicFertiliser[[#Headers],[Category]], 0, -2)</f>
        <v>4.17</v>
      </c>
      <c r="M176" s="20" t="str" cm="1">
        <f t="array" ref="M176">Common_InputFunctions.Utility_DisplayArrayInTable(Scope3_SourceData.Scope3_InorganicFertilisers_Data(), Table_SourceData_Scope3_InorganicFertiliser[[#Headers],[Category]], 0, -2)</f>
        <v>at market</v>
      </c>
      <c r="N176" s="20" t="s">
        <v>990</v>
      </c>
    </row>
    <row r="177" spans="1:14" ht="20.100000000000001" customHeight="1" x14ac:dyDescent="0.2">
      <c r="D177" s="20" t="str" cm="1">
        <f t="array" ref="D177">Common_InputFunctions.Utility_DisplayArrayInTable(Scope3_SourceData.Scope3_InorganicFertilisers_Data(), Table_SourceData_Scope3_InorganicFertiliser[[#Headers],[Category]], 0, 2)</f>
        <v>Inorganic fertilisers</v>
      </c>
      <c r="E177" s="20" t="str" cm="1">
        <f t="array" ref="E177">Common_InputFunctions.Utility_DisplayArrayInTable(Scope3_SourceData.Scope3_InorganicFertilisers_Data(), Table_SourceData_Scope3_InorganicFertiliser[[#Headers],[Category]], 0, 2)</f>
        <v>Ammonia, Yemen</v>
      </c>
      <c r="F177" s="20" t="str" cm="1">
        <f t="array" ref="F177">Common_InputFunctions.Utility_DisplayArrayInTable(Scope3_SourceData.Scope3_InorganicFertilisers_Data(), Table_SourceData_Scope3_InorganicFertiliser[[#Headers],[Category]], 0, 2)</f>
        <v>Yemen</v>
      </c>
      <c r="G177" s="20" t="str">
        <f>'Constants - Fertiliser'!$D$37</f>
        <v>Ammonia</v>
      </c>
      <c r="H177" s="20"/>
      <c r="I177" s="20" t="str">
        <f>'Constants - Fertiliser'!$V$23</f>
        <v>Yemen</v>
      </c>
      <c r="J177" s="20"/>
      <c r="K177" s="20" t="str" cm="1">
        <f t="array" ref="K177">Common_InputFunctions.Utility_DisplayArrayInTable(Scope3_SourceData.Scope3_InorganicFertilisers_Data(), Table_SourceData_Scope3_InorganicFertiliser[[#Headers],[Category]], 0, -2)</f>
        <v>kg</v>
      </c>
      <c r="L177" s="20" cm="1">
        <f t="array" ref="L177">Common_InputFunctions.Utility_DisplayArrayInTable(Scope3_SourceData.Scope3_InorganicFertilisers_Data(), Table_SourceData_Scope3_InorganicFertiliser[[#Headers],[Category]], 0, -2)</f>
        <v>2.2599999999999998</v>
      </c>
      <c r="M177" s="20" t="str" cm="1">
        <f t="array" ref="M177">Common_InputFunctions.Utility_DisplayArrayInTable(Scope3_SourceData.Scope3_InorganicFertilisers_Data(), Table_SourceData_Scope3_InorganicFertiliser[[#Headers],[Category]], 0, -2)</f>
        <v>at market</v>
      </c>
      <c r="N177" s="20" t="s">
        <v>990</v>
      </c>
    </row>
    <row r="178" spans="1:14" ht="20.100000000000001" customHeight="1" x14ac:dyDescent="0.2">
      <c r="A178" s="81" t="str">
        <f>HYPERLINK("#A1", "▲ Back to top")</f>
        <v>▲ Back to top</v>
      </c>
      <c r="D178" s="20" t="str" cm="1">
        <f t="array" ref="D178">Common_InputFunctions.Utility_DisplayArrayInTable(Scope3_SourceData.Scope3_InorganicFertilisers_Data(), Table_SourceData_Scope3_InorganicFertiliser[[#Headers],[Category]], 0, 2)</f>
        <v>Inorganic fertilisers</v>
      </c>
      <c r="E178" s="20" t="str" cm="1">
        <f t="array" ref="E178">Common_InputFunctions.Utility_DisplayArrayInTable(Scope3_SourceData.Scope3_InorganicFertilisers_Data(), Table_SourceData_Scope3_InorganicFertiliser[[#Headers],[Category]], 0, 2)</f>
        <v>Ammonium nitrate, AU market mix</v>
      </c>
      <c r="F178" s="20" t="str" cm="1">
        <f t="array" ref="F178">Common_InputFunctions.Utility_DisplayArrayInTable(Scope3_SourceData.Scope3_InorganicFertilisers_Data(), Table_SourceData_Scope3_InorganicFertiliser[[#Headers],[Category]], 0, 2)</f>
        <v>Global</v>
      </c>
      <c r="G178" s="20" t="str">
        <f>'Constants - Fertiliser'!$D$25</f>
        <v>Ammonium nitrate (AN)</v>
      </c>
      <c r="H178" s="20"/>
      <c r="I178" s="20"/>
      <c r="J178" s="20"/>
      <c r="K178" s="20" t="str" cm="1">
        <f t="array" ref="K178">Common_InputFunctions.Utility_DisplayArrayInTable(Scope3_SourceData.Scope3_InorganicFertilisers_Data(), Table_SourceData_Scope3_InorganicFertiliser[[#Headers],[Category]], 0, -2)</f>
        <v>kg</v>
      </c>
      <c r="L178" s="20" cm="1">
        <f t="array" ref="L178">Common_InputFunctions.Utility_DisplayArrayInTable(Scope3_SourceData.Scope3_InorganicFertilisers_Data(), Table_SourceData_Scope3_InorganicFertiliser[[#Headers],[Category]], 0, -2)</f>
        <v>2.21</v>
      </c>
      <c r="M178" s="20" t="str" cm="1">
        <f t="array" ref="M178">Common_InputFunctions.Utility_DisplayArrayInTable(Scope3_SourceData.Scope3_InorganicFertilisers_Data(), Table_SourceData_Scope3_InorganicFertiliser[[#Headers],[Category]], 0, -2)</f>
        <v>at market</v>
      </c>
      <c r="N178" s="20" t="s">
        <v>990</v>
      </c>
    </row>
    <row r="179" spans="1:14" ht="20.100000000000001" customHeight="1" x14ac:dyDescent="0.2">
      <c r="D179" s="20" t="str" cm="1">
        <f t="array" ref="D179">Common_InputFunctions.Utility_DisplayArrayInTable(Scope3_SourceData.Scope3_InorganicFertilisers_Data(), Table_SourceData_Scope3_InorganicFertiliser[[#Headers],[Category]], 0, 2)</f>
        <v>Inorganic fertilisers</v>
      </c>
      <c r="E179" s="20" t="str" cm="1">
        <f t="array" ref="E179">Common_InputFunctions.Utility_DisplayArrayInTable(Scope3_SourceData.Scope3_InorganicFertilisers_Data(), Table_SourceData_Scope3_InorganicFertiliser[[#Headers],[Category]], 0, 2)</f>
        <v>Calcium ammonium nitrate, AU market mix</v>
      </c>
      <c r="F179" s="20" t="str" cm="1">
        <f t="array" ref="F179">Common_InputFunctions.Utility_DisplayArrayInTable(Scope3_SourceData.Scope3_InorganicFertilisers_Data(), Table_SourceData_Scope3_InorganicFertiliser[[#Headers],[Category]], 0, 2)</f>
        <v>Global</v>
      </c>
      <c r="G179" s="20" t="str">
        <f>'Constants - Fertiliser'!$D$26</f>
        <v>Calcium ammonium nitrate (CAN)</v>
      </c>
      <c r="H179" s="20"/>
      <c r="I179" s="20"/>
      <c r="J179" s="20"/>
      <c r="K179" s="20" t="str" cm="1">
        <f t="array" ref="K179">Common_InputFunctions.Utility_DisplayArrayInTable(Scope3_SourceData.Scope3_InorganicFertilisers_Data(), Table_SourceData_Scope3_InorganicFertiliser[[#Headers],[Category]], 0, -2)</f>
        <v>kg</v>
      </c>
      <c r="L179" s="20" cm="1">
        <f t="array" ref="L179">Common_InputFunctions.Utility_DisplayArrayInTable(Scope3_SourceData.Scope3_InorganicFertilisers_Data(), Table_SourceData_Scope3_InorganicFertiliser[[#Headers],[Category]], 0, -2)</f>
        <v>1.1499999999999999</v>
      </c>
      <c r="M179" s="20" t="str" cm="1">
        <f t="array" ref="M179">Common_InputFunctions.Utility_DisplayArrayInTable(Scope3_SourceData.Scope3_InorganicFertilisers_Data(), Table_SourceData_Scope3_InorganicFertiliser[[#Headers],[Category]], 0, -2)</f>
        <v>at market</v>
      </c>
      <c r="N179" s="20" t="s">
        <v>990</v>
      </c>
    </row>
    <row r="180" spans="1:14" ht="20.100000000000001" customHeight="1" x14ac:dyDescent="0.2">
      <c r="D180" s="20" t="str" cm="1">
        <f t="array" ref="D180">Common_InputFunctions.Utility_DisplayArrayInTable(Scope3_SourceData.Scope3_InorganicFertilisers_Data(), Table_SourceData_Scope3_InorganicFertiliser[[#Headers],[Category]], 0, 2)</f>
        <v>Inorganic fertilisers</v>
      </c>
      <c r="E180" s="20" t="str" cm="1">
        <f t="array" ref="E180">Common_InputFunctions.Utility_DisplayArrayInTable(Scope3_SourceData.Scope3_InorganicFertilisers_Data(), Table_SourceData_Scope3_InorganicFertiliser[[#Headers],[Category]], 0, 2)</f>
        <v>Calcium nitrate</v>
      </c>
      <c r="F180" s="20" t="str" cm="1">
        <f t="array" ref="F180">Common_InputFunctions.Utility_DisplayArrayInTable(Scope3_SourceData.Scope3_InorganicFertilisers_Data(), Table_SourceData_Scope3_InorganicFertiliser[[#Headers],[Category]], 0, 2)</f>
        <v>Global</v>
      </c>
      <c r="G180" s="20" t="str">
        <f>'Constants - Fertiliser'!$D$38</f>
        <v>Calcium nitrate</v>
      </c>
      <c r="H180" s="20"/>
      <c r="I180" s="20"/>
      <c r="J180" s="20"/>
      <c r="K180" s="20" t="str" cm="1">
        <f t="array" ref="K180">Common_InputFunctions.Utility_DisplayArrayInTable(Scope3_SourceData.Scope3_InorganicFertilisers_Data(), Table_SourceData_Scope3_InorganicFertiliser[[#Headers],[Category]], 0, -2)</f>
        <v>kg</v>
      </c>
      <c r="L180" s="20" cm="1">
        <f t="array" ref="L180">Common_InputFunctions.Utility_DisplayArrayInTable(Scope3_SourceData.Scope3_InorganicFertilisers_Data(), Table_SourceData_Scope3_InorganicFertiliser[[#Headers],[Category]], 0, -2)</f>
        <v>0.75</v>
      </c>
      <c r="M180" s="20" t="str" cm="1">
        <f t="array" ref="M180">Common_InputFunctions.Utility_DisplayArrayInTable(Scope3_SourceData.Scope3_InorganicFertilisers_Data(), Table_SourceData_Scope3_InorganicFertiliser[[#Headers],[Category]], 0, -2)</f>
        <v>at market</v>
      </c>
      <c r="N180" s="20" t="s">
        <v>990</v>
      </c>
    </row>
    <row r="181" spans="1:14" ht="20.100000000000001" customHeight="1" x14ac:dyDescent="0.2">
      <c r="D181" s="20" t="str" cm="1">
        <f t="array" ref="D181">Common_InputFunctions.Utility_DisplayArrayInTable(Scope3_SourceData.Scope3_InorganicFertilisers_Data(), Table_SourceData_Scope3_InorganicFertiliser[[#Headers],[Category]], 0, 2)</f>
        <v>Inorganic fertilisers</v>
      </c>
      <c r="E181" s="20" t="str" cm="1">
        <f t="array" ref="E181">Common_InputFunctions.Utility_DisplayArrayInTable(Scope3_SourceData.Scope3_InorganicFertilisers_Data(), Table_SourceData_Scope3_InorganicFertiliser[[#Headers],[Category]], 0, 2)</f>
        <v>Diammonium phosphate, AU market mix</v>
      </c>
      <c r="F181" s="20" t="str" cm="1">
        <f t="array" ref="F181">Common_InputFunctions.Utility_DisplayArrayInTable(Scope3_SourceData.Scope3_InorganicFertilisers_Data(), Table_SourceData_Scope3_InorganicFertiliser[[#Headers],[Category]], 0, 2)</f>
        <v>Global</v>
      </c>
      <c r="G181" s="20" t="str">
        <f>'Constants - Fertiliser'!$D$21</f>
        <v>Diammonium phosphate (DAP)</v>
      </c>
      <c r="H181" s="20"/>
      <c r="I181" s="20"/>
      <c r="J181" s="20"/>
      <c r="K181" s="20" t="str" cm="1">
        <f t="array" ref="K181">Common_InputFunctions.Utility_DisplayArrayInTable(Scope3_SourceData.Scope3_InorganicFertilisers_Data(), Table_SourceData_Scope3_InorganicFertiliser[[#Headers],[Category]], 0, -2)</f>
        <v>kg</v>
      </c>
      <c r="L181" s="20" cm="1">
        <f t="array" ref="L181">Common_InputFunctions.Utility_DisplayArrayInTable(Scope3_SourceData.Scope3_InorganicFertilisers_Data(), Table_SourceData_Scope3_InorganicFertiliser[[#Headers],[Category]], 0, -2)</f>
        <v>1.34</v>
      </c>
      <c r="M181" s="20" t="str" cm="1">
        <f t="array" ref="M181">Common_InputFunctions.Utility_DisplayArrayInTable(Scope3_SourceData.Scope3_InorganicFertilisers_Data(), Table_SourceData_Scope3_InorganicFertiliser[[#Headers],[Category]], 0, -2)</f>
        <v>at market</v>
      </c>
      <c r="N181" s="20" t="s">
        <v>990</v>
      </c>
    </row>
    <row r="182" spans="1:14" ht="20.100000000000001" customHeight="1" x14ac:dyDescent="0.2">
      <c r="D182" s="20" t="str" cm="1">
        <f t="array" ref="D182">Common_InputFunctions.Utility_DisplayArrayInTable(Scope3_SourceData.Scope3_InorganicFertilisers_Data(), Table_SourceData_Scope3_InorganicFertiliser[[#Headers],[Category]], 0, 2)</f>
        <v>Inorganic fertilisers</v>
      </c>
      <c r="E182" s="20" t="str" cm="1">
        <f t="array" ref="E182">Common_InputFunctions.Utility_DisplayArrayInTable(Scope3_SourceData.Scope3_InorganicFertilisers_Data(), Table_SourceData_Scope3_InorganicFertiliser[[#Headers],[Category]], 0, 2)</f>
        <v>Double superphosphate, AU market mix</v>
      </c>
      <c r="F182" s="20" t="str" cm="1">
        <f t="array" ref="F182">Common_InputFunctions.Utility_DisplayArrayInTable(Scope3_SourceData.Scope3_InorganicFertilisers_Data(), Table_SourceData_Scope3_InorganicFertiliser[[#Headers],[Category]], 0, 2)</f>
        <v>Global</v>
      </c>
      <c r="G182" s="20" t="str">
        <f>'Constants - Fertiliser'!$D$35</f>
        <v>Double superphosphate</v>
      </c>
      <c r="H182" s="20"/>
      <c r="I182" s="20"/>
      <c r="J182" s="20"/>
      <c r="K182" s="20" t="str" cm="1">
        <f t="array" ref="K182">Common_InputFunctions.Utility_DisplayArrayInTable(Scope3_SourceData.Scope3_InorganicFertilisers_Data(), Table_SourceData_Scope3_InorganicFertiliser[[#Headers],[Category]], 0, -2)</f>
        <v>kg</v>
      </c>
      <c r="L182" s="20" cm="1">
        <f t="array" ref="L182">Common_InputFunctions.Utility_DisplayArrayInTable(Scope3_SourceData.Scope3_InorganicFertilisers_Data(), Table_SourceData_Scope3_InorganicFertiliser[[#Headers],[Category]], 0, -2)</f>
        <v>0.39200000000000002</v>
      </c>
      <c r="M182" s="20" t="str" cm="1">
        <f t="array" ref="M182">Common_InputFunctions.Utility_DisplayArrayInTable(Scope3_SourceData.Scope3_InorganicFertilisers_Data(), Table_SourceData_Scope3_InorganicFertiliser[[#Headers],[Category]], 0, -2)</f>
        <v>at market</v>
      </c>
      <c r="N182" s="20" t="s">
        <v>990</v>
      </c>
    </row>
    <row r="183" spans="1:14" ht="20.100000000000001" customHeight="1" x14ac:dyDescent="0.2">
      <c r="D183" s="20" t="str" cm="1">
        <f t="array" ref="D183">Common_InputFunctions.Utility_DisplayArrayInTable(Scope3_SourceData.Scope3_InorganicFertilisers_Data(), Table_SourceData_Scope3_InorganicFertiliser[[#Headers],[Category]], 0, 2)</f>
        <v>Inorganic fertilisers</v>
      </c>
      <c r="E183" s="20" t="str" cm="1">
        <f t="array" ref="E183">Common_InputFunctions.Utility_DisplayArrayInTable(Scope3_SourceData.Scope3_InorganicFertilisers_Data(), Table_SourceData_Scope3_InorganicFertiliser[[#Headers],[Category]], 0, 2)</f>
        <v>Monoammonium phosphate, AU market mix</v>
      </c>
      <c r="F183" s="20" t="str" cm="1">
        <f t="array" ref="F183">Common_InputFunctions.Utility_DisplayArrayInTable(Scope3_SourceData.Scope3_InorganicFertilisers_Data(), Table_SourceData_Scope3_InorganicFertiliser[[#Headers],[Category]], 0, 2)</f>
        <v>Global</v>
      </c>
      <c r="G183" s="20" t="str">
        <f>'Constants - Fertiliser'!$D$20</f>
        <v>Monoammonium phosphate (MAP)</v>
      </c>
      <c r="H183" s="20"/>
      <c r="I183" s="20"/>
      <c r="J183" s="20"/>
      <c r="K183" s="20" t="str" cm="1">
        <f t="array" ref="K183">Common_InputFunctions.Utility_DisplayArrayInTable(Scope3_SourceData.Scope3_InorganicFertilisers_Data(), Table_SourceData_Scope3_InorganicFertiliser[[#Headers],[Category]], 0, -2)</f>
        <v>kg</v>
      </c>
      <c r="L183" s="20" cm="1">
        <f t="array" ref="L183">Common_InputFunctions.Utility_DisplayArrayInTable(Scope3_SourceData.Scope3_InorganicFertilisers_Data(), Table_SourceData_Scope3_InorganicFertiliser[[#Headers],[Category]], 0, -2)</f>
        <v>0.82699999999999996</v>
      </c>
      <c r="M183" s="20" t="str" cm="1">
        <f t="array" ref="M183">Common_InputFunctions.Utility_DisplayArrayInTable(Scope3_SourceData.Scope3_InorganicFertilisers_Data(), Table_SourceData_Scope3_InorganicFertiliser[[#Headers],[Category]], 0, -2)</f>
        <v>at market</v>
      </c>
      <c r="N183" s="20" t="s">
        <v>990</v>
      </c>
    </row>
    <row r="184" spans="1:14" ht="20.100000000000001" customHeight="1" x14ac:dyDescent="0.2">
      <c r="D184" s="20" t="str" cm="1">
        <f t="array" ref="D184">Common_InputFunctions.Utility_DisplayArrayInTable(Scope3_SourceData.Scope3_InorganicFertilisers_Data(), Table_SourceData_Scope3_InorganicFertiliser[[#Headers],[Category]], 0, 2)</f>
        <v>Inorganic fertilisers</v>
      </c>
      <c r="E184" s="20" t="str" cm="1">
        <f t="array" ref="E184">Common_InputFunctions.Utility_DisplayArrayInTable(Scope3_SourceData.Scope3_InorganicFertilisers_Data(), Table_SourceData_Scope3_InorganicFertiliser[[#Headers],[Category]], 0, 2)</f>
        <v>Muriate of potash, AU market mix</v>
      </c>
      <c r="F184" s="20" t="str" cm="1">
        <f t="array" ref="F184">Common_InputFunctions.Utility_DisplayArrayInTable(Scope3_SourceData.Scope3_InorganicFertilisers_Data(), Table_SourceData_Scope3_InorganicFertiliser[[#Headers],[Category]], 0, 2)</f>
        <v>Global</v>
      </c>
      <c r="G184" s="20" t="str">
        <f>'Constants - Fertiliser'!$D$34</f>
        <v>Muriate of potash (MOP)</v>
      </c>
      <c r="H184" s="20"/>
      <c r="I184" s="20"/>
      <c r="J184" s="20"/>
      <c r="K184" s="20" t="str" cm="1">
        <f t="array" ref="K184">Common_InputFunctions.Utility_DisplayArrayInTable(Scope3_SourceData.Scope3_InorganicFertilisers_Data(), Table_SourceData_Scope3_InorganicFertiliser[[#Headers],[Category]], 0, -2)</f>
        <v>kg</v>
      </c>
      <c r="L184" s="20" cm="1">
        <f t="array" ref="L184">Common_InputFunctions.Utility_DisplayArrayInTable(Scope3_SourceData.Scope3_InorganicFertilisers_Data(), Table_SourceData_Scope3_InorganicFertiliser[[#Headers],[Category]], 0, -2)</f>
        <v>0.54900000000000004</v>
      </c>
      <c r="M184" s="20" t="str" cm="1">
        <f t="array" ref="M184">Common_InputFunctions.Utility_DisplayArrayInTable(Scope3_SourceData.Scope3_InorganicFertilisers_Data(), Table_SourceData_Scope3_InorganicFertiliser[[#Headers],[Category]], 0, -2)</f>
        <v>at market</v>
      </c>
      <c r="N184" s="20" t="s">
        <v>990</v>
      </c>
    </row>
    <row r="185" spans="1:14" ht="20.100000000000001" customHeight="1" x14ac:dyDescent="0.2">
      <c r="D185" s="20" t="str" cm="1">
        <f t="array" ref="D185">Common_InputFunctions.Utility_DisplayArrayInTable(Scope3_SourceData.Scope3_InorganicFertilisers_Data(), Table_SourceData_Scope3_InorganicFertiliser[[#Headers],[Category]], 0, 2)</f>
        <v>Inorganic fertilisers</v>
      </c>
      <c r="E185" s="20" t="str" cm="1">
        <f t="array" ref="E185">Common_InputFunctions.Utility_DisplayArrayInTable(Scope3_SourceData.Scope3_InorganicFertilisers_Data(), Table_SourceData_Scope3_InorganicFertiliser[[#Headers],[Category]], 0, 2)</f>
        <v>Nitrogen from ammonia, AU market mix</v>
      </c>
      <c r="F185" s="20" t="str" cm="1">
        <f t="array" ref="F185">Common_InputFunctions.Utility_DisplayArrayInTable(Scope3_SourceData.Scope3_InorganicFertilisers_Data(), Table_SourceData_Scope3_InorganicFertiliser[[#Headers],[Category]], 0, 2)</f>
        <v>Global</v>
      </c>
      <c r="G185" s="20" t="str">
        <f>'Constants - Fertiliser'!$D$27</f>
        <v>Nitrogen - Ammoniacal</v>
      </c>
      <c r="H185" s="20"/>
      <c r="I185" s="20"/>
      <c r="J185" s="20"/>
      <c r="K185" s="20" t="str" cm="1">
        <f t="array" ref="K185">Common_InputFunctions.Utility_DisplayArrayInTable(Scope3_SourceData.Scope3_InorganicFertilisers_Data(), Table_SourceData_Scope3_InorganicFertiliser[[#Headers],[Category]], 0, -2)</f>
        <v>kg N</v>
      </c>
      <c r="L185" s="20" cm="1">
        <f t="array" ref="L185">Common_InputFunctions.Utility_DisplayArrayInTable(Scope3_SourceData.Scope3_InorganicFertilisers_Data(), Table_SourceData_Scope3_InorganicFertiliser[[#Headers],[Category]], 0, -2)</f>
        <v>2.83</v>
      </c>
      <c r="M185" s="20" t="str" cm="1">
        <f t="array" ref="M185">Common_InputFunctions.Utility_DisplayArrayInTable(Scope3_SourceData.Scope3_InorganicFertilisers_Data(), Table_SourceData_Scope3_InorganicFertiliser[[#Headers],[Category]], 0, -2)</f>
        <v>at market</v>
      </c>
      <c r="N185" s="20" t="s">
        <v>990</v>
      </c>
    </row>
    <row r="186" spans="1:14" ht="20.100000000000001" customHeight="1" x14ac:dyDescent="0.2">
      <c r="D186" s="20" t="str" cm="1">
        <f t="array" ref="D186">Common_InputFunctions.Utility_DisplayArrayInTable(Scope3_SourceData.Scope3_InorganicFertilisers_Data(), Table_SourceData_Scope3_InorganicFertiliser[[#Headers],[Category]], 0, 2)</f>
        <v>Inorganic fertilisers</v>
      </c>
      <c r="E186" s="20" t="str" cm="1">
        <f t="array" ref="E186">Common_InputFunctions.Utility_DisplayArrayInTable(Scope3_SourceData.Scope3_InorganicFertilisers_Data(), Table_SourceData_Scope3_InorganicFertiliser[[#Headers],[Category]], 0, 2)</f>
        <v>Nitrogen from fertilizer, AU market mix</v>
      </c>
      <c r="F186" s="20" t="str" cm="1">
        <f t="array" ref="F186">Common_InputFunctions.Utility_DisplayArrayInTable(Scope3_SourceData.Scope3_InorganicFertilisers_Data(), Table_SourceData_Scope3_InorganicFertiliser[[#Headers],[Category]], 0, 2)</f>
        <v>Global</v>
      </c>
      <c r="G186" s="20" t="str">
        <f>'Constants - Fertiliser'!$D$29</f>
        <v>Nitrogen - Generic</v>
      </c>
      <c r="H186" s="20"/>
      <c r="I186" s="20"/>
      <c r="J186" s="20"/>
      <c r="K186" s="20" t="str" cm="1">
        <f t="array" ref="K186">Common_InputFunctions.Utility_DisplayArrayInTable(Scope3_SourceData.Scope3_InorganicFertilisers_Data(), Table_SourceData_Scope3_InorganicFertiliser[[#Headers],[Category]], 0, -2)</f>
        <v>kg N</v>
      </c>
      <c r="L186" s="20" cm="1">
        <f t="array" ref="L186">Common_InputFunctions.Utility_DisplayArrayInTable(Scope3_SourceData.Scope3_InorganicFertilisers_Data(), Table_SourceData_Scope3_InorganicFertiliser[[#Headers],[Category]], 0, -2)</f>
        <v>4.2</v>
      </c>
      <c r="M186" s="20" t="str" cm="1">
        <f t="array" ref="M186">Common_InputFunctions.Utility_DisplayArrayInTable(Scope3_SourceData.Scope3_InorganicFertilisers_Data(), Table_SourceData_Scope3_InorganicFertiliser[[#Headers],[Category]], 0, -2)</f>
        <v>at market</v>
      </c>
      <c r="N186" s="20" t="s">
        <v>990</v>
      </c>
    </row>
    <row r="187" spans="1:14" ht="20.100000000000001" customHeight="1" x14ac:dyDescent="0.2">
      <c r="D187" s="20" t="str" cm="1">
        <f t="array" ref="D187">Common_InputFunctions.Utility_DisplayArrayInTable(Scope3_SourceData.Scope3_InorganicFertilisers_Data(), Table_SourceData_Scope3_InorganicFertiliser[[#Headers],[Category]], 0, 2)</f>
        <v>Inorganic fertilisers</v>
      </c>
      <c r="E187" s="20" t="str" cm="1">
        <f t="array" ref="E187">Common_InputFunctions.Utility_DisplayArrayInTable(Scope3_SourceData.Scope3_InorganicFertilisers_Data(), Table_SourceData_Scope3_InorganicFertiliser[[#Headers],[Category]], 0, 2)</f>
        <v>Nitrogen from nitrate fertilizer, AU market mix</v>
      </c>
      <c r="F187" s="20" t="str" cm="1">
        <f t="array" ref="F187">Common_InputFunctions.Utility_DisplayArrayInTable(Scope3_SourceData.Scope3_InorganicFertilisers_Data(), Table_SourceData_Scope3_InorganicFertiliser[[#Headers],[Category]], 0, 2)</f>
        <v>Global</v>
      </c>
      <c r="G187" s="20" t="str">
        <f>'Constants - Fertiliser'!$D$28</f>
        <v>Nitrogen - Nitrate</v>
      </c>
      <c r="H187" s="20"/>
      <c r="I187" s="20"/>
      <c r="J187" s="20"/>
      <c r="K187" s="20" t="str" cm="1">
        <f t="array" ref="K187">Common_InputFunctions.Utility_DisplayArrayInTable(Scope3_SourceData.Scope3_InorganicFertilisers_Data(), Table_SourceData_Scope3_InorganicFertiliser[[#Headers],[Category]], 0, -2)</f>
        <v>kg N</v>
      </c>
      <c r="L187" s="20" cm="1">
        <f t="array" ref="L187">Common_InputFunctions.Utility_DisplayArrayInTable(Scope3_SourceData.Scope3_InorganicFertilisers_Data(), Table_SourceData_Scope3_InorganicFertiliser[[#Headers],[Category]], 0, -2)</f>
        <v>5.47</v>
      </c>
      <c r="M187" s="20" t="str" cm="1">
        <f t="array" ref="M187">Common_InputFunctions.Utility_DisplayArrayInTable(Scope3_SourceData.Scope3_InorganicFertilisers_Data(), Table_SourceData_Scope3_InorganicFertiliser[[#Headers],[Category]], 0, -2)</f>
        <v>at market</v>
      </c>
      <c r="N187" s="20" t="s">
        <v>990</v>
      </c>
    </row>
    <row r="188" spans="1:14" ht="20.100000000000001" customHeight="1" x14ac:dyDescent="0.2">
      <c r="D188" s="20" t="str" cm="1">
        <f t="array" ref="D188">Common_InputFunctions.Utility_DisplayArrayInTable(Scope3_SourceData.Scope3_InorganicFertilisers_Data(), Table_SourceData_Scope3_InorganicFertiliser[[#Headers],[Category]], 0, 2)</f>
        <v>Inorganic fertilisers</v>
      </c>
      <c r="E188" s="20" t="str" cm="1">
        <f t="array" ref="E188">Common_InputFunctions.Utility_DisplayArrayInTable(Scope3_SourceData.Scope3_InorganicFertilisers_Data(), Table_SourceData_Scope3_InorganicFertiliser[[#Headers],[Category]], 0, 2)</f>
        <v>Phosphorus from fertilizer, AU market mix</v>
      </c>
      <c r="F188" s="20" t="str" cm="1">
        <f t="array" ref="F188">Common_InputFunctions.Utility_DisplayArrayInTable(Scope3_SourceData.Scope3_InorganicFertilisers_Data(), Table_SourceData_Scope3_InorganicFertiliser[[#Headers],[Category]], 0, 2)</f>
        <v>Global</v>
      </c>
      <c r="G188" s="20" t="str">
        <f>'Constants - Fertiliser'!$D$30</f>
        <v>Phosphorus - Generic</v>
      </c>
      <c r="H188" s="20"/>
      <c r="I188" s="20"/>
      <c r="J188" s="20"/>
      <c r="K188" s="20" t="str" cm="1">
        <f t="array" ref="K188">Common_InputFunctions.Utility_DisplayArrayInTable(Scope3_SourceData.Scope3_InorganicFertilisers_Data(), Table_SourceData_Scope3_InorganicFertiliser[[#Headers],[Category]], 0, -2)</f>
        <v>kg P</v>
      </c>
      <c r="L188" s="20" cm="1">
        <f t="array" ref="L188">Common_InputFunctions.Utility_DisplayArrayInTable(Scope3_SourceData.Scope3_InorganicFertilisers_Data(), Table_SourceData_Scope3_InorganicFertiliser[[#Headers],[Category]], 0, -2)</f>
        <v>3.96</v>
      </c>
      <c r="M188" s="20" t="str" cm="1">
        <f t="array" ref="M188">Common_InputFunctions.Utility_DisplayArrayInTable(Scope3_SourceData.Scope3_InorganicFertilisers_Data(), Table_SourceData_Scope3_InorganicFertiliser[[#Headers],[Category]], 0, -2)</f>
        <v>at market</v>
      </c>
      <c r="N188" s="20" t="s">
        <v>990</v>
      </c>
    </row>
    <row r="189" spans="1:14" ht="20.100000000000001" customHeight="1" x14ac:dyDescent="0.2">
      <c r="D189" s="20" t="str" cm="1">
        <f t="array" ref="D189">Common_InputFunctions.Utility_DisplayArrayInTable(Scope3_SourceData.Scope3_InorganicFertilisers_Data(), Table_SourceData_Scope3_InorganicFertiliser[[#Headers],[Category]], 0, 2)</f>
        <v>Inorganic fertilisers</v>
      </c>
      <c r="E189" s="20" t="str" cm="1">
        <f t="array" ref="E189">Common_InputFunctions.Utility_DisplayArrayInTable(Scope3_SourceData.Scope3_InorganicFertilisers_Data(), Table_SourceData_Scope3_InorganicFertiliser[[#Headers],[Category]], 0, 2)</f>
        <v>Potassium from fertilizer, AU market mix</v>
      </c>
      <c r="F189" s="20" t="str" cm="1">
        <f t="array" ref="F189">Common_InputFunctions.Utility_DisplayArrayInTable(Scope3_SourceData.Scope3_InorganicFertilisers_Data(), Table_SourceData_Scope3_InorganicFertiliser[[#Headers],[Category]], 0, 2)</f>
        <v>Global</v>
      </c>
      <c r="G189" s="20" t="str">
        <f>'Constants - Fertiliser'!$D$31</f>
        <v>Potassium - Generic</v>
      </c>
      <c r="H189" s="20"/>
      <c r="I189" s="20"/>
      <c r="J189" s="20"/>
      <c r="K189" s="20" t="str" cm="1">
        <f t="array" ref="K189">Common_InputFunctions.Utility_DisplayArrayInTable(Scope3_SourceData.Scope3_InorganicFertilisers_Data(), Table_SourceData_Scope3_InorganicFertiliser[[#Headers],[Category]], 0, -2)</f>
        <v>kg K</v>
      </c>
      <c r="L189" s="20" cm="1">
        <f t="array" ref="L189">Common_InputFunctions.Utility_DisplayArrayInTable(Scope3_SourceData.Scope3_InorganicFertilisers_Data(), Table_SourceData_Scope3_InorganicFertiliser[[#Headers],[Category]], 0, -2)</f>
        <v>0.90900000000000003</v>
      </c>
      <c r="M189" s="20" t="str" cm="1">
        <f t="array" ref="M189">Common_InputFunctions.Utility_DisplayArrayInTable(Scope3_SourceData.Scope3_InorganicFertilisers_Data(), Table_SourceData_Scope3_InorganicFertiliser[[#Headers],[Category]], 0, -2)</f>
        <v>at market</v>
      </c>
      <c r="N189" s="20" t="s">
        <v>990</v>
      </c>
    </row>
    <row r="190" spans="1:14" ht="20.100000000000001" customHeight="1" x14ac:dyDescent="0.2">
      <c r="D190" s="20" t="str" cm="1">
        <f t="array" ref="D190">Common_InputFunctions.Utility_DisplayArrayInTable(Scope3_SourceData.Scope3_InorganicFertilisers_Data(), Table_SourceData_Scope3_InorganicFertiliser[[#Headers],[Category]], 0, 2)</f>
        <v>Inorganic fertilisers</v>
      </c>
      <c r="E190" s="20" t="str" cm="1">
        <f t="array" ref="E190">Common_InputFunctions.Utility_DisplayArrayInTable(Scope3_SourceData.Scope3_InorganicFertilisers_Data(), Table_SourceData_Scope3_InorganicFertiliser[[#Headers],[Category]], 0, 2)</f>
        <v>Single superphosphate, AU market mix</v>
      </c>
      <c r="F190" s="20" t="str" cm="1">
        <f t="array" ref="F190">Common_InputFunctions.Utility_DisplayArrayInTable(Scope3_SourceData.Scope3_InorganicFertilisers_Data(), Table_SourceData_Scope3_InorganicFertiliser[[#Headers],[Category]], 0, 2)</f>
        <v>Global</v>
      </c>
      <c r="G190" s="20" t="str">
        <f>'Constants - Fertiliser'!$D$36</f>
        <v>Single superphosphate (SSP)</v>
      </c>
      <c r="H190" s="20"/>
      <c r="I190" s="20"/>
      <c r="J190" s="20"/>
      <c r="K190" s="20" t="str" cm="1">
        <f t="array" ref="K190">Common_InputFunctions.Utility_DisplayArrayInTable(Scope3_SourceData.Scope3_InorganicFertilisers_Data(), Table_SourceData_Scope3_InorganicFertiliser[[#Headers],[Category]], 0, -2)</f>
        <v>kg</v>
      </c>
      <c r="L190" s="20" cm="1">
        <f t="array" ref="L190">Common_InputFunctions.Utility_DisplayArrayInTable(Scope3_SourceData.Scope3_InorganicFertilisers_Data(), Table_SourceData_Scope3_InorganicFertiliser[[#Headers],[Category]], 0, -2)</f>
        <v>0.22700000000000001</v>
      </c>
      <c r="M190" s="20" t="str" cm="1">
        <f t="array" ref="M190">Common_InputFunctions.Utility_DisplayArrayInTable(Scope3_SourceData.Scope3_InorganicFertilisers_Data(), Table_SourceData_Scope3_InorganicFertiliser[[#Headers],[Category]], 0, -2)</f>
        <v>at market</v>
      </c>
      <c r="N190" s="20" t="s">
        <v>990</v>
      </c>
    </row>
    <row r="191" spans="1:14" ht="20.100000000000001" customHeight="1" x14ac:dyDescent="0.2">
      <c r="D191" s="20" t="str" cm="1">
        <f t="array" ref="D191">Common_InputFunctions.Utility_DisplayArrayInTable(Scope3_SourceData.Scope3_InorganicFertilisers_Data(), Table_SourceData_Scope3_InorganicFertiliser[[#Headers],[Category]], 0, 2)</f>
        <v>Inorganic fertilisers</v>
      </c>
      <c r="E191" s="20" t="str" cm="1">
        <f t="array" ref="E191">Common_InputFunctions.Utility_DisplayArrayInTable(Scope3_SourceData.Scope3_InorganicFertilisers_Data(), Table_SourceData_Scope3_InorganicFertiliser[[#Headers],[Category]], 0, 2)</f>
        <v>Sulfur from fertilizer, AU market mix</v>
      </c>
      <c r="F191" s="20" t="str" cm="1">
        <f t="array" ref="F191">Common_InputFunctions.Utility_DisplayArrayInTable(Scope3_SourceData.Scope3_InorganicFertilisers_Data(), Table_SourceData_Scope3_InorganicFertiliser[[#Headers],[Category]], 0, 2)</f>
        <v>Global</v>
      </c>
      <c r="G191" s="20" t="str">
        <f>'Constants - Fertiliser'!$D$32</f>
        <v>Sulfur - Generic</v>
      </c>
      <c r="H191" s="20"/>
      <c r="I191" s="20"/>
      <c r="J191" s="20"/>
      <c r="K191" s="20" t="str" cm="1">
        <f t="array" ref="K191">Common_InputFunctions.Utility_DisplayArrayInTable(Scope3_SourceData.Scope3_InorganicFertilisers_Data(), Table_SourceData_Scope3_InorganicFertiliser[[#Headers],[Category]], 0, -2)</f>
        <v>kg S</v>
      </c>
      <c r="L191" s="20" cm="1">
        <f t="array" ref="L191">Common_InputFunctions.Utility_DisplayArrayInTable(Scope3_SourceData.Scope3_InorganicFertilisers_Data(), Table_SourceData_Scope3_InorganicFertiliser[[#Headers],[Category]], 0, -2)</f>
        <v>2.5</v>
      </c>
      <c r="M191" s="20" t="str" cm="1">
        <f t="array" ref="M191">Common_InputFunctions.Utility_DisplayArrayInTable(Scope3_SourceData.Scope3_InorganicFertilisers_Data(), Table_SourceData_Scope3_InorganicFertiliser[[#Headers],[Category]], 0, -2)</f>
        <v>at market</v>
      </c>
      <c r="N191" s="20" t="s">
        <v>990</v>
      </c>
    </row>
    <row r="192" spans="1:14" ht="20.100000000000001" customHeight="1" x14ac:dyDescent="0.2">
      <c r="D192" s="20" t="str" cm="1">
        <f t="array" ref="D192">Common_InputFunctions.Utility_DisplayArrayInTable(Scope3_SourceData.Scope3_InorganicFertilisers_Data(), Table_SourceData_Scope3_InorganicFertiliser[[#Headers],[Category]], 0, 2)</f>
        <v>Inorganic fertilisers</v>
      </c>
      <c r="E192" s="20" t="str" cm="1">
        <f t="array" ref="E192">Common_InputFunctions.Utility_DisplayArrayInTable(Scope3_SourceData.Scope3_InorganicFertilisers_Data(), Table_SourceData_Scope3_InorganicFertiliser[[#Headers],[Category]], 0, 2)</f>
        <v>Ammonium sulphate, AU market mix</v>
      </c>
      <c r="F192" s="20" t="str" cm="1">
        <f t="array" ref="F192">Common_InputFunctions.Utility_DisplayArrayInTable(Scope3_SourceData.Scope3_InorganicFertilisers_Data(), Table_SourceData_Scope3_InorganicFertiliser[[#Headers],[Category]], 0, 2)</f>
        <v>Global</v>
      </c>
      <c r="G192" s="20" t="str">
        <f>'Constants - Fertiliser'!$D$23</f>
        <v>Sulphate of ammonia (SOA)</v>
      </c>
      <c r="H192" s="20"/>
      <c r="I192" s="20"/>
      <c r="J192" s="20"/>
      <c r="K192" s="20" t="str" cm="1">
        <f t="array" ref="K192">Common_InputFunctions.Utility_DisplayArrayInTable(Scope3_SourceData.Scope3_InorganicFertilisers_Data(), Table_SourceData_Scope3_InorganicFertiliser[[#Headers],[Category]], 0, -2)</f>
        <v>kg</v>
      </c>
      <c r="L192" s="20" cm="1">
        <f t="array" ref="L192">Common_InputFunctions.Utility_DisplayArrayInTable(Scope3_SourceData.Scope3_InorganicFertilisers_Data(), Table_SourceData_Scope3_InorganicFertiliser[[#Headers],[Category]], 0, -2)</f>
        <v>0.86499999999999999</v>
      </c>
      <c r="M192" s="20" t="str" cm="1">
        <f t="array" ref="M192">Common_InputFunctions.Utility_DisplayArrayInTable(Scope3_SourceData.Scope3_InorganicFertilisers_Data(), Table_SourceData_Scope3_InorganicFertiliser[[#Headers],[Category]], 0, -2)</f>
        <v>at market</v>
      </c>
      <c r="N192" s="20" t="s">
        <v>990</v>
      </c>
    </row>
    <row r="193" spans="1:14" ht="20.100000000000001" customHeight="1" x14ac:dyDescent="0.2">
      <c r="D193" s="20" t="str" cm="1">
        <f t="array" ref="D193">Common_InputFunctions.Utility_DisplayArrayInTable(Scope3_SourceData.Scope3_InorganicFertilisers_Data(), Table_SourceData_Scope3_InorganicFertiliser[[#Headers],[Category]], 0, 2)</f>
        <v>Inorganic fertilisers</v>
      </c>
      <c r="E193" s="20" t="str" cm="1">
        <f t="array" ref="E193">Common_InputFunctions.Utility_DisplayArrayInTable(Scope3_SourceData.Scope3_InorganicFertilisers_Data(), Table_SourceData_Scope3_InorganicFertiliser[[#Headers],[Category]], 0, 2)</f>
        <v>Urea ammonium nitrate, AU market mix</v>
      </c>
      <c r="F193" s="20" t="str" cm="1">
        <f t="array" ref="F193">Common_InputFunctions.Utility_DisplayArrayInTable(Scope3_SourceData.Scope3_InorganicFertilisers_Data(), Table_SourceData_Scope3_InorganicFertiliser[[#Headers],[Category]], 0, 2)</f>
        <v>Global</v>
      </c>
      <c r="G193" s="20" t="str">
        <f>'Constants - Fertiliser'!$D$24</f>
        <v>Urea-ammonium nitrate (UAN)</v>
      </c>
      <c r="H193" s="20"/>
      <c r="I193" s="20"/>
      <c r="J193" s="20"/>
      <c r="K193" s="20" t="str" cm="1">
        <f t="array" ref="K193">Common_InputFunctions.Utility_DisplayArrayInTable(Scope3_SourceData.Scope3_InorganicFertilisers_Data(), Table_SourceData_Scope3_InorganicFertiliser[[#Headers],[Category]], 0, -2)</f>
        <v>kg</v>
      </c>
      <c r="L193" s="20" cm="1">
        <f t="array" ref="L193">Common_InputFunctions.Utility_DisplayArrayInTable(Scope3_SourceData.Scope3_InorganicFertilisers_Data(), Table_SourceData_Scope3_InorganicFertiliser[[#Headers],[Category]], 0, -2)</f>
        <v>1.75</v>
      </c>
      <c r="M193" s="20" t="str" cm="1">
        <f t="array" ref="M193">Common_InputFunctions.Utility_DisplayArrayInTable(Scope3_SourceData.Scope3_InorganicFertilisers_Data(), Table_SourceData_Scope3_InorganicFertiliser[[#Headers],[Category]], 0, -2)</f>
        <v>at market</v>
      </c>
      <c r="N193" s="20" t="s">
        <v>990</v>
      </c>
    </row>
    <row r="194" spans="1:14" ht="20.100000000000001" customHeight="1" x14ac:dyDescent="0.2">
      <c r="D194" s="20" t="str" cm="1">
        <f t="array" ref="D194">Common_InputFunctions.Utility_DisplayArrayInTable(Scope3_SourceData.Scope3_InorganicFertilisers_Data(), Table_SourceData_Scope3_InorganicFertiliser[[#Headers],[Category]], 0, 2)</f>
        <v>Inorganic fertilisers</v>
      </c>
      <c r="E194" s="20" t="str" cm="1">
        <f t="array" ref="E194">Common_InputFunctions.Utility_DisplayArrayInTable(Scope3_SourceData.Scope3_InorganicFertilisers_Data(), Table_SourceData_Scope3_InorganicFertiliser[[#Headers],[Category]], 0, 2)</f>
        <v>Urea, AU market mix</v>
      </c>
      <c r="F194" s="20" t="str" cm="1">
        <f t="array" ref="F194">Common_InputFunctions.Utility_DisplayArrayInTable(Scope3_SourceData.Scope3_InorganicFertilisers_Data(), Table_SourceData_Scope3_InorganicFertiliser[[#Headers],[Category]], 0, 2)</f>
        <v>Global</v>
      </c>
      <c r="G194" s="20" t="str">
        <f>'Constants - Fertiliser'!$D$22</f>
        <v>Urea</v>
      </c>
      <c r="H194" s="20" t="str">
        <f>'Constants - Fertiliser'!$V$20</f>
        <v>Global</v>
      </c>
      <c r="I194" s="20"/>
      <c r="J194" s="20"/>
      <c r="K194" s="20" t="str" cm="1">
        <f t="array" ref="K194">Common_InputFunctions.Utility_DisplayArrayInTable(Scope3_SourceData.Scope3_InorganicFertilisers_Data(), Table_SourceData_Scope3_InorganicFertiliser[[#Headers],[Category]], 0, -2)</f>
        <v>kg</v>
      </c>
      <c r="L194" s="20" cm="1">
        <f t="array" ref="L194">Common_InputFunctions.Utility_DisplayArrayInTable(Scope3_SourceData.Scope3_InorganicFertilisers_Data(), Table_SourceData_Scope3_InorganicFertiliser[[#Headers],[Category]], 0, -2)</f>
        <v>0.96799999999999997</v>
      </c>
      <c r="M194" s="20" t="str" cm="1">
        <f t="array" ref="M194">Common_InputFunctions.Utility_DisplayArrayInTable(Scope3_SourceData.Scope3_InorganicFertilisers_Data(), Table_SourceData_Scope3_InorganicFertiliser[[#Headers],[Category]], 0, -2)</f>
        <v>at market</v>
      </c>
      <c r="N194" s="20" t="s">
        <v>990</v>
      </c>
    </row>
    <row r="195" spans="1:14" ht="20.100000000000001" customHeight="1" x14ac:dyDescent="0.2">
      <c r="D195" s="20" t="str" cm="1">
        <f t="array" ref="D195">Common_InputFunctions.Utility_DisplayArrayInTable(Scope3_SourceData.Scope3_InorganicFertilisers_Data(), Table_SourceData_Scope3_InorganicFertiliser[[#Headers],[Category]], 0, 2)</f>
        <v>Inorganic fertilisers</v>
      </c>
      <c r="E195" s="20" t="str" cm="1">
        <f t="array" ref="E195">Common_InputFunctions.Utility_DisplayArrayInTable(Scope3_SourceData.Scope3_InorganicFertilisers_Data(), Table_SourceData_Scope3_InorganicFertiliser[[#Headers],[Category]], 0, 2)</f>
        <v>Urea, Canada</v>
      </c>
      <c r="F195" s="20" t="str" cm="1">
        <f t="array" ref="F195">Common_InputFunctions.Utility_DisplayArrayInTable(Scope3_SourceData.Scope3_InorganicFertilisers_Data(), Table_SourceData_Scope3_InorganicFertiliser[[#Headers],[Category]], 0, 2)</f>
        <v>Canada</v>
      </c>
      <c r="G195" s="20" t="str">
        <f>'Constants - Fertiliser'!$D$22</f>
        <v>Urea</v>
      </c>
      <c r="H195" s="20" t="str">
        <f>'Constants - Fertiliser'!$V$21</f>
        <v>Canada</v>
      </c>
      <c r="I195" s="20"/>
      <c r="J195" s="20"/>
      <c r="K195" s="20" t="str" cm="1">
        <f t="array" ref="K195">Common_InputFunctions.Utility_DisplayArrayInTable(Scope3_SourceData.Scope3_InorganicFertilisers_Data(), Table_SourceData_Scope3_InorganicFertiliser[[#Headers],[Category]], 0, -2)</f>
        <v>kg</v>
      </c>
      <c r="L195" s="20" cm="1">
        <f t="array" ref="L195">Common_InputFunctions.Utility_DisplayArrayInTable(Scope3_SourceData.Scope3_InorganicFertilisers_Data(), Table_SourceData_Scope3_InorganicFertiliser[[#Headers],[Category]], 0, -2)</f>
        <v>0.82299999999999995</v>
      </c>
      <c r="M195" s="20" t="str" cm="1">
        <f t="array" ref="M195">Common_InputFunctions.Utility_DisplayArrayInTable(Scope3_SourceData.Scope3_InorganicFertilisers_Data(), Table_SourceData_Scope3_InorganicFertiliser[[#Headers],[Category]], 0, -2)</f>
        <v>at market</v>
      </c>
      <c r="N195" s="20" t="s">
        <v>990</v>
      </c>
    </row>
    <row r="196" spans="1:14" ht="20.100000000000001" customHeight="1" x14ac:dyDescent="0.2">
      <c r="D196" s="20" t="str" cm="1">
        <f t="array" ref="D196">Common_InputFunctions.Utility_DisplayArrayInTable(Scope3_SourceData.Scope3_InorganicFertilisers_Data(), Table_SourceData_Scope3_InorganicFertiliser[[#Headers],[Category]], 0, 2)</f>
        <v>Inorganic fertilisers</v>
      </c>
      <c r="E196" s="20" t="str" cm="1">
        <f t="array" ref="E196">Common_InputFunctions.Utility_DisplayArrayInTable(Scope3_SourceData.Scope3_InorganicFertilisers_Data(), Table_SourceData_Scope3_InorganicFertiliser[[#Headers],[Category]], 0, 2)</f>
        <v>Urea, China</v>
      </c>
      <c r="F196" s="20" t="str" cm="1">
        <f t="array" ref="F196">Common_InputFunctions.Utility_DisplayArrayInTable(Scope3_SourceData.Scope3_InorganicFertilisers_Data(), Table_SourceData_Scope3_InorganicFertiliser[[#Headers],[Category]], 0, 2)</f>
        <v>China</v>
      </c>
      <c r="G196" s="20" t="str">
        <f>'Constants - Fertiliser'!$D$22</f>
        <v>Urea</v>
      </c>
      <c r="H196" s="20" t="str">
        <f>'Constants - Fertiliser'!$V$22</f>
        <v>China</v>
      </c>
      <c r="I196" s="20"/>
      <c r="J196" s="20"/>
      <c r="K196" s="20" t="str" cm="1">
        <f t="array" ref="K196">Common_InputFunctions.Utility_DisplayArrayInTable(Scope3_SourceData.Scope3_InorganicFertilisers_Data(), Table_SourceData_Scope3_InorganicFertiliser[[#Headers],[Category]], 0, -2)</f>
        <v>kg</v>
      </c>
      <c r="L196" s="20" cm="1">
        <f t="array" ref="L196">Common_InputFunctions.Utility_DisplayArrayInTable(Scope3_SourceData.Scope3_InorganicFertilisers_Data(), Table_SourceData_Scope3_InorganicFertiliser[[#Headers],[Category]], 0, -2)</f>
        <v>2.09</v>
      </c>
      <c r="M196" s="20" t="str" cm="1">
        <f t="array" ref="M196">Common_InputFunctions.Utility_DisplayArrayInTable(Scope3_SourceData.Scope3_InorganicFertilisers_Data(), Table_SourceData_Scope3_InorganicFertiliser[[#Headers],[Category]], 0, -2)</f>
        <v>at market</v>
      </c>
      <c r="N196" s="20" t="s">
        <v>990</v>
      </c>
    </row>
    <row r="197" spans="1:14" ht="20.100000000000001" customHeight="1" x14ac:dyDescent="0.2">
      <c r="D197" s="20" t="str" cm="1">
        <f t="array" ref="D197">Common_InputFunctions.Utility_DisplayArrayInTable(Scope3_SourceData.Scope3_InorganicFertilisers_Data(), Table_SourceData_Scope3_InorganicFertiliser[[#Headers],[Category]], 0, 2)</f>
        <v>Inorganic fertilisers</v>
      </c>
      <c r="E197" s="20" t="str" cm="1">
        <f t="array" ref="E197">Common_InputFunctions.Utility_DisplayArrayInTable(Scope3_SourceData.Scope3_InorganicFertilisers_Data(), Table_SourceData_Scope3_InorganicFertiliser[[#Headers],[Category]], 0, 2)</f>
        <v>Urea, Yemen</v>
      </c>
      <c r="F197" s="20" t="str" cm="1">
        <f t="array" ref="F197">Common_InputFunctions.Utility_DisplayArrayInTable(Scope3_SourceData.Scope3_InorganicFertilisers_Data(), Table_SourceData_Scope3_InorganicFertiliser[[#Headers],[Category]], 0, 2)</f>
        <v>Yemen</v>
      </c>
      <c r="G197" s="20" t="str">
        <f>'Constants - Fertiliser'!$D$22</f>
        <v>Urea</v>
      </c>
      <c r="H197" s="20" t="str">
        <f>'Constants - Fertiliser'!$V$23</f>
        <v>Yemen</v>
      </c>
      <c r="I197" s="20"/>
      <c r="J197" s="20"/>
      <c r="K197" s="20" t="str" cm="1">
        <f t="array" ref="K197">Common_InputFunctions.Utility_DisplayArrayInTable(Scope3_SourceData.Scope3_InorganicFertilisers_Data(), Table_SourceData_Scope3_InorganicFertiliser[[#Headers],[Category]], 0, -2)</f>
        <v>kg</v>
      </c>
      <c r="L197" s="20" cm="1">
        <f t="array" ref="L197">Common_InputFunctions.Utility_DisplayArrayInTable(Scope3_SourceData.Scope3_InorganicFertilisers_Data(), Table_SourceData_Scope3_InorganicFertiliser[[#Headers],[Category]], 0, -2)</f>
        <v>0.96299999999999997</v>
      </c>
      <c r="M197" s="20" t="str" cm="1">
        <f t="array" ref="M197">Common_InputFunctions.Utility_DisplayArrayInTable(Scope3_SourceData.Scope3_InorganicFertilisers_Data(), Table_SourceData_Scope3_InorganicFertiliser[[#Headers],[Category]], 0, -2)</f>
        <v>at market</v>
      </c>
      <c r="N197" s="20" t="s">
        <v>990</v>
      </c>
    </row>
    <row r="198" spans="1:14" ht="20.100000000000001" customHeight="1" x14ac:dyDescent="0.2">
      <c r="D198" s="20" t="str" cm="1">
        <f t="array" ref="D198">Common_InputFunctions.Utility_DisplayArrayInTable(Scope3_SourceData.Scope3_InorganicFertilisers_Data(), Table_SourceData_Scope3_InorganicFertiliser[[#Headers],[Category]], 0, 2)</f>
        <v>Inorganic fertilisers</v>
      </c>
      <c r="E198" s="20" t="str" cm="1">
        <f t="array" ref="E198">Common_InputFunctions.Utility_DisplayArrayInTable(Scope3_SourceData.Scope3_InorganicFertilisers_Data(), Table_SourceData_Scope3_InorganicFertiliser[[#Headers],[Category]], 0, 2)</f>
        <v>Zinc from fertilizer</v>
      </c>
      <c r="F198" s="20" t="str" cm="1">
        <f t="array" ref="F198">Common_InputFunctions.Utility_DisplayArrayInTable(Scope3_SourceData.Scope3_InorganicFertilisers_Data(), Table_SourceData_Scope3_InorganicFertiliser[[#Headers],[Category]], 0, 2)</f>
        <v>Global</v>
      </c>
      <c r="G198" s="20" t="str">
        <f>'Constants - Fertiliser'!$D$33</f>
        <v>Zinc - Generic</v>
      </c>
      <c r="H198" s="20"/>
      <c r="I198" s="20"/>
      <c r="J198" s="20"/>
      <c r="K198" s="20" t="str" cm="1">
        <f t="array" ref="K198">Common_InputFunctions.Utility_DisplayArrayInTable(Scope3_SourceData.Scope3_InorganicFertilisers_Data(), Table_SourceData_Scope3_InorganicFertiliser[[#Headers],[Category]], 0, -2)</f>
        <v>kg Zn</v>
      </c>
      <c r="L198" s="20" cm="1">
        <f t="array" ref="L198">Common_InputFunctions.Utility_DisplayArrayInTable(Scope3_SourceData.Scope3_InorganicFertilisers_Data(), Table_SourceData_Scope3_InorganicFertiliser[[#Headers],[Category]], 0, -2)</f>
        <v>4.82</v>
      </c>
      <c r="M198" s="20" t="str" cm="1">
        <f t="array" ref="M198">Common_InputFunctions.Utility_DisplayArrayInTable(Scope3_SourceData.Scope3_InorganicFertilisers_Data(), Table_SourceData_Scope3_InorganicFertiliser[[#Headers],[Category]], 0, -2)</f>
        <v>at market</v>
      </c>
      <c r="N198" s="20" t="s">
        <v>990</v>
      </c>
    </row>
    <row r="200" spans="1:14" ht="20.100000000000001" customHeight="1" x14ac:dyDescent="0.2">
      <c r="D200" s="2" t="s">
        <v>1014</v>
      </c>
    </row>
    <row r="201" spans="1:14" ht="20.100000000000001" customHeight="1" x14ac:dyDescent="0.2">
      <c r="D201" s="20" t="s">
        <v>983</v>
      </c>
      <c r="E201" s="20" t="s">
        <v>130</v>
      </c>
      <c r="F201" s="20" t="s">
        <v>984</v>
      </c>
      <c r="G201" s="20" t="s">
        <v>985</v>
      </c>
      <c r="H201" s="20" t="s">
        <v>986</v>
      </c>
      <c r="I201" s="20" t="s">
        <v>987</v>
      </c>
      <c r="J201" s="20" t="s">
        <v>498</v>
      </c>
    </row>
    <row r="202" spans="1:14" ht="20.100000000000001" customHeight="1" x14ac:dyDescent="0.2">
      <c r="D202" s="20" t="str" cm="1">
        <f t="array" ref="D202">Common_InputFunctions.Utility_DisplayArrayInTable(Scope3_SourceData.Scope3_Other_Data(), Table_SourceData_Scope3_Other[[#Headers],[Category]], 0, 2)</f>
        <v>Other</v>
      </c>
      <c r="E202" s="20" t="str" cm="1">
        <f t="array" ref="E202">Common_InputFunctions.Utility_DisplayArrayInTable(Scope3_SourceData.Scope3_Other_Data(), Table_SourceData_Scope3_Other[[#Headers],[Category]], 0, 2)</f>
        <v>Animal ear tags (large)</v>
      </c>
      <c r="F202" s="20" t="str" cm="1">
        <f t="array" ref="F202">Common_InputFunctions.Utility_DisplayArrayInTable(Scope3_SourceData.Scope3_Other_Data(), Table_SourceData_Scope3_Other[[#Headers],[Category]], 0, 2)</f>
        <v>Australia</v>
      </c>
      <c r="G202" s="20" t="str" cm="1">
        <f t="array" ref="G202">Common_InputFunctions.Utility_DisplayArrayInTable(Scope3_SourceData.Scope3_Other_Data(), Table_SourceData_Scope3_Other[[#Headers],[Category]], 0, 2)</f>
        <v>p</v>
      </c>
      <c r="H202" s="20" cm="1">
        <f t="array" ref="H202">Common_InputFunctions.Utility_DisplayArrayInTable(Scope3_SourceData.Scope3_Other_Data(), Table_SourceData_Scope3_Other[[#Headers],[Category]], 0, 2)</f>
        <v>4.24E-2</v>
      </c>
      <c r="I202" s="20" t="str" cm="1">
        <f t="array" ref="I202">Common_InputFunctions.Utility_DisplayArrayInTable(Scope3_SourceData.Scope3_Other_Data(), Table_SourceData_Scope3_Other[[#Headers],[Category]], 0, 2)</f>
        <v>at market</v>
      </c>
      <c r="J202" s="20" t="s">
        <v>990</v>
      </c>
    </row>
    <row r="203" spans="1:14" ht="20.100000000000001" customHeight="1" x14ac:dyDescent="0.2">
      <c r="D203" s="20" t="str" cm="1">
        <f t="array" ref="D203">Common_InputFunctions.Utility_DisplayArrayInTable(Scope3_SourceData.Scope3_Other_Data(), Table_SourceData_Scope3_Other[[#Headers],[Category]], 0, 2)</f>
        <v>Other</v>
      </c>
      <c r="E203" s="20" t="str" cm="1">
        <f t="array" ref="E203">Common_InputFunctions.Utility_DisplayArrayInTable(Scope3_SourceData.Scope3_Other_Data(), Table_SourceData_Scope3_Other[[#Headers],[Category]], 0, 2)</f>
        <v>Animal ear tags (small)</v>
      </c>
      <c r="F203" s="20" t="str" cm="1">
        <f t="array" ref="F203">Common_InputFunctions.Utility_DisplayArrayInTable(Scope3_SourceData.Scope3_Other_Data(), Table_SourceData_Scope3_Other[[#Headers],[Category]], 0, 2)</f>
        <v>Australia</v>
      </c>
      <c r="G203" s="20" t="str" cm="1">
        <f t="array" ref="G203">Common_InputFunctions.Utility_DisplayArrayInTable(Scope3_SourceData.Scope3_Other_Data(), Table_SourceData_Scope3_Other[[#Headers],[Category]], 0, 2)</f>
        <v>p</v>
      </c>
      <c r="H203" s="20" cm="1">
        <f t="array" ref="H203">Common_InputFunctions.Utility_DisplayArrayInTable(Scope3_SourceData.Scope3_Other_Data(), Table_SourceData_Scope3_Other[[#Headers],[Category]], 0, 2)</f>
        <v>2.93E-2</v>
      </c>
      <c r="I203" s="20" t="str" cm="1">
        <f t="array" ref="I203">Common_InputFunctions.Utility_DisplayArrayInTable(Scope3_SourceData.Scope3_Other_Data(), Table_SourceData_Scope3_Other[[#Headers],[Category]], 0, 2)</f>
        <v>at market</v>
      </c>
      <c r="J203" s="20" t="s">
        <v>990</v>
      </c>
    </row>
    <row r="204" spans="1:14" ht="20.100000000000001" customHeight="1" x14ac:dyDescent="0.2">
      <c r="D204" s="20" t="str" cm="1">
        <f t="array" ref="D204">Common_InputFunctions.Utility_DisplayArrayInTable(Scope3_SourceData.Scope3_Other_Data(), Table_SourceData_Scope3_Other[[#Headers],[Category]], 0, 2)</f>
        <v>Other</v>
      </c>
      <c r="E204" s="20" t="str" cm="1">
        <f t="array" ref="E204">Common_InputFunctions.Utility_DisplayArrayInTable(Scope3_SourceData.Scope3_Other_Data(), Table_SourceData_Scope3_Other[[#Headers],[Category]], 0, 2)</f>
        <v>Barley grain (for seed)</v>
      </c>
      <c r="F204" s="20" t="str" cm="1">
        <f t="array" ref="F204">Common_InputFunctions.Utility_DisplayArrayInTable(Scope3_SourceData.Scope3_Other_Data(), Table_SourceData_Scope3_Other[[#Headers],[Category]], 0, 2)</f>
        <v>Australia</v>
      </c>
      <c r="G204" s="20" t="str" cm="1">
        <f t="array" ref="G204">Common_InputFunctions.Utility_DisplayArrayInTable(Scope3_SourceData.Scope3_Other_Data(), Table_SourceData_Scope3_Other[[#Headers],[Category]], 0, 2)</f>
        <v>kg</v>
      </c>
      <c r="H204" s="20" cm="1">
        <f t="array" ref="H204">Common_InputFunctions.Utility_DisplayArrayInTable(Scope3_SourceData.Scope3_Other_Data(), Table_SourceData_Scope3_Other[[#Headers],[Category]], 0, 2)</f>
        <v>0.23899999999999999</v>
      </c>
      <c r="I204" s="20" t="str" cm="1">
        <f t="array" ref="I204">Common_InputFunctions.Utility_DisplayArrayInTable(Scope3_SourceData.Scope3_Other_Data(), Table_SourceData_Scope3_Other[[#Headers],[Category]], 0, 2)</f>
        <v>at market</v>
      </c>
      <c r="J204" s="20" t="s">
        <v>990</v>
      </c>
    </row>
    <row r="205" spans="1:14" ht="20.100000000000001" customHeight="1" x14ac:dyDescent="0.2">
      <c r="D205" s="20" t="str" cm="1">
        <f t="array" ref="D205">Common_InputFunctions.Utility_DisplayArrayInTable(Scope3_SourceData.Scope3_Other_Data(), Table_SourceData_Scope3_Other[[#Headers],[Category]], 0, 2)</f>
        <v>Other</v>
      </c>
      <c r="E205" s="20" t="str" cm="1">
        <f t="array" ref="E205">Common_InputFunctions.Utility_DisplayArrayInTable(Scope3_SourceData.Scope3_Other_Data(), Table_SourceData_Scope3_Other[[#Headers],[Category]], 0, 2)</f>
        <v>Maize grain (for seed)</v>
      </c>
      <c r="F205" s="20" t="str" cm="1">
        <f t="array" ref="F205">Common_InputFunctions.Utility_DisplayArrayInTable(Scope3_SourceData.Scope3_Other_Data(), Table_SourceData_Scope3_Other[[#Headers],[Category]], 0, 2)</f>
        <v>Australia</v>
      </c>
      <c r="G205" s="20" t="str" cm="1">
        <f t="array" ref="G205">Common_InputFunctions.Utility_DisplayArrayInTable(Scope3_SourceData.Scope3_Other_Data(), Table_SourceData_Scope3_Other[[#Headers],[Category]], 0, 2)</f>
        <v>kg</v>
      </c>
      <c r="H205" s="20" cm="1">
        <f t="array" ref="H205">Common_InputFunctions.Utility_DisplayArrayInTable(Scope3_SourceData.Scope3_Other_Data(), Table_SourceData_Scope3_Other[[#Headers],[Category]], 0, 2)</f>
        <v>0.18099999999999999</v>
      </c>
      <c r="I205" s="20" t="str" cm="1">
        <f t="array" ref="I205">Common_InputFunctions.Utility_DisplayArrayInTable(Scope3_SourceData.Scope3_Other_Data(), Table_SourceData_Scope3_Other[[#Headers],[Category]], 0, 2)</f>
        <v>at market</v>
      </c>
      <c r="J205" s="20" t="s">
        <v>990</v>
      </c>
    </row>
    <row r="206" spans="1:14" ht="20.100000000000001" customHeight="1" x14ac:dyDescent="0.2">
      <c r="D206" s="20" t="str" cm="1">
        <f t="array" ref="D206">Common_InputFunctions.Utility_DisplayArrayInTable(Scope3_SourceData.Scope3_Other_Data(), Table_SourceData_Scope3_Other[[#Headers],[Category]], 0, 2)</f>
        <v>Other</v>
      </c>
      <c r="E206" s="20" t="str" cm="1">
        <f t="array" ref="E206">Common_InputFunctions.Utility_DisplayArrayInTable(Scope3_SourceData.Scope3_Other_Data(), Table_SourceData_Scope3_Other[[#Headers],[Category]], 0, 2)</f>
        <v>Nylon netting</v>
      </c>
      <c r="F206" s="20" t="str" cm="1">
        <f t="array" ref="F206">Common_InputFunctions.Utility_DisplayArrayInTable(Scope3_SourceData.Scope3_Other_Data(), Table_SourceData_Scope3_Other[[#Headers],[Category]], 0, 2)</f>
        <v>Global</v>
      </c>
      <c r="G206" s="20" t="str" cm="1">
        <f t="array" ref="G206">Common_InputFunctions.Utility_DisplayArrayInTable(Scope3_SourceData.Scope3_Other_Data(), Table_SourceData_Scope3_Other[[#Headers],[Category]], 0, 2)</f>
        <v>kg</v>
      </c>
      <c r="H206" s="20" cm="1">
        <f t="array" ref="H206">Common_InputFunctions.Utility_DisplayArrayInTable(Scope3_SourceData.Scope3_Other_Data(), Table_SourceData_Scope3_Other[[#Headers],[Category]], 0, 2)</f>
        <v>9.81</v>
      </c>
      <c r="I206" s="20" t="str" cm="1">
        <f t="array" ref="I206">Common_InputFunctions.Utility_DisplayArrayInTable(Scope3_SourceData.Scope3_Other_Data(), Table_SourceData_Scope3_Other[[#Headers],[Category]], 0, 2)</f>
        <v>at market</v>
      </c>
      <c r="J206" s="20" t="s">
        <v>990</v>
      </c>
    </row>
    <row r="207" spans="1:14" ht="20.100000000000001" customHeight="1" x14ac:dyDescent="0.2">
      <c r="D207" s="20" t="str" cm="1">
        <f t="array" ref="D207">Common_InputFunctions.Utility_DisplayArrayInTable(Scope3_SourceData.Scope3_Other_Data(), Table_SourceData_Scope3_Other[[#Headers],[Category]], 0, 2)</f>
        <v>Other</v>
      </c>
      <c r="E207" s="20" t="str" cm="1">
        <f t="array" ref="E207">Common_InputFunctions.Utility_DisplayArrayInTable(Scope3_SourceData.Scope3_Other_Data(), Table_SourceData_Scope3_Other[[#Headers],[Category]], 0, 2)</f>
        <v>Oat grain (for seed)</v>
      </c>
      <c r="F207" s="20" t="str" cm="1">
        <f t="array" ref="F207">Common_InputFunctions.Utility_DisplayArrayInTable(Scope3_SourceData.Scope3_Other_Data(), Table_SourceData_Scope3_Other[[#Headers],[Category]], 0, 2)</f>
        <v>Australia</v>
      </c>
      <c r="G207" s="20" t="str" cm="1">
        <f t="array" ref="G207">Common_InputFunctions.Utility_DisplayArrayInTable(Scope3_SourceData.Scope3_Other_Data(), Table_SourceData_Scope3_Other[[#Headers],[Category]], 0, 2)</f>
        <v>kg</v>
      </c>
      <c r="H207" s="20" cm="1">
        <f t="array" ref="H207">Common_InputFunctions.Utility_DisplayArrayInTable(Scope3_SourceData.Scope3_Other_Data(), Table_SourceData_Scope3_Other[[#Headers],[Category]], 0, 2)</f>
        <v>0.27</v>
      </c>
      <c r="I207" s="20" t="str" cm="1">
        <f t="array" ref="I207">Common_InputFunctions.Utility_DisplayArrayInTable(Scope3_SourceData.Scope3_Other_Data(), Table_SourceData_Scope3_Other[[#Headers],[Category]], 0, 2)</f>
        <v>at market</v>
      </c>
      <c r="J207" s="20" t="s">
        <v>990</v>
      </c>
    </row>
    <row r="208" spans="1:14" ht="20.100000000000001" customHeight="1" x14ac:dyDescent="0.2">
      <c r="A208" s="81" t="str">
        <f>HYPERLINK("#A1", "▲ Back to top")</f>
        <v>▲ Back to top</v>
      </c>
      <c r="D208" s="20" t="str" cm="1">
        <f t="array" ref="D208">Common_InputFunctions.Utility_DisplayArrayInTable(Scope3_SourceData.Scope3_Other_Data(), Table_SourceData_Scope3_Other[[#Headers],[Category]], 0, 2)</f>
        <v>Other</v>
      </c>
      <c r="E208" s="20" t="str" cm="1">
        <f t="array" ref="E208">Common_InputFunctions.Utility_DisplayArrayInTable(Scope3_SourceData.Scope3_Other_Data(), Table_SourceData_Scope3_Other[[#Headers],[Category]], 0, 2)</f>
        <v>Sorghum grain (for seed)</v>
      </c>
      <c r="F208" s="20" t="str" cm="1">
        <f t="array" ref="F208">Common_InputFunctions.Utility_DisplayArrayInTable(Scope3_SourceData.Scope3_Other_Data(), Table_SourceData_Scope3_Other[[#Headers],[Category]], 0, 2)</f>
        <v>Australia</v>
      </c>
      <c r="G208" s="20" t="str" cm="1">
        <f t="array" ref="G208">Common_InputFunctions.Utility_DisplayArrayInTable(Scope3_SourceData.Scope3_Other_Data(), Table_SourceData_Scope3_Other[[#Headers],[Category]], 0, 2)</f>
        <v>kg</v>
      </c>
      <c r="H208" s="20" cm="1">
        <f t="array" ref="H208">Common_InputFunctions.Utility_DisplayArrayInTable(Scope3_SourceData.Scope3_Other_Data(), Table_SourceData_Scope3_Other[[#Headers],[Category]], 0, 2)</f>
        <v>0.23200000000000001</v>
      </c>
      <c r="I208" s="20" t="str" cm="1">
        <f t="array" ref="I208">Common_InputFunctions.Utility_DisplayArrayInTable(Scope3_SourceData.Scope3_Other_Data(), Table_SourceData_Scope3_Other[[#Headers],[Category]], 0, 2)</f>
        <v>at market</v>
      </c>
      <c r="J208" s="20" t="s">
        <v>990</v>
      </c>
    </row>
    <row r="209" spans="4:10" ht="20.100000000000001" customHeight="1" x14ac:dyDescent="0.2">
      <c r="D209" s="20" t="str" cm="1">
        <f t="array" ref="D209">Common_InputFunctions.Utility_DisplayArrayInTable(Scope3_SourceData.Scope3_Other_Data(), Table_SourceData_Scope3_Other[[#Headers],[Category]], 0, 2)</f>
        <v>Other</v>
      </c>
      <c r="E209" s="20" t="str" cm="1">
        <f t="array" ref="E209">Common_InputFunctions.Utility_DisplayArrayInTable(Scope3_SourceData.Scope3_Other_Data(), Table_SourceData_Scope3_Other[[#Headers],[Category]], 0, 2)</f>
        <v>Wheat grain (for seed)</v>
      </c>
      <c r="F209" s="20" t="str" cm="1">
        <f t="array" ref="F209">Common_InputFunctions.Utility_DisplayArrayInTable(Scope3_SourceData.Scope3_Other_Data(), Table_SourceData_Scope3_Other[[#Headers],[Category]], 0, 2)</f>
        <v>Australia</v>
      </c>
      <c r="G209" s="20" t="str" cm="1">
        <f t="array" ref="G209">Common_InputFunctions.Utility_DisplayArrayInTable(Scope3_SourceData.Scope3_Other_Data(), Table_SourceData_Scope3_Other[[#Headers],[Category]], 0, 2)</f>
        <v>kg</v>
      </c>
      <c r="H209" s="20" cm="1">
        <f t="array" ref="H209">Common_InputFunctions.Utility_DisplayArrayInTable(Scope3_SourceData.Scope3_Other_Data(), Table_SourceData_Scope3_Other[[#Headers],[Category]], 0, 2)</f>
        <v>0.26800000000000002</v>
      </c>
      <c r="I209" s="20" t="str" cm="1">
        <f t="array" ref="I209">Common_InputFunctions.Utility_DisplayArrayInTable(Scope3_SourceData.Scope3_Other_Data(), Table_SourceData_Scope3_Other[[#Headers],[Category]], 0, 2)</f>
        <v>at market</v>
      </c>
      <c r="J209" s="20" t="s">
        <v>990</v>
      </c>
    </row>
    <row r="211" spans="4:10" ht="20.100000000000001" customHeight="1" x14ac:dyDescent="0.2">
      <c r="D211" s="2" t="s">
        <v>1015</v>
      </c>
    </row>
    <row r="212" spans="4:10" ht="20.100000000000001" customHeight="1" x14ac:dyDescent="0.2">
      <c r="D212" s="20" t="s">
        <v>983</v>
      </c>
      <c r="E212" s="20" t="s">
        <v>130</v>
      </c>
      <c r="F212" s="20" t="s">
        <v>984</v>
      </c>
      <c r="G212" s="20" t="s">
        <v>985</v>
      </c>
      <c r="H212" s="20" t="s">
        <v>986</v>
      </c>
      <c r="I212" s="20" t="s">
        <v>987</v>
      </c>
      <c r="J212" s="20" t="s">
        <v>498</v>
      </c>
    </row>
    <row r="213" spans="4:10" ht="20.100000000000001" customHeight="1" x14ac:dyDescent="0.2">
      <c r="D213" s="20" t="str" cm="1">
        <f t="array" ref="D213">Common_InputFunctions.Utility_DisplayArrayInTable(Scope3_SourceData.Scope3_Packaging_Data(), Table_SourceData_Scope3_Packaging[[#Headers],[Category]], 0, 2)</f>
        <v>Packaging</v>
      </c>
      <c r="E213" s="20" t="str" cm="1">
        <f t="array" ref="E213">Common_InputFunctions.Utility_DisplayArrayInTable(Scope3_SourceData.Scope3_Packaging_Data(), Table_SourceData_Scope3_Packaging[[#Headers],[Category]], 0, 2)</f>
        <v>Corrugated board</v>
      </c>
      <c r="F213" s="20" t="str" cm="1">
        <f t="array" ref="F213">Common_InputFunctions.Utility_DisplayArrayInTable(Scope3_SourceData.Scope3_Packaging_Data(), Table_SourceData_Scope3_Packaging[[#Headers],[Category]], 0, 2)</f>
        <v>Global</v>
      </c>
      <c r="G213" s="20" t="str" cm="1">
        <f t="array" ref="G213">Common_InputFunctions.Utility_DisplayArrayInTable(Scope3_SourceData.Scope3_Packaging_Data(), Table_SourceData_Scope3_Packaging[[#Headers],[Category]], 0, 2)</f>
        <v>kg</v>
      </c>
      <c r="H213" s="20" cm="1">
        <f t="array" ref="H213">Common_InputFunctions.Utility_DisplayArrayInTable(Scope3_SourceData.Scope3_Packaging_Data(), Table_SourceData_Scope3_Packaging[[#Headers],[Category]], 0, 2)</f>
        <v>1.05</v>
      </c>
      <c r="I213" s="20" t="str" cm="1">
        <f t="array" ref="I213">Common_InputFunctions.Utility_DisplayArrayInTable(Scope3_SourceData.Scope3_Packaging_Data(), Table_SourceData_Scope3_Packaging[[#Headers],[Category]], 0, 2)</f>
        <v>at manufacturer</v>
      </c>
      <c r="J213" s="20" t="s">
        <v>990</v>
      </c>
    </row>
    <row r="214" spans="4:10" ht="20.100000000000001" customHeight="1" x14ac:dyDescent="0.2">
      <c r="D214" s="20" t="str" cm="1">
        <f t="array" ref="D214">Common_InputFunctions.Utility_DisplayArrayInTable(Scope3_SourceData.Scope3_Packaging_Data(), Table_SourceData_Scope3_Packaging[[#Headers],[Category]], 0, 2)</f>
        <v>Packaging</v>
      </c>
      <c r="E214" s="20" t="str" cm="1">
        <f t="array" ref="E214">Common_InputFunctions.Utility_DisplayArrayInTable(Scope3_SourceData.Scope3_Packaging_Data(), Table_SourceData_Scope3_Packaging[[#Headers],[Category]], 0, 2)</f>
        <v>Plastic crate polypropylene</v>
      </c>
      <c r="F214" s="20" t="str" cm="1">
        <f t="array" ref="F214">Common_InputFunctions.Utility_DisplayArrayInTable(Scope3_SourceData.Scope3_Packaging_Data(), Table_SourceData_Scope3_Packaging[[#Headers],[Category]], 0, 2)</f>
        <v>Global</v>
      </c>
      <c r="G214" s="20" t="str" cm="1">
        <f t="array" ref="G214">Common_InputFunctions.Utility_DisplayArrayInTable(Scope3_SourceData.Scope3_Packaging_Data(), Table_SourceData_Scope3_Packaging[[#Headers],[Category]], 0, 2)</f>
        <v>p</v>
      </c>
      <c r="H214" s="20" cm="1">
        <f t="array" ref="H214">Common_InputFunctions.Utility_DisplayArrayInTable(Scope3_SourceData.Scope3_Packaging_Data(), Table_SourceData_Scope3_Packaging[[#Headers],[Category]], 0, 2)</f>
        <v>3.99</v>
      </c>
      <c r="I214" s="20" t="str" cm="1">
        <f t="array" ref="I214">Common_InputFunctions.Utility_DisplayArrayInTable(Scope3_SourceData.Scope3_Packaging_Data(), Table_SourceData_Scope3_Packaging[[#Headers],[Category]], 0, 2)</f>
        <v>at manufacturer</v>
      </c>
      <c r="J214" s="20" t="s">
        <v>990</v>
      </c>
    </row>
    <row r="215" spans="4:10" ht="20.100000000000001" customHeight="1" x14ac:dyDescent="0.2">
      <c r="D215" s="20" t="str" cm="1">
        <f t="array" ref="D215">Common_InputFunctions.Utility_DisplayArrayInTable(Scope3_SourceData.Scope3_Packaging_Data(), Table_SourceData_Scope3_Packaging[[#Headers],[Category]], 0, 2)</f>
        <v>Packaging</v>
      </c>
      <c r="E215" s="20" t="str" cm="1">
        <f t="array" ref="E215">Common_InputFunctions.Utility_DisplayArrayInTable(Scope3_SourceData.Scope3_Packaging_Data(), Table_SourceData_Scope3_Packaging[[#Headers],[Category]], 0, 2)</f>
        <v>Plastic film LDPE</v>
      </c>
      <c r="F215" s="20" t="str" cm="1">
        <f t="array" ref="F215">Common_InputFunctions.Utility_DisplayArrayInTable(Scope3_SourceData.Scope3_Packaging_Data(), Table_SourceData_Scope3_Packaging[[#Headers],[Category]], 0, 2)</f>
        <v>Global</v>
      </c>
      <c r="G215" s="20" t="str" cm="1">
        <f t="array" ref="G215">Common_InputFunctions.Utility_DisplayArrayInTable(Scope3_SourceData.Scope3_Packaging_Data(), Table_SourceData_Scope3_Packaging[[#Headers],[Category]], 0, 2)</f>
        <v>kg</v>
      </c>
      <c r="H215" s="20" cm="1">
        <f t="array" ref="H215">Common_InputFunctions.Utility_DisplayArrayInTable(Scope3_SourceData.Scope3_Packaging_Data(), Table_SourceData_Scope3_Packaging[[#Headers],[Category]], 0, 2)</f>
        <v>3.44</v>
      </c>
      <c r="I215" s="20" t="str" cm="1">
        <f t="array" ref="I215">Common_InputFunctions.Utility_DisplayArrayInTable(Scope3_SourceData.Scope3_Packaging_Data(), Table_SourceData_Scope3_Packaging[[#Headers],[Category]], 0, 2)</f>
        <v>at manufacturer</v>
      </c>
      <c r="J215" s="20" t="s">
        <v>990</v>
      </c>
    </row>
    <row r="216" spans="4:10" ht="20.100000000000001" customHeight="1" x14ac:dyDescent="0.2">
      <c r="D216" s="20" t="str" cm="1">
        <f t="array" ref="D216">Common_InputFunctions.Utility_DisplayArrayInTable(Scope3_SourceData.Scope3_Packaging_Data(), Table_SourceData_Scope3_Packaging[[#Headers],[Category]], 0, 2)</f>
        <v>Packaging</v>
      </c>
      <c r="E216" s="20" t="str" cm="1">
        <f t="array" ref="E216">Common_InputFunctions.Utility_DisplayArrayInTable(Scope3_SourceData.Scope3_Packaging_Data(), Table_SourceData_Scope3_Packaging[[#Headers],[Category]], 0, 2)</f>
        <v>Plastic sheet HDPE</v>
      </c>
      <c r="F216" s="20" t="str" cm="1">
        <f t="array" ref="F216">Common_InputFunctions.Utility_DisplayArrayInTable(Scope3_SourceData.Scope3_Packaging_Data(), Table_SourceData_Scope3_Packaging[[#Headers],[Category]], 0, 2)</f>
        <v>Global</v>
      </c>
      <c r="G216" s="20" t="str" cm="1">
        <f t="array" ref="G216">Common_InputFunctions.Utility_DisplayArrayInTable(Scope3_SourceData.Scope3_Packaging_Data(), Table_SourceData_Scope3_Packaging[[#Headers],[Category]], 0, 2)</f>
        <v>kg</v>
      </c>
      <c r="H216" s="20" cm="1">
        <f t="array" ref="H216">Common_InputFunctions.Utility_DisplayArrayInTable(Scope3_SourceData.Scope3_Packaging_Data(), Table_SourceData_Scope3_Packaging[[#Headers],[Category]], 0, 2)</f>
        <v>3.72</v>
      </c>
      <c r="I216" s="20" t="str" cm="1">
        <f t="array" ref="I216">Common_InputFunctions.Utility_DisplayArrayInTable(Scope3_SourceData.Scope3_Packaging_Data(), Table_SourceData_Scope3_Packaging[[#Headers],[Category]], 0, 2)</f>
        <v>at manufacturer</v>
      </c>
      <c r="J216" s="20" t="s">
        <v>990</v>
      </c>
    </row>
    <row r="218" spans="4:10" ht="20.100000000000001" customHeight="1" x14ac:dyDescent="0.2">
      <c r="D218" s="2" t="s">
        <v>813</v>
      </c>
    </row>
    <row r="219" spans="4:10" ht="20.100000000000001" customHeight="1" x14ac:dyDescent="0.2">
      <c r="D219" s="20" t="s">
        <v>983</v>
      </c>
      <c r="E219" s="20" t="s">
        <v>130</v>
      </c>
      <c r="F219" s="20" t="s">
        <v>984</v>
      </c>
      <c r="G219" s="20" t="s">
        <v>985</v>
      </c>
      <c r="H219" s="20" t="s">
        <v>986</v>
      </c>
      <c r="I219" s="20" t="s">
        <v>987</v>
      </c>
      <c r="J219" s="20" t="s">
        <v>498</v>
      </c>
    </row>
    <row r="220" spans="4:10" ht="20.100000000000001" customHeight="1" x14ac:dyDescent="0.2">
      <c r="D220" s="20" t="str" cm="1">
        <f t="array" ref="D220">Common_InputFunctions.Utility_DisplayArrayInTable(Scope3_SourceData.Scope3_Pesticides_Data(), Table_SourceData_Scope3_Pesticides[[#Headers],[Category]], 0, 2)</f>
        <v>Pesticides</v>
      </c>
      <c r="E220" s="20" t="str" cm="1">
        <f t="array" ref="E220">Common_InputFunctions.Utility_DisplayArrayInTable(Scope3_SourceData.Scope3_Pesticides_Data(), Table_SourceData_Scope3_Pesticides[[#Headers],[Category]], 0, 2)</f>
        <v>2,4-D</v>
      </c>
      <c r="F220" s="20" t="str" cm="1">
        <f t="array" ref="F220">Common_InputFunctions.Utility_DisplayArrayInTable(Scope3_SourceData.Scope3_Pesticides_Data(), Table_SourceData_Scope3_Pesticides[[#Headers],[Category]], 0, 2)</f>
        <v>Global</v>
      </c>
      <c r="G220" s="20" t="str" cm="1">
        <f t="array" ref="G220">Common_InputFunctions.Utility_DisplayArrayInTable(Scope3_SourceData.Scope3_Pesticides_Data(), Table_SourceData_Scope3_Pesticides[[#Headers],[Category]], 0, 2)</f>
        <v>kg AI</v>
      </c>
      <c r="H220" s="20" cm="1">
        <f t="array" ref="H220">Common_InputFunctions.Utility_DisplayArrayInTable(Scope3_SourceData.Scope3_Pesticides_Data(), Table_SourceData_Scope3_Pesticides[[#Headers],[Category]], 0, 2)</f>
        <v>5.2</v>
      </c>
      <c r="I220" s="20" t="str" cm="1">
        <f t="array" ref="I220">Common_InputFunctions.Utility_DisplayArrayInTable(Scope3_SourceData.Scope3_Pesticides_Data(), Table_SourceData_Scope3_Pesticides[[#Headers],[Category]], 0, 2)</f>
        <v>at market</v>
      </c>
      <c r="J220" s="20" t="s">
        <v>990</v>
      </c>
    </row>
    <row r="221" spans="4:10" ht="20.100000000000001" customHeight="1" x14ac:dyDescent="0.2">
      <c r="D221" s="20" t="str" cm="1">
        <f t="array" ref="D221">Common_InputFunctions.Utility_DisplayArrayInTable(Scope3_SourceData.Scope3_Pesticides_Data(), Table_SourceData_Scope3_Pesticides[[#Headers],[Category]], 0, 2)</f>
        <v>Pesticides</v>
      </c>
      <c r="E221" s="20" t="str" cm="1">
        <f t="array" ref="E221">Common_InputFunctions.Utility_DisplayArrayInTable(Scope3_SourceData.Scope3_Pesticides_Data(), Table_SourceData_Scope3_Pesticides[[#Headers],[Category]], 0, 2)</f>
        <v>Atrazine</v>
      </c>
      <c r="F221" s="20" t="str" cm="1">
        <f t="array" ref="F221">Common_InputFunctions.Utility_DisplayArrayInTable(Scope3_SourceData.Scope3_Pesticides_Data(), Table_SourceData_Scope3_Pesticides[[#Headers],[Category]], 0, 2)</f>
        <v>Global</v>
      </c>
      <c r="G221" s="20" t="str" cm="1">
        <f t="array" ref="G221">Common_InputFunctions.Utility_DisplayArrayInTable(Scope3_SourceData.Scope3_Pesticides_Data(), Table_SourceData_Scope3_Pesticides[[#Headers],[Category]], 0, 2)</f>
        <v>kg AI</v>
      </c>
      <c r="H221" s="20" cm="1">
        <f t="array" ref="H221">Common_InputFunctions.Utility_DisplayArrayInTable(Scope3_SourceData.Scope3_Pesticides_Data(), Table_SourceData_Scope3_Pesticides[[#Headers],[Category]], 0, 2)</f>
        <v>8.3800000000000008</v>
      </c>
      <c r="I221" s="20" t="str" cm="1">
        <f t="array" ref="I221">Common_InputFunctions.Utility_DisplayArrayInTable(Scope3_SourceData.Scope3_Pesticides_Data(), Table_SourceData_Scope3_Pesticides[[#Headers],[Category]], 0, 2)</f>
        <v>at market</v>
      </c>
      <c r="J221" s="20" t="s">
        <v>990</v>
      </c>
    </row>
    <row r="222" spans="4:10" ht="20.100000000000001" customHeight="1" x14ac:dyDescent="0.2">
      <c r="D222" s="20" t="str" cm="1">
        <f t="array" ref="D222">Common_InputFunctions.Utility_DisplayArrayInTable(Scope3_SourceData.Scope3_Pesticides_Data(), Table_SourceData_Scope3_Pesticides[[#Headers],[Category]], 0, 2)</f>
        <v>Pesticides</v>
      </c>
      <c r="E222" s="20" t="str" cm="1">
        <f t="array" ref="E222">Common_InputFunctions.Utility_DisplayArrayInTable(Scope3_SourceData.Scope3_Pesticides_Data(), Table_SourceData_Scope3_Pesticides[[#Headers],[Category]], 0, 2)</f>
        <v>Diuron</v>
      </c>
      <c r="F222" s="20" t="str" cm="1">
        <f t="array" ref="F222">Common_InputFunctions.Utility_DisplayArrayInTable(Scope3_SourceData.Scope3_Pesticides_Data(), Table_SourceData_Scope3_Pesticides[[#Headers],[Category]], 0, 2)</f>
        <v>Global</v>
      </c>
      <c r="G222" s="20" t="str" cm="1">
        <f t="array" ref="G222">Common_InputFunctions.Utility_DisplayArrayInTable(Scope3_SourceData.Scope3_Pesticides_Data(), Table_SourceData_Scope3_Pesticides[[#Headers],[Category]], 0, 2)</f>
        <v>kg AI</v>
      </c>
      <c r="H222" s="20" cm="1">
        <f t="array" ref="H222">Common_InputFunctions.Utility_DisplayArrayInTable(Scope3_SourceData.Scope3_Pesticides_Data(), Table_SourceData_Scope3_Pesticides[[#Headers],[Category]], 0, 2)</f>
        <v>8.8000000000000007</v>
      </c>
      <c r="I222" s="20" t="str" cm="1">
        <f t="array" ref="I222">Common_InputFunctions.Utility_DisplayArrayInTable(Scope3_SourceData.Scope3_Pesticides_Data(), Table_SourceData_Scope3_Pesticides[[#Headers],[Category]], 0, 2)</f>
        <v>at market</v>
      </c>
      <c r="J222" s="20" t="s">
        <v>990</v>
      </c>
    </row>
    <row r="223" spans="4:10" ht="20.100000000000001" customHeight="1" x14ac:dyDescent="0.2">
      <c r="D223" s="20" t="str" cm="1">
        <f t="array" ref="D223">Common_InputFunctions.Utility_DisplayArrayInTable(Scope3_SourceData.Scope3_Pesticides_Data(), Table_SourceData_Scope3_Pesticides[[#Headers],[Category]], 0, 2)</f>
        <v>Pesticides</v>
      </c>
      <c r="E223" s="20" t="str" cm="1">
        <f t="array" ref="E223">Common_InputFunctions.Utility_DisplayArrayInTable(Scope3_SourceData.Scope3_Pesticides_Data(), Table_SourceData_Scope3_Pesticides[[#Headers],[Category]], 0, 2)</f>
        <v>Glyphosate</v>
      </c>
      <c r="F223" s="20" t="str" cm="1">
        <f t="array" ref="F223">Common_InputFunctions.Utility_DisplayArrayInTable(Scope3_SourceData.Scope3_Pesticides_Data(), Table_SourceData_Scope3_Pesticides[[#Headers],[Category]], 0, 2)</f>
        <v>Global</v>
      </c>
      <c r="G223" s="20" t="str" cm="1">
        <f t="array" ref="G223">Common_InputFunctions.Utility_DisplayArrayInTable(Scope3_SourceData.Scope3_Pesticides_Data(), Table_SourceData_Scope3_Pesticides[[#Headers],[Category]], 0, 2)</f>
        <v>kg AI</v>
      </c>
      <c r="H223" s="20" cm="1">
        <f t="array" ref="H223">Common_InputFunctions.Utility_DisplayArrayInTable(Scope3_SourceData.Scope3_Pesticides_Data(), Table_SourceData_Scope3_Pesticides[[#Headers],[Category]], 0, 2)</f>
        <v>10.3</v>
      </c>
      <c r="I223" s="20" t="str" cm="1">
        <f t="array" ref="I223">Common_InputFunctions.Utility_DisplayArrayInTable(Scope3_SourceData.Scope3_Pesticides_Data(), Table_SourceData_Scope3_Pesticides[[#Headers],[Category]], 0, 2)</f>
        <v>at market</v>
      </c>
      <c r="J223" s="20" t="s">
        <v>990</v>
      </c>
    </row>
    <row r="224" spans="4:10" ht="20.100000000000001" customHeight="1" x14ac:dyDescent="0.2">
      <c r="D224" s="20" t="str" cm="1">
        <f t="array" ref="D224">Common_InputFunctions.Utility_DisplayArrayInTable(Scope3_SourceData.Scope3_Pesticides_Data(), Table_SourceData_Scope3_Pesticides[[#Headers],[Category]], 0, 2)</f>
        <v>Pesticides</v>
      </c>
      <c r="E224" s="20" t="str" cm="1">
        <f t="array" ref="E224">Common_InputFunctions.Utility_DisplayArrayInTable(Scope3_SourceData.Scope3_Pesticides_Data(), Table_SourceData_Scope3_Pesticides[[#Headers],[Category]], 0, 2)</f>
        <v>Mancozeb</v>
      </c>
      <c r="F224" s="20" t="str" cm="1">
        <f t="array" ref="F224">Common_InputFunctions.Utility_DisplayArrayInTable(Scope3_SourceData.Scope3_Pesticides_Data(), Table_SourceData_Scope3_Pesticides[[#Headers],[Category]], 0, 2)</f>
        <v>Global</v>
      </c>
      <c r="G224" s="20" t="str" cm="1">
        <f t="array" ref="G224">Common_InputFunctions.Utility_DisplayArrayInTable(Scope3_SourceData.Scope3_Pesticides_Data(), Table_SourceData_Scope3_Pesticides[[#Headers],[Category]], 0, 2)</f>
        <v>kg AI</v>
      </c>
      <c r="H224" s="20" cm="1">
        <f t="array" ref="H224">Common_InputFunctions.Utility_DisplayArrayInTable(Scope3_SourceData.Scope3_Pesticides_Data(), Table_SourceData_Scope3_Pesticides[[#Headers],[Category]], 0, 2)</f>
        <v>4.55</v>
      </c>
      <c r="I224" s="20" t="str" cm="1">
        <f t="array" ref="I224">Common_InputFunctions.Utility_DisplayArrayInTable(Scope3_SourceData.Scope3_Pesticides_Data(), Table_SourceData_Scope3_Pesticides[[#Headers],[Category]], 0, 2)</f>
        <v>at market</v>
      </c>
      <c r="J224" s="20" t="s">
        <v>990</v>
      </c>
    </row>
    <row r="225" spans="1:10" ht="20.100000000000001" customHeight="1" x14ac:dyDescent="0.2">
      <c r="D225" s="20" t="str" cm="1">
        <f t="array" ref="D225">Common_InputFunctions.Utility_DisplayArrayInTable(Scope3_SourceData.Scope3_Pesticides_Data(), Table_SourceData_Scope3_Pesticides[[#Headers],[Category]], 0, 2)</f>
        <v>Pesticides</v>
      </c>
      <c r="E225" s="20" t="str" cm="1">
        <f t="array" ref="E225">Common_InputFunctions.Utility_DisplayArrayInTable(Scope3_SourceData.Scope3_Pesticides_Data(), Table_SourceData_Scope3_Pesticides[[#Headers],[Category]], 0, 2)</f>
        <v>MCPA</v>
      </c>
      <c r="F225" s="20" t="str" cm="1">
        <f t="array" ref="F225">Common_InputFunctions.Utility_DisplayArrayInTable(Scope3_SourceData.Scope3_Pesticides_Data(), Table_SourceData_Scope3_Pesticides[[#Headers],[Category]], 0, 2)</f>
        <v>Global</v>
      </c>
      <c r="G225" s="20" t="str" cm="1">
        <f t="array" ref="G225">Common_InputFunctions.Utility_DisplayArrayInTable(Scope3_SourceData.Scope3_Pesticides_Data(), Table_SourceData_Scope3_Pesticides[[#Headers],[Category]], 0, 2)</f>
        <v>kg AI</v>
      </c>
      <c r="H225" s="20" cm="1">
        <f t="array" ref="H225">Common_InputFunctions.Utility_DisplayArrayInTable(Scope3_SourceData.Scope3_Pesticides_Data(), Table_SourceData_Scope3_Pesticides[[#Headers],[Category]], 0, 2)</f>
        <v>5.6</v>
      </c>
      <c r="I225" s="20" t="str" cm="1">
        <f t="array" ref="I225">Common_InputFunctions.Utility_DisplayArrayInTable(Scope3_SourceData.Scope3_Pesticides_Data(), Table_SourceData_Scope3_Pesticides[[#Headers],[Category]], 0, 2)</f>
        <v>at market</v>
      </c>
      <c r="J225" s="20" t="s">
        <v>990</v>
      </c>
    </row>
    <row r="226" spans="1:10" ht="20.100000000000001" customHeight="1" x14ac:dyDescent="0.2">
      <c r="D226" s="20" t="str" cm="1">
        <f t="array" ref="D226">Common_InputFunctions.Utility_DisplayArrayInTable(Scope3_SourceData.Scope3_Pesticides_Data(), Table_SourceData_Scope3_Pesticides[[#Headers],[Category]], 0, 2)</f>
        <v>Pesticides</v>
      </c>
      <c r="E226" s="20" t="str" cm="1">
        <f t="array" ref="E226">Common_InputFunctions.Utility_DisplayArrayInTable(Scope3_SourceData.Scope3_Pesticides_Data(), Table_SourceData_Scope3_Pesticides[[#Headers],[Category]], 0, 2)</f>
        <v>Metolachlor</v>
      </c>
      <c r="F226" s="20" t="str" cm="1">
        <f t="array" ref="F226">Common_InputFunctions.Utility_DisplayArrayInTable(Scope3_SourceData.Scope3_Pesticides_Data(), Table_SourceData_Scope3_Pesticides[[#Headers],[Category]], 0, 2)</f>
        <v>Global</v>
      </c>
      <c r="G226" s="20" t="str" cm="1">
        <f t="array" ref="G226">Common_InputFunctions.Utility_DisplayArrayInTable(Scope3_SourceData.Scope3_Pesticides_Data(), Table_SourceData_Scope3_Pesticides[[#Headers],[Category]], 0, 2)</f>
        <v>kg AI</v>
      </c>
      <c r="H226" s="20" cm="1">
        <f t="array" ref="H226">Common_InputFunctions.Utility_DisplayArrayInTable(Scope3_SourceData.Scope3_Pesticides_Data(), Table_SourceData_Scope3_Pesticides[[#Headers],[Category]], 0, 2)</f>
        <v>8.06</v>
      </c>
      <c r="I226" s="20" t="str" cm="1">
        <f t="array" ref="I226">Common_InputFunctions.Utility_DisplayArrayInTable(Scope3_SourceData.Scope3_Pesticides_Data(), Table_SourceData_Scope3_Pesticides[[#Headers],[Category]], 0, 2)</f>
        <v>at market</v>
      </c>
      <c r="J226" s="20" t="s">
        <v>990</v>
      </c>
    </row>
    <row r="227" spans="1:10" ht="20.100000000000001" customHeight="1" x14ac:dyDescent="0.2">
      <c r="D227" s="20" t="str" cm="1">
        <f t="array" ref="D227">Common_InputFunctions.Utility_DisplayArrayInTable(Scope3_SourceData.Scope3_Pesticides_Data(), Table_SourceData_Scope3_Pesticides[[#Headers],[Category]], 0, 2)</f>
        <v>Pesticides</v>
      </c>
      <c r="E227" s="20" t="str" cm="1">
        <f t="array" ref="E227">Common_InputFunctions.Utility_DisplayArrayInTable(Scope3_SourceData.Scope3_Pesticides_Data(), Table_SourceData_Scope3_Pesticides[[#Headers],[Category]], 0, 2)</f>
        <v>Metsulfuron-methyl</v>
      </c>
      <c r="F227" s="20" t="str" cm="1">
        <f t="array" ref="F227">Common_InputFunctions.Utility_DisplayArrayInTable(Scope3_SourceData.Scope3_Pesticides_Data(), Table_SourceData_Scope3_Pesticides[[#Headers],[Category]], 0, 2)</f>
        <v>Global</v>
      </c>
      <c r="G227" s="20" t="str" cm="1">
        <f t="array" ref="G227">Common_InputFunctions.Utility_DisplayArrayInTable(Scope3_SourceData.Scope3_Pesticides_Data(), Table_SourceData_Scope3_Pesticides[[#Headers],[Category]], 0, 2)</f>
        <v>kg AI</v>
      </c>
      <c r="H227" s="20" cm="1">
        <f t="array" ref="H227">Common_InputFunctions.Utility_DisplayArrayInTable(Scope3_SourceData.Scope3_Pesticides_Data(), Table_SourceData_Scope3_Pesticides[[#Headers],[Category]], 0, 2)</f>
        <v>8.8000000000000007</v>
      </c>
      <c r="I227" s="20" t="str" cm="1">
        <f t="array" ref="I227">Common_InputFunctions.Utility_DisplayArrayInTable(Scope3_SourceData.Scope3_Pesticides_Data(), Table_SourceData_Scope3_Pesticides[[#Headers],[Category]], 0, 2)</f>
        <v>at market</v>
      </c>
      <c r="J227" s="20" t="s">
        <v>990</v>
      </c>
    </row>
    <row r="228" spans="1:10" ht="20.100000000000001" customHeight="1" x14ac:dyDescent="0.2">
      <c r="D228" s="20" t="str" cm="1">
        <f t="array" ref="D228">Common_InputFunctions.Utility_DisplayArrayInTable(Scope3_SourceData.Scope3_Pesticides_Data(), Table_SourceData_Scope3_Pesticides[[#Headers],[Category]], 0, 2)</f>
        <v>Pesticides</v>
      </c>
      <c r="E228" s="20" t="str" cm="1">
        <f t="array" ref="E228">Common_InputFunctions.Utility_DisplayArrayInTable(Scope3_SourceData.Scope3_Pesticides_Data(), Table_SourceData_Scope3_Pesticides[[#Headers],[Category]], 0, 2)</f>
        <v>Pesticides (generic)</v>
      </c>
      <c r="F228" s="20" t="str" cm="1">
        <f t="array" ref="F228">Common_InputFunctions.Utility_DisplayArrayInTable(Scope3_SourceData.Scope3_Pesticides_Data(), Table_SourceData_Scope3_Pesticides[[#Headers],[Category]], 0, 2)</f>
        <v>Global</v>
      </c>
      <c r="G228" s="20" t="str" cm="1">
        <f t="array" ref="G228">Common_InputFunctions.Utility_DisplayArrayInTable(Scope3_SourceData.Scope3_Pesticides_Data(), Table_SourceData_Scope3_Pesticides[[#Headers],[Category]], 0, 2)</f>
        <v>kg AI</v>
      </c>
      <c r="H228" s="20" cm="1">
        <f t="array" ref="H228">Common_InputFunctions.Utility_DisplayArrayInTable(Scope3_SourceData.Scope3_Pesticides_Data(), Table_SourceData_Scope3_Pesticides[[#Headers],[Category]], 0, 2)</f>
        <v>9.16</v>
      </c>
      <c r="I228" s="20" t="str" cm="1">
        <f t="array" ref="I228">Common_InputFunctions.Utility_DisplayArrayInTable(Scope3_SourceData.Scope3_Pesticides_Data(), Table_SourceData_Scope3_Pesticides[[#Headers],[Category]], 0, 2)</f>
        <v>at market</v>
      </c>
      <c r="J228" s="20" t="s">
        <v>990</v>
      </c>
    </row>
    <row r="229" spans="1:10" ht="20.100000000000001" customHeight="1" x14ac:dyDescent="0.2">
      <c r="D229" s="20" t="str" cm="1">
        <f t="array" ref="D229">Common_InputFunctions.Utility_DisplayArrayInTable(Scope3_SourceData.Scope3_Pesticides_Data(), Table_SourceData_Scope3_Pesticides[[#Headers],[Category]], 0, 2)</f>
        <v>Pesticides</v>
      </c>
      <c r="E229" s="20" t="str" cm="1">
        <f t="array" ref="E229">Common_InputFunctions.Utility_DisplayArrayInTable(Scope3_SourceData.Scope3_Pesticides_Data(), Table_SourceData_Scope3_Pesticides[[#Headers],[Category]], 0, 2)</f>
        <v>Tri-allate</v>
      </c>
      <c r="F229" s="20" t="str" cm="1">
        <f t="array" ref="F229">Common_InputFunctions.Utility_DisplayArrayInTable(Scope3_SourceData.Scope3_Pesticides_Data(), Table_SourceData_Scope3_Pesticides[[#Headers],[Category]], 0, 2)</f>
        <v>Global</v>
      </c>
      <c r="G229" s="20" t="str" cm="1">
        <f t="array" ref="G229">Common_InputFunctions.Utility_DisplayArrayInTable(Scope3_SourceData.Scope3_Pesticides_Data(), Table_SourceData_Scope3_Pesticides[[#Headers],[Category]], 0, 2)</f>
        <v>kg AI</v>
      </c>
      <c r="H229" s="20" cm="1">
        <f t="array" ref="H229">Common_InputFunctions.Utility_DisplayArrayInTable(Scope3_SourceData.Scope3_Pesticides_Data(), Table_SourceData_Scope3_Pesticides[[#Headers],[Category]], 0, 2)</f>
        <v>8.57</v>
      </c>
      <c r="I229" s="20" t="str" cm="1">
        <f t="array" ref="I229">Common_InputFunctions.Utility_DisplayArrayInTable(Scope3_SourceData.Scope3_Pesticides_Data(), Table_SourceData_Scope3_Pesticides[[#Headers],[Category]], 0, 2)</f>
        <v>at market</v>
      </c>
      <c r="J229" s="20" t="s">
        <v>990</v>
      </c>
    </row>
    <row r="230" spans="1:10" ht="20.100000000000001" customHeight="1" x14ac:dyDescent="0.2">
      <c r="D230" s="20" t="str" cm="1">
        <f t="array" ref="D230">Common_InputFunctions.Utility_DisplayArrayInTable(Scope3_SourceData.Scope3_Pesticides_Data(), Table_SourceData_Scope3_Pesticides[[#Headers],[Category]], 0, 2)</f>
        <v>Pesticides</v>
      </c>
      <c r="E230" s="20" t="str" cm="1">
        <f t="array" ref="E230">Common_InputFunctions.Utility_DisplayArrayInTable(Scope3_SourceData.Scope3_Pesticides_Data(), Table_SourceData_Scope3_Pesticides[[#Headers],[Category]], 0, 2)</f>
        <v>Tribenuron methyl</v>
      </c>
      <c r="F230" s="20" t="str" cm="1">
        <f t="array" ref="F230">Common_InputFunctions.Utility_DisplayArrayInTable(Scope3_SourceData.Scope3_Pesticides_Data(), Table_SourceData_Scope3_Pesticides[[#Headers],[Category]], 0, 2)</f>
        <v>Global</v>
      </c>
      <c r="G230" s="20" t="str" cm="1">
        <f t="array" ref="G230">Common_InputFunctions.Utility_DisplayArrayInTable(Scope3_SourceData.Scope3_Pesticides_Data(), Table_SourceData_Scope3_Pesticides[[#Headers],[Category]], 0, 2)</f>
        <v>kg AI</v>
      </c>
      <c r="H230" s="20" cm="1">
        <f t="array" ref="H230">Common_InputFunctions.Utility_DisplayArrayInTable(Scope3_SourceData.Scope3_Pesticides_Data(), Table_SourceData_Scope3_Pesticides[[#Headers],[Category]], 0, 2)</f>
        <v>8.8000000000000007</v>
      </c>
      <c r="I230" s="20" t="str" cm="1">
        <f t="array" ref="I230">Common_InputFunctions.Utility_DisplayArrayInTable(Scope3_SourceData.Scope3_Pesticides_Data(), Table_SourceData_Scope3_Pesticides[[#Headers],[Category]], 0, 2)</f>
        <v>at market</v>
      </c>
      <c r="J230" s="20" t="s">
        <v>990</v>
      </c>
    </row>
    <row r="231" spans="1:10" ht="20.100000000000001" customHeight="1" x14ac:dyDescent="0.2">
      <c r="D231" s="20" t="str" cm="1">
        <f t="array" ref="D231">Common_InputFunctions.Utility_DisplayArrayInTable(Scope3_SourceData.Scope3_Pesticides_Data(), Table_SourceData_Scope3_Pesticides[[#Headers],[Category]], 0, 2)</f>
        <v>Pesticides</v>
      </c>
      <c r="E231" s="20" t="str" cm="1">
        <f t="array" ref="E231">Common_InputFunctions.Utility_DisplayArrayInTable(Scope3_SourceData.Scope3_Pesticides_Data(), Table_SourceData_Scope3_Pesticides[[#Headers],[Category]], 0, 2)</f>
        <v>Trifluralin</v>
      </c>
      <c r="F231" s="20" t="str" cm="1">
        <f t="array" ref="F231">Common_InputFunctions.Utility_DisplayArrayInTable(Scope3_SourceData.Scope3_Pesticides_Data(), Table_SourceData_Scope3_Pesticides[[#Headers],[Category]], 0, 2)</f>
        <v>Global</v>
      </c>
      <c r="G231" s="20" t="str" cm="1">
        <f t="array" ref="G231">Common_InputFunctions.Utility_DisplayArrayInTable(Scope3_SourceData.Scope3_Pesticides_Data(), Table_SourceData_Scope3_Pesticides[[#Headers],[Category]], 0, 2)</f>
        <v>kg AI</v>
      </c>
      <c r="H231" s="20" cm="1">
        <f t="array" ref="H231">Common_InputFunctions.Utility_DisplayArrayInTable(Scope3_SourceData.Scope3_Pesticides_Data(), Table_SourceData_Scope3_Pesticides[[#Headers],[Category]], 0, 2)</f>
        <v>6.16</v>
      </c>
      <c r="I231" s="20" t="str" cm="1">
        <f t="array" ref="I231">Common_InputFunctions.Utility_DisplayArrayInTable(Scope3_SourceData.Scope3_Pesticides_Data(), Table_SourceData_Scope3_Pesticides[[#Headers],[Category]], 0, 2)</f>
        <v>at market</v>
      </c>
      <c r="J231" s="20" t="s">
        <v>990</v>
      </c>
    </row>
    <row r="233" spans="1:10" ht="20.100000000000001" customHeight="1" x14ac:dyDescent="0.2">
      <c r="D233" s="2" t="s">
        <v>1016</v>
      </c>
    </row>
    <row r="234" spans="1:10" ht="20.100000000000001" customHeight="1" x14ac:dyDescent="0.2">
      <c r="D234" s="20" t="s">
        <v>983</v>
      </c>
      <c r="E234" s="20" t="s">
        <v>130</v>
      </c>
      <c r="F234" s="20" t="s">
        <v>984</v>
      </c>
      <c r="G234" s="20" t="s">
        <v>985</v>
      </c>
      <c r="H234" s="20" t="s">
        <v>986</v>
      </c>
      <c r="I234" s="20" t="s">
        <v>987</v>
      </c>
      <c r="J234" s="20" t="s">
        <v>498</v>
      </c>
    </row>
    <row r="235" spans="1:10" ht="20.100000000000001" customHeight="1" x14ac:dyDescent="0.2">
      <c r="D235" s="20" t="str" cm="1">
        <f t="array" ref="D235">Common_InputFunctions.Utility_DisplayArrayInTable(Scope3_SourceData.Scope3_SoilAmendments_Data(), Table_SourceData_Scope3_SoilAmeliorants[[#Headers],[Category]], 0, 2)</f>
        <v>Soil ameliorants</v>
      </c>
      <c r="E235" s="20" t="str" cm="1">
        <f t="array" ref="E235">Common_InputFunctions.Utility_DisplayArrayInTable(Scope3_SourceData.Scope3_SoilAmendments_Data(), Table_SourceData_Scope3_SoilAmeliorants[[#Headers],[Category]], 0, 2)</f>
        <v>Dolomite</v>
      </c>
      <c r="F235" s="20" t="str" cm="1">
        <f t="array" ref="F235">Common_InputFunctions.Utility_DisplayArrayInTable(Scope3_SourceData.Scope3_SoilAmendments_Data(), Table_SourceData_Scope3_SoilAmeliorants[[#Headers],[Category]], 0, 2)</f>
        <v>Australia</v>
      </c>
      <c r="G235" s="20" t="str" cm="1">
        <f t="array" ref="G235">Common_InputFunctions.Utility_DisplayArrayInTable(Scope3_SourceData.Scope3_SoilAmendments_Data(), Table_SourceData_Scope3_SoilAmeliorants[[#Headers],[Category]], 0, 2)</f>
        <v>kg</v>
      </c>
      <c r="H235" s="20" cm="1">
        <f t="array" ref="H235">Common_InputFunctions.Utility_DisplayArrayInTable(Scope3_SourceData.Scope3_SoilAmendments_Data(), Table_SourceData_Scope3_SoilAmeliorants[[#Headers],[Category]], 0, 2)</f>
        <v>6.5199999999999994E-2</v>
      </c>
      <c r="I235" s="20" t="str" cm="1">
        <f t="array" ref="I235">Common_InputFunctions.Utility_DisplayArrayInTable(Scope3_SourceData.Scope3_SoilAmendments_Data(), Table_SourceData_Scope3_SoilAmeliorants[[#Headers],[Category]], 0, 2)</f>
        <v>at market</v>
      </c>
      <c r="J235" s="20" t="s">
        <v>990</v>
      </c>
    </row>
    <row r="236" spans="1:10" ht="20.100000000000001" customHeight="1" x14ac:dyDescent="0.2">
      <c r="D236" s="20" t="str" cm="1">
        <f t="array" ref="D236">Common_InputFunctions.Utility_DisplayArrayInTable(Scope3_SourceData.Scope3_SoilAmendments_Data(), Table_SourceData_Scope3_SoilAmeliorants[[#Headers],[Category]], 0, 2)</f>
        <v>Soil ameliorants</v>
      </c>
      <c r="E236" s="20" t="str" cm="1">
        <f t="array" ref="E236">Common_InputFunctions.Utility_DisplayArrayInTable(Scope3_SourceData.Scope3_SoilAmendments_Data(), Table_SourceData_Scope3_SoilAmeliorants[[#Headers],[Category]], 0, 2)</f>
        <v>Gypsum</v>
      </c>
      <c r="F236" s="20" t="str" cm="1">
        <f t="array" ref="F236">Common_InputFunctions.Utility_DisplayArrayInTable(Scope3_SourceData.Scope3_SoilAmendments_Data(), Table_SourceData_Scope3_SoilAmeliorants[[#Headers],[Category]], 0, 2)</f>
        <v>Australia</v>
      </c>
      <c r="G236" s="20" t="str" cm="1">
        <f t="array" ref="G236">Common_InputFunctions.Utility_DisplayArrayInTable(Scope3_SourceData.Scope3_SoilAmendments_Data(), Table_SourceData_Scope3_SoilAmeliorants[[#Headers],[Category]], 0, 2)</f>
        <v>kg</v>
      </c>
      <c r="H236" s="20" cm="1">
        <f t="array" ref="H236">Common_InputFunctions.Utility_DisplayArrayInTable(Scope3_SourceData.Scope3_SoilAmendments_Data(), Table_SourceData_Scope3_SoilAmeliorants[[#Headers],[Category]], 0, 2)</f>
        <v>6.5199999999999994E-2</v>
      </c>
      <c r="I236" s="20" t="str" cm="1">
        <f t="array" ref="I236">Common_InputFunctions.Utility_DisplayArrayInTable(Scope3_SourceData.Scope3_SoilAmendments_Data(), Table_SourceData_Scope3_SoilAmeliorants[[#Headers],[Category]], 0, 2)</f>
        <v>at market</v>
      </c>
      <c r="J236" s="20" t="s">
        <v>990</v>
      </c>
    </row>
    <row r="237" spans="1:10" ht="20.100000000000001" customHeight="1" x14ac:dyDescent="0.2">
      <c r="D237" s="20" t="str" cm="1">
        <f t="array" ref="D237">Common_InputFunctions.Utility_DisplayArrayInTable(Scope3_SourceData.Scope3_SoilAmendments_Data(), Table_SourceData_Scope3_SoilAmeliorants[[#Headers],[Category]], 0, 2)</f>
        <v>Soil ameliorants</v>
      </c>
      <c r="E237" s="20" t="str" cm="1">
        <f t="array" ref="E237">Common_InputFunctions.Utility_DisplayArrayInTable(Scope3_SourceData.Scope3_SoilAmendments_Data(), Table_SourceData_Scope3_SoilAmeliorants[[#Headers],[Category]], 0, 2)</f>
        <v>Limestone (crushed)</v>
      </c>
      <c r="F237" s="20" t="str" cm="1">
        <f t="array" ref="F237">Common_InputFunctions.Utility_DisplayArrayInTable(Scope3_SourceData.Scope3_SoilAmendments_Data(), Table_SourceData_Scope3_SoilAmeliorants[[#Headers],[Category]], 0, 2)</f>
        <v>Australia</v>
      </c>
      <c r="G237" s="20" t="str" cm="1">
        <f t="array" ref="G237">Common_InputFunctions.Utility_DisplayArrayInTable(Scope3_SourceData.Scope3_SoilAmendments_Data(), Table_SourceData_Scope3_SoilAmeliorants[[#Headers],[Category]], 0, 2)</f>
        <v>kg</v>
      </c>
      <c r="H237" s="20" cm="1">
        <f t="array" ref="H237">Common_InputFunctions.Utility_DisplayArrayInTable(Scope3_SourceData.Scope3_SoilAmendments_Data(), Table_SourceData_Scope3_SoilAmeliorants[[#Headers],[Category]], 0, 2)</f>
        <v>4.8500000000000001E-2</v>
      </c>
      <c r="I237" s="20" t="str" cm="1">
        <f t="array" ref="I237">Common_InputFunctions.Utility_DisplayArrayInTable(Scope3_SourceData.Scope3_SoilAmendments_Data(), Table_SourceData_Scope3_SoilAmeliorants[[#Headers],[Category]], 0, 2)</f>
        <v>at market</v>
      </c>
      <c r="J237" s="20" t="s">
        <v>990</v>
      </c>
    </row>
    <row r="238" spans="1:10" ht="20.100000000000001" customHeight="1" x14ac:dyDescent="0.2">
      <c r="A238" s="81" t="str">
        <f>HYPERLINK("#A1", "▲ Back to top")</f>
        <v>▲ Back to top</v>
      </c>
    </row>
    <row r="240" spans="1:10" ht="20.100000000000001" customHeight="1" x14ac:dyDescent="0.2">
      <c r="D240" s="2" t="s">
        <v>1017</v>
      </c>
    </row>
    <row r="241" spans="4:18" ht="20.100000000000001" customHeight="1" x14ac:dyDescent="0.2">
      <c r="D241" s="20" t="s">
        <v>983</v>
      </c>
      <c r="E241" s="20" t="s">
        <v>130</v>
      </c>
      <c r="F241" s="20" t="s">
        <v>984</v>
      </c>
      <c r="G241" s="20" t="s">
        <v>985</v>
      </c>
      <c r="H241" s="20" t="s">
        <v>986</v>
      </c>
      <c r="I241" s="20" t="s">
        <v>987</v>
      </c>
      <c r="J241" s="20" t="s">
        <v>498</v>
      </c>
      <c r="L241" s="20" t="s">
        <v>130</v>
      </c>
      <c r="M241" s="20" t="s">
        <v>988</v>
      </c>
      <c r="N241" s="1" t="str">
        <f>"Table_ProductRegions_" &amp; SUBSTITUTE(SUBSTITUTE(SUBSTITUTE(SUBSTITUTE(L242, " ", ""), ",", ""), "(", ""), ")", "")</f>
        <v>Table_ProductRegions_Sardineswhole</v>
      </c>
      <c r="R241" s="1"/>
    </row>
    <row r="242" spans="4:18" ht="20.100000000000001" customHeight="1" x14ac:dyDescent="0.2">
      <c r="D242" s="20" t="str" cm="1">
        <f t="array" ref="D242">Common_InputFunctions.Utility_DisplayArrayInTable(Scope3_SourceData.Scope3_Feed_Data(), Table_SourceData_Scope3_FishFeedAndBait[[#Headers],[Category]], 0, 2)</f>
        <v>Aquaculture feed</v>
      </c>
      <c r="E242" s="20" t="str" cm="1">
        <f t="array" ref="E242">Common_InputFunctions.Utility_DisplayArrayInTable(Scope3_SourceData.Scope3_Feed_Data(), Table_SourceData_Scope3_FishFeedAndBait[[#Headers],[Category]], 0, 2)</f>
        <v>Sardines (whole)</v>
      </c>
      <c r="F242" s="20" t="str" cm="1">
        <f t="array" ref="F242">Common_InputFunctions.Utility_DisplayArrayInTable(Scope3_SourceData.Scope3_Feed_Data(), Table_SourceData_Scope3_FishFeedAndBait[[#Headers],[Category]], 0, 2)</f>
        <v>SA</v>
      </c>
      <c r="G242" s="20" t="str" cm="1">
        <f t="array" ref="G242">Common_InputFunctions.Utility_DisplayArrayInTable(Scope3_SourceData.Scope3_Feed_Data(), Table_SourceData_Scope3_FishFeedAndBait[[#Headers],[Category]], 0, 2)</f>
        <v>kg</v>
      </c>
      <c r="H242" s="20" cm="1">
        <f t="array" ref="H242">Common_InputFunctions.Utility_DisplayArrayInTable(Scope3_SourceData.Scope3_Feed_Data(), Table_SourceData_Scope3_FishFeedAndBait[[#Headers],[Category]], 0, 2)</f>
        <v>0.376</v>
      </c>
      <c r="I242" s="20" t="str" cm="1">
        <f t="array" ref="I242">Common_InputFunctions.Utility_DisplayArrayInTable(Scope3_SourceData.Scope3_Feed_Data(), Table_SourceData_Scope3_FishFeedAndBait[[#Headers],[Category]], 0, 2)</f>
        <v>at market</v>
      </c>
      <c r="J242" s="20" t="s">
        <v>990</v>
      </c>
      <c r="L242" s="20" t="str">
        <f>Table_SourceData_Scope3_FishFeedAndBait[[#This Row],[Product]]</f>
        <v>Sardines (whole)</v>
      </c>
      <c r="M242" s="20" t="str">
        <f>Table_SourceData_Scope3_FishFeedAndBait[[#This Row],[Region of origin]]</f>
        <v>SA</v>
      </c>
      <c r="R242" s="1"/>
    </row>
    <row r="243" spans="4:18" ht="20.100000000000001" customHeight="1" x14ac:dyDescent="0.2">
      <c r="D243" s="20" t="str" cm="1">
        <f t="array" ref="D243">Common_InputFunctions.Utility_DisplayArrayInTable(Scope3_SourceData.Scope3_FishFeedAndBait_Data(), Table_SourceData_Scope3_FishFeedAndBait[[#Headers],[Category]], 1, 1)</f>
        <v>Fish feed and bait</v>
      </c>
      <c r="E243" s="20" t="str" cm="1">
        <f t="array" ref="E243">Common_InputFunctions.Utility_DisplayArrayInTable(Scope3_SourceData.Scope3_FishFeedAndBait_Data(), Table_SourceData_Scope3_FishFeedAndBait[[#Headers],[Category]], 1, 1)</f>
        <v>Sardines (whole)</v>
      </c>
      <c r="F243" s="20" t="str" cm="1">
        <f t="array" ref="F243">Common_InputFunctions.Utility_DisplayArrayInTable(Scope3_SourceData.Scope3_FishFeedAndBait_Data(), Table_SourceData_Scope3_FishFeedAndBait[[#Headers],[Category]], 1, 1)</f>
        <v>Australia</v>
      </c>
      <c r="G243" s="20" t="str" cm="1">
        <f t="array" ref="G243">Common_InputFunctions.Utility_DisplayArrayInTable(Scope3_SourceData.Scope3_FishFeedAndBait_Data(), Table_SourceData_Scope3_FishFeedAndBait[[#Headers],[Category]], 1, 1)</f>
        <v>kg</v>
      </c>
      <c r="H243" s="20" cm="1">
        <f t="array" ref="H243">Common_InputFunctions.Utility_DisplayArrayInTable(Scope3_SourceData.Scope3_FishFeedAndBait_Data(), Table_SourceData_Scope3_FishFeedAndBait[[#Headers],[Category]], 1, 1)</f>
        <v>0.3</v>
      </c>
      <c r="I243" s="20" t="str" cm="1">
        <f t="array" ref="I243">Common_InputFunctions.Utility_DisplayArrayInTable(Scope3_SourceData.Scope3_FishFeedAndBait_Data(), Table_SourceData_Scope3_FishFeedAndBait[[#Headers],[Category]], 1, 1)</f>
        <v>Not specified</v>
      </c>
      <c r="J243" s="20" t="s">
        <v>1018</v>
      </c>
      <c r="L243" s="1" t="str">
        <f>Table_SourceData_Scope3_FishFeedAndBait[[#This Row],[Product]]</f>
        <v>Sardines (whole)</v>
      </c>
      <c r="M243" s="1" t="str">
        <f>Table_SourceData_Scope3_FishFeedAndBait[[#This Row],[Region of origin]]</f>
        <v>Australia</v>
      </c>
      <c r="R243" s="1"/>
    </row>
    <row r="244" spans="4:18" ht="20.100000000000001" customHeight="1" x14ac:dyDescent="0.2">
      <c r="D244" s="20" t="str" cm="1">
        <f t="array" ref="D244">Common_InputFunctions.Utility_DisplayArrayInTable(Scope3_SourceData.Scope3_FishFeedAndBait_Data(), Table_SourceData_Scope3_FishFeedAndBait[[#Headers],[Category]], 1, 1)</f>
        <v>Fish feed and bait</v>
      </c>
      <c r="E244" s="20" t="str" cm="1">
        <f t="array" ref="E244">Common_InputFunctions.Utility_DisplayArrayInTable(Scope3_SourceData.Scope3_FishFeedAndBait_Data(), Table_SourceData_Scope3_FishFeedAndBait[[#Headers],[Category]], 1, 1)</f>
        <v>Low Animal Protein Formulated Feed</v>
      </c>
      <c r="F244" s="20" t="str" cm="1">
        <f t="array" ref="F244">Common_InputFunctions.Utility_DisplayArrayInTable(Scope3_SourceData.Scope3_FishFeedAndBait_Data(), Table_SourceData_Scope3_FishFeedAndBait[[#Headers],[Category]], 1, 1)</f>
        <v>Australia</v>
      </c>
      <c r="G244" s="20" t="str" cm="1">
        <f t="array" ref="G244">Common_InputFunctions.Utility_DisplayArrayInTable(Scope3_SourceData.Scope3_FishFeedAndBait_Data(), Table_SourceData_Scope3_FishFeedAndBait[[#Headers],[Category]], 1, 1)</f>
        <v>kg</v>
      </c>
      <c r="H244" s="20" cm="1">
        <f t="array" ref="H244">Common_InputFunctions.Utility_DisplayArrayInTable(Scope3_SourceData.Scope3_FishFeedAndBait_Data(), Table_SourceData_Scope3_FishFeedAndBait[[#Headers],[Category]], 1, 1)</f>
        <v>2.2000000000000002</v>
      </c>
      <c r="I244" s="20" t="str" cm="1">
        <f t="array" ref="I244">Common_InputFunctions.Utility_DisplayArrayInTable(Scope3_SourceData.Scope3_FishFeedAndBait_Data(), Table_SourceData_Scope3_FishFeedAndBait[[#Headers],[Category]], 1, 1)</f>
        <v>Not specified</v>
      </c>
      <c r="J244" s="20" t="s">
        <v>1018</v>
      </c>
      <c r="R244" s="1"/>
    </row>
    <row r="245" spans="4:18" ht="20.100000000000001" customHeight="1" x14ac:dyDescent="0.2">
      <c r="D245" s="20" t="str" cm="1">
        <f t="array" ref="D245">Common_InputFunctions.Utility_DisplayArrayInTable(Scope3_SourceData.Scope3_FishFeedAndBait_Data(), Table_SourceData_Scope3_FishFeedAndBait[[#Headers],[Category]], 1, 1)</f>
        <v>Fish feed and bait</v>
      </c>
      <c r="E245" s="20" t="str" cm="1">
        <f t="array" ref="E245">Common_InputFunctions.Utility_DisplayArrayInTable(Scope3_SourceData.Scope3_FishFeedAndBait_Data(), Table_SourceData_Scope3_FishFeedAndBait[[#Headers],[Category]], 1, 1)</f>
        <v>Squid</v>
      </c>
      <c r="F245" s="20" t="str" cm="1">
        <f t="array" ref="F245">Common_InputFunctions.Utility_DisplayArrayInTable(Scope3_SourceData.Scope3_FishFeedAndBait_Data(), Table_SourceData_Scope3_FishFeedAndBait[[#Headers],[Category]], 1, 1)</f>
        <v>Australia</v>
      </c>
      <c r="G245" s="20" t="str" cm="1">
        <f t="array" ref="G245">Common_InputFunctions.Utility_DisplayArrayInTable(Scope3_SourceData.Scope3_FishFeedAndBait_Data(), Table_SourceData_Scope3_FishFeedAndBait[[#Headers],[Category]], 1, 1)</f>
        <v>kg</v>
      </c>
      <c r="H245" s="20" cm="1">
        <f t="array" ref="H245">Common_InputFunctions.Utility_DisplayArrayInTable(Scope3_SourceData.Scope3_FishFeedAndBait_Data(), Table_SourceData_Scope3_FishFeedAndBait[[#Headers],[Category]], 1, 1)</f>
        <v>0.3</v>
      </c>
      <c r="I245" s="20" t="str" cm="1">
        <f t="array" ref="I245">Common_InputFunctions.Utility_DisplayArrayInTable(Scope3_SourceData.Scope3_FishFeedAndBait_Data(), Table_SourceData_Scope3_FishFeedAndBait[[#Headers],[Category]], 1, 1)</f>
        <v>Not specified</v>
      </c>
      <c r="J245" s="20" t="s">
        <v>1018</v>
      </c>
      <c r="R245" s="1"/>
    </row>
    <row r="246" spans="4:18" ht="20.100000000000001" customHeight="1" x14ac:dyDescent="0.2">
      <c r="D246" s="20" t="str" cm="1">
        <f t="array" ref="D246">Common_InputFunctions.Utility_DisplayArrayInTable(Scope3_SourceData.Scope3_FishFeedAndBait_Data(), Table_SourceData_Scope3_FishFeedAndBait[[#Headers],[Category]], 1, 1)</f>
        <v>Fish feed and bait</v>
      </c>
      <c r="E246" s="20" t="str" cm="1">
        <f t="array" ref="E246">Common_InputFunctions.Utility_DisplayArrayInTable(Scope3_SourceData.Scope3_FishFeedAndBait_Data(), Table_SourceData_Scope3_FishFeedAndBait[[#Headers],[Category]], 1, 1)</f>
        <v>Whole fish</v>
      </c>
      <c r="F246" s="20" t="str" cm="1">
        <f t="array" ref="F246">Common_InputFunctions.Utility_DisplayArrayInTable(Scope3_SourceData.Scope3_FishFeedAndBait_Data(), Table_SourceData_Scope3_FishFeedAndBait[[#Headers],[Category]], 1, 1)</f>
        <v>Australia</v>
      </c>
      <c r="G246" s="20" t="str" cm="1">
        <f t="array" ref="G246">Common_InputFunctions.Utility_DisplayArrayInTable(Scope3_SourceData.Scope3_FishFeedAndBait_Data(), Table_SourceData_Scope3_FishFeedAndBait[[#Headers],[Category]], 1, 1)</f>
        <v>kg</v>
      </c>
      <c r="H246" s="20" cm="1">
        <f t="array" ref="H246">Common_InputFunctions.Utility_DisplayArrayInTable(Scope3_SourceData.Scope3_FishFeedAndBait_Data(), Table_SourceData_Scope3_FishFeedAndBait[[#Headers],[Category]], 1, 1)</f>
        <v>0.3</v>
      </c>
      <c r="I246" s="20" t="str" cm="1">
        <f t="array" ref="I246">Common_InputFunctions.Utility_DisplayArrayInTable(Scope3_SourceData.Scope3_FishFeedAndBait_Data(), Table_SourceData_Scope3_FishFeedAndBait[[#Headers],[Category]], 1, 1)</f>
        <v>Not specified</v>
      </c>
      <c r="J246" s="20" t="s">
        <v>1018</v>
      </c>
      <c r="R246" s="1"/>
    </row>
    <row r="247" spans="4:18" ht="20.100000000000001" customHeight="1" x14ac:dyDescent="0.2">
      <c r="D247" s="20" t="str" cm="1">
        <f t="array" ref="D247">Common_InputFunctions.Utility_DisplayArrayInTable(Scope3_SourceData.Scope3_FishFeedAndBait_Data(), Table_SourceData_Scope3_FishFeedAndBait[[#Headers],[Category]], 1, 1)</f>
        <v>Fish feed and bait</v>
      </c>
      <c r="E247" s="20" t="str" cm="1">
        <f t="array" ref="E247">Common_InputFunctions.Utility_DisplayArrayInTable(Scope3_SourceData.Scope3_FishFeedAndBait_Data(), Table_SourceData_Scope3_FishFeedAndBait[[#Headers],[Category]], 1, 1)</f>
        <v>Custom Bait</v>
      </c>
      <c r="F247" s="20" t="str" cm="1">
        <f t="array" ref="F247">Common_InputFunctions.Utility_DisplayArrayInTable(Scope3_SourceData.Scope3_FishFeedAndBait_Data(), Table_SourceData_Scope3_FishFeedAndBait[[#Headers],[Category]], 1, 1)</f>
        <v>Australia</v>
      </c>
      <c r="G247" s="20" t="str" cm="1">
        <f t="array" ref="G247">Common_InputFunctions.Utility_DisplayArrayInTable(Scope3_SourceData.Scope3_FishFeedAndBait_Data(), Table_SourceData_Scope3_FishFeedAndBait[[#Headers],[Category]], 1, 1)</f>
        <v>kg</v>
      </c>
      <c r="H247" s="20" cm="1">
        <f t="array" ref="H247">Common_InputFunctions.Utility_DisplayArrayInTable(Scope3_SourceData.Scope3_FishFeedAndBait_Data(), Table_SourceData_Scope3_FishFeedAndBait[[#Headers],[Category]], 1, 1)</f>
        <v>0.08</v>
      </c>
      <c r="I247" s="20" t="str" cm="1">
        <f t="array" ref="I247">Common_InputFunctions.Utility_DisplayArrayInTable(Scope3_SourceData.Scope3_FishFeedAndBait_Data(), Table_SourceData_Scope3_FishFeedAndBait[[#Headers],[Category]], 1, 1)</f>
        <v>Not specified</v>
      </c>
      <c r="J247" s="20" t="s">
        <v>1018</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9EFB-50B4-44D8-B40B-F1BABB62CA5C}">
  <sheetPr>
    <tabColor theme="2" tint="-0.499984740745262"/>
  </sheetPr>
  <dimension ref="A1:AI68"/>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731</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tr" cm="1">
        <f t="array" ref="D5">WasteSolid_SourceData.Waste_EmissionFactorsForWasteTreatment_Title()</f>
        <v>Emission factors for wastes disposed of at different treatment facilities</v>
      </c>
    </row>
    <row r="6" spans="1:35" ht="20.100000000000001" customHeight="1" x14ac:dyDescent="0.2">
      <c r="D6" s="17" t="str" cm="1">
        <f t="array" ref="D6">WasteSolid_SourceData.Waste_EmissionFactorsForWasteTreatment_Source()</f>
        <v>VEERG 2026: Table A.4.1.1</v>
      </c>
    </row>
    <row r="7" spans="1:35" ht="20.100000000000001" customHeight="1" x14ac:dyDescent="0.2">
      <c r="D7" s="26" t="str" cm="1">
        <f t="array" ref="D7:D13">WasteSolid_SourceData.Waste_EmissionFactorsForWasteTreatment_Variation()</f>
        <v>VARIATION ON SOURCE:</v>
      </c>
    </row>
    <row r="8" spans="1:35" ht="20.100000000000001" customHeight="1" x14ac:dyDescent="0.2">
      <c r="A8" s="7" t="s">
        <v>0</v>
      </c>
      <c r="D8" s="26" t="str">
        <v>Fixed typo 'paper and carboard' to 'paper and cardboard'</v>
      </c>
    </row>
    <row r="9" spans="1:35" ht="20.100000000000001" customHeight="1" x14ac:dyDescent="0.2">
      <c r="A9" s="5" t="str">
        <f>HYPERLINK("#'Input - Enterprise'!A1", "Enterprise")</f>
        <v>Enterprise</v>
      </c>
      <c r="D9" s="26" t="str">
        <v>Fixed typo 'prunnings' to 'prunings'</v>
      </c>
    </row>
    <row r="10" spans="1:35" ht="20.100000000000001" customHeight="1" x14ac:dyDescent="0.2">
      <c r="A10" s="5" t="str">
        <f>HYPERLINK("#'Input - Site'!A1", "Site")</f>
        <v>Site</v>
      </c>
      <c r="D10" s="26" t="str">
        <v>Added EF source column with specific references</v>
      </c>
    </row>
    <row r="11" spans="1:35" ht="20.100000000000001" customHeight="1" x14ac:dyDescent="0.2">
      <c r="A11" s="5" t="str">
        <f>HYPERLINK("#'Input - Crop'!A1", "Crop")</f>
        <v>Crop</v>
      </c>
      <c r="D11" s="26" t="str">
        <v>Added sub-categories for 'Incineration: Food waste, green waste, wood, sludge' in order to use volume to mass conversion factor values</v>
      </c>
    </row>
    <row r="12" spans="1:35" ht="20.100000000000001" customHeight="1" x14ac:dyDescent="0.2">
      <c r="A12" s="5" t="str">
        <f>HYPERLINK("#'Input - Fert Prod System'!A1", "Fert Prod System")</f>
        <v>Fert Prod System</v>
      </c>
      <c r="D12" s="26" t="str">
        <v>Added sub-categories for 'Composting: All organic waste' in order to use volume to mass conversion factor values</v>
      </c>
    </row>
    <row r="13" spans="1:35" ht="20.100000000000001" customHeight="1" x14ac:dyDescent="0.2">
      <c r="A13" s="5" t="str">
        <f>HYPERLINK("#'Input - Fertiliser'!A1", "Fertiliser")</f>
        <v>Fertiliser</v>
      </c>
      <c r="D13" s="26" t="str">
        <v>Added sub-categories for 'Anaerobic digestion: All organic waste' in order to use volume to mass conversion factor values</v>
      </c>
    </row>
    <row r="14" spans="1:35" ht="20.100000000000001" customHeight="1" x14ac:dyDescent="0.2">
      <c r="A14" s="5" t="str">
        <f>HYPERLINK("#'Input - Fuel'!A1", "Fuel")</f>
        <v>Fuel</v>
      </c>
      <c r="D14" s="1" t="str" cm="1">
        <f t="array" ref="D14">WasteSolid_SourceData.Waste_EmissionFactorsForWasteTreatment_Variable()</f>
        <v>EFwt</v>
      </c>
    </row>
    <row r="15" spans="1:35" ht="20.100000000000001" customHeight="1" x14ac:dyDescent="0.2">
      <c r="A15" s="5" t="str">
        <f>HYPERLINK("#'Input - Electricity'!A1", "Electricity")</f>
        <v>Electricity</v>
      </c>
      <c r="D15" s="9" t="str" cm="1">
        <f t="array" ref="D15">WasteSolid_SourceData.Waste_EmissionFactorsForWasteTreatment_Unit()</f>
        <v>t CO2e / t</v>
      </c>
      <c r="I15" s="1" t="s">
        <v>732</v>
      </c>
      <c r="K15" s="1" t="s">
        <v>733</v>
      </c>
      <c r="M15" s="1" t="s">
        <v>734</v>
      </c>
      <c r="O15" s="1" t="s">
        <v>735</v>
      </c>
    </row>
    <row r="16" spans="1:35" ht="20.100000000000001" customHeight="1" x14ac:dyDescent="0.2">
      <c r="A16" s="5" t="str">
        <f>HYPERLINK("#'Input - Common farm inputs'!A1", "Common farm inputs")</f>
        <v>Common farm inputs</v>
      </c>
      <c r="D16" s="20" t="s">
        <v>736</v>
      </c>
      <c r="E16" s="20" t="s">
        <v>737</v>
      </c>
      <c r="F16" s="20" t="s">
        <v>738</v>
      </c>
      <c r="G16" s="20" t="s">
        <v>739</v>
      </c>
      <c r="I16" s="20" t="s">
        <v>737</v>
      </c>
      <c r="K16" s="221" t="s">
        <v>737</v>
      </c>
      <c r="M16" s="221" t="s">
        <v>737</v>
      </c>
      <c r="O16" s="221" t="s">
        <v>737</v>
      </c>
    </row>
    <row r="17" spans="1:15" ht="20.100000000000001" customHeight="1" x14ac:dyDescent="0.2">
      <c r="A17" s="5" t="str">
        <f>HYPERLINK("#'Input - Crop pasture farm input'!A1", "Crop pasture farm input")</f>
        <v>Crop pasture farm input</v>
      </c>
      <c r="D17" s="20" t="str" cm="1">
        <f t="array" ref="D17">Common_InputFunctions.Utility_DisplayArrayInTable(WasteSolid_SourceData.Waste_EmissionFactorsForWasteTreatment_Data(), Table_SourceData_WasteSolid_WasteTreatmentEFs[[#Headers],[Treatment type t]], 0)</f>
        <v>Landfill</v>
      </c>
      <c r="E17" s="2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0" cm="1">
        <f t="array" ref="F17">Common_InputFunctions.Utility_DisplayArrayInTable(WasteSolid_SourceData.Waste_EmissionFactorsForWasteTreatment_Data(), Table_SourceData_WasteSolid_WasteTreatmentEFs[[#Headers],[Treatment type t]], 0)</f>
        <v>2.1</v>
      </c>
      <c r="G17" s="20" t="str" cm="1">
        <f t="array" ref="G17">Common_InputFunctions.Utility_DisplayArrayInTable(WasteSolid_SourceData.Waste_EmissionFactorsForWasteTreatment_Data(), Table_SourceData_WasteSolid_WasteTreatmentEFs[[#Headers],[Treatment type t]], 0)</f>
        <v>NGAF 2025 table 15</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Freight'!A1", "Freight")</f>
        <v>Freight</v>
      </c>
      <c r="D18" s="1" t="str" cm="1">
        <f t="array" ref="D18">Common_InputFunctions.Utility_DisplayArrayInTable(WasteSolid_SourceData.Waste_EmissionFactorsForWasteTreatment_Data(), Table_SourceData_WasteSolid_WasteTreatmentEFs[[#Headers],[Treatment type t]], 0)</f>
        <v>Landfill</v>
      </c>
      <c r="E18" s="20" t="str" cm="1">
        <f t="array" ref="E18">Common_InputFunctions.Utility_DisplayArrayInTable(WasteSolid_SourceData.Waste_EmissionFactorsForWasteTreatment_Data(), Table_SourceData_WasteSolid_WasteTreatmentEFs[[#Headers],[Treatment type t]], 0)</f>
        <v>Paper and cardboard</v>
      </c>
      <c r="F18" s="20" cm="1">
        <f t="array" ref="F18">Common_InputFunctions.Utility_DisplayArrayInTable(WasteSolid_SourceData.Waste_EmissionFactorsForWasteTreatment_Data(), Table_SourceData_WasteSolid_WasteTreatmentEFs[[#Headers],[Treatment type t]], 0)</f>
        <v>3.3</v>
      </c>
      <c r="G18" s="20" t="str" cm="1">
        <f t="array" ref="G18">Common_InputFunctions.Utility_DisplayArrayInTable(WasteSolid_SourceData.Waste_EmissionFactorsForWasteTreatment_Data(), Table_SourceData_WasteSolid_WasteTreatmentEFs[[#Headers],[Treatment type t]], 0)</f>
        <v>NGAF 2025 table 15</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Solid waste'!A1", "Solid waste")</f>
        <v>Solid waste</v>
      </c>
      <c r="D19" s="1" t="str" cm="1">
        <f t="array" ref="D19">Common_InputFunctions.Utility_DisplayArrayInTable(WasteSolid_SourceData.Waste_EmissionFactorsForWasteTreatment_Data(), Table_SourceData_WasteSolid_WasteTreatmentEFs[[#Headers],[Treatment type t]], 0)</f>
        <v>Landfill</v>
      </c>
      <c r="E19" s="20" t="str" cm="1">
        <f t="array" ref="E19">Common_InputFunctions.Utility_DisplayArrayInTable(WasteSolid_SourceData.Waste_EmissionFactorsForWasteTreatment_Data(), Table_SourceData_WasteSolid_WasteTreatmentEFs[[#Headers],[Treatment type t]], 0)</f>
        <v>Green waste (including crop residues or prunings)</v>
      </c>
      <c r="F19" s="20" cm="1">
        <f t="array" ref="F19">Common_InputFunctions.Utility_DisplayArrayInTable(WasteSolid_SourceData.Waste_EmissionFactorsForWasteTreatment_Data(), Table_SourceData_WasteSolid_WasteTreatmentEFs[[#Headers],[Treatment type t]], 0)</f>
        <v>1.6</v>
      </c>
      <c r="G19" s="20" t="str" cm="1">
        <f t="array" ref="G19">Common_InputFunctions.Utility_DisplayArrayInTable(WasteSolid_SourceData.Waste_EmissionFactorsForWasteTreatment_Data(), Table_SourceData_WasteSolid_WasteTreatmentEFs[[#Headers],[Treatment type t]], 0)</f>
        <v>NGAF 2025 table 15</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Data quality'!A1", "Data quality")</f>
        <v>Data quality</v>
      </c>
      <c r="D20" s="1" t="str" cm="1">
        <f t="array" ref="D20">Common_InputFunctions.Utility_DisplayArrayInTable(WasteSolid_SourceData.Waste_EmissionFactorsForWasteTreatment_Data(), Table_SourceData_WasteSolid_WasteTreatmentEFs[[#Headers],[Treatment type t]], 0)</f>
        <v>Landfill</v>
      </c>
      <c r="E20" s="20" t="str" cm="1">
        <f t="array" ref="E20">Common_InputFunctions.Utility_DisplayArrayInTable(WasteSolid_SourceData.Waste_EmissionFactorsForWasteTreatment_Data(), Table_SourceData_WasteSolid_WasteTreatmentEFs[[#Headers],[Treatment type t]], 0)</f>
        <v>Wood</v>
      </c>
      <c r="F20" s="20" cm="1">
        <f t="array" ref="F20">Common_InputFunctions.Utility_DisplayArrayInTable(WasteSolid_SourceData.Waste_EmissionFactorsForWasteTreatment_Data(), Table_SourceData_WasteSolid_WasteTreatmentEFs[[#Headers],[Treatment type t]], 0)</f>
        <v>0.7</v>
      </c>
      <c r="G20" s="20" t="str" cm="1">
        <f t="array" ref="G20">Common_InputFunctions.Utility_DisplayArrayInTable(WasteSolid_SourceData.Waste_EmissionFactorsForWasteTreatment_Data(), Table_SourceData_WasteSolid_WasteTreatmentEFs[[#Headers],[Treatment type t]], 0)</f>
        <v>NGAF 2025 table 15</v>
      </c>
      <c r="I20" s="20" t="str">
        <f>Table_SourceData_WasteSolid_WasteTreatmentEFs[[#This Row],[Waste type w]]</f>
        <v>Wood</v>
      </c>
      <c r="K20" s="1" t="str">
        <f t="shared" si="0"/>
        <v>Sludge</v>
      </c>
      <c r="M20" s="1" t="str">
        <f>E43</f>
        <v>Sludge</v>
      </c>
      <c r="O20" s="1" t="str">
        <f>E49</f>
        <v>Sludge</v>
      </c>
    </row>
    <row r="21" spans="1:15" ht="20.100000000000001" customHeight="1" x14ac:dyDescent="0.2">
      <c r="D21" s="1" t="str" cm="1">
        <f t="array" ref="D21">Common_InputFunctions.Utility_DisplayArrayInTable(WasteSolid_SourceData.Waste_EmissionFactorsForWasteTreatment_Data(), Table_SourceData_WasteSolid_WasteTreatmentEFs[[#Headers],[Treatment type t]], 0)</f>
        <v>Landfill</v>
      </c>
      <c r="E21" s="20" t="str" cm="1">
        <f t="array" ref="E21">Common_InputFunctions.Utility_DisplayArrayInTable(WasteSolid_SourceData.Waste_EmissionFactorsForWasteTreatment_Data(), Table_SourceData_WasteSolid_WasteTreatmentEFs[[#Headers],[Treatment type t]], 0)</f>
        <v>Textiles</v>
      </c>
      <c r="F21" s="20" cm="1">
        <f t="array" ref="F21">Common_InputFunctions.Utility_DisplayArrayInTable(WasteSolid_SourceData.Waste_EmissionFactorsForWasteTreatment_Data(), Table_SourceData_WasteSolid_WasteTreatmentEFs[[#Headers],[Treatment type t]], 0)</f>
        <v>2</v>
      </c>
      <c r="G21" s="20" t="str" cm="1">
        <f t="array" ref="G21">Common_InputFunctions.Utility_DisplayArrayInTable(WasteSolid_SourceData.Waste_EmissionFactorsForWasteTreatment_Data(), Table_SourceData_WasteSolid_WasteTreatmentEFs[[#Headers],[Treatment type t]], 0)</f>
        <v>NGAF 2025 table 15</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D22" s="1" t="str" cm="1">
        <f t="array" ref="D22">Common_InputFunctions.Utility_DisplayArrayInTable(WasteSolid_SourceData.Waste_EmissionFactorsForWasteTreatment_Data(), Table_SourceData_WasteSolid_WasteTreatmentEFs[[#Headers],[Treatment type t]], 0)</f>
        <v>Landfill</v>
      </c>
      <c r="E22" s="20" t="str" cm="1">
        <f t="array" ref="E22">Common_InputFunctions.Utility_DisplayArrayInTable(WasteSolid_SourceData.Waste_EmissionFactorsForWasteTreatment_Data(), Table_SourceData_WasteSolid_WasteTreatmentEFs[[#Headers],[Treatment type t]], 0)</f>
        <v>Sludge</v>
      </c>
      <c r="F22" s="20" cm="1">
        <f t="array" ref="F22">Common_InputFunctions.Utility_DisplayArrayInTable(WasteSolid_SourceData.Waste_EmissionFactorsForWasteTreatment_Data(), Table_SourceData_WasteSolid_WasteTreatmentEFs[[#Headers],[Treatment type t]], 0)</f>
        <v>0.4</v>
      </c>
      <c r="G22" s="20" t="str" cm="1">
        <f t="array" ref="G22">Common_InputFunctions.Utility_DisplayArrayInTable(WasteSolid_SourceData.Waste_EmissionFactorsForWasteTreatment_Data(), Table_SourceData_WasteSolid_WasteTreatmentEFs[[#Headers],[Treatment type t]], 0)</f>
        <v>NGAF 2025 table 15</v>
      </c>
      <c r="I22" s="20" t="str">
        <f>Table_SourceData_WasteSolid_WasteTreatmentEFs[[#This Row],[Waste type w]]</f>
        <v>Sludge</v>
      </c>
      <c r="K22" s="1" t="str">
        <f t="shared" si="0"/>
        <v>Textiles</v>
      </c>
    </row>
    <row r="23" spans="1:15" ht="20.100000000000001" customHeight="1" x14ac:dyDescent="0.2">
      <c r="A23" s="6" t="s">
        <v>2</v>
      </c>
      <c r="D23" s="1" t="str" cm="1">
        <f t="array" ref="D23">Common_InputFunctions.Utility_DisplayArrayInTable(WasteSolid_SourceData.Waste_EmissionFactorsForWasteTreatment_Data(), Table_SourceData_WasteSolid_WasteTreatmentEFs[[#Headers],[Treatment type t]], 0)</f>
        <v>Landfill</v>
      </c>
      <c r="E23" s="20" t="str" cm="1">
        <f t="array" ref="E23">Common_InputFunctions.Utility_DisplayArrayInTable(WasteSolid_SourceData.Waste_EmissionFactorsForWasteTreatment_Data(), Table_SourceData_WasteSolid_WasteTreatmentEFs[[#Headers],[Treatment type t]], 0)</f>
        <v>Rubber and leather</v>
      </c>
      <c r="F23" s="20" cm="1">
        <f t="array" ref="F23">Common_InputFunctions.Utility_DisplayArrayInTable(WasteSolid_SourceData.Waste_EmissionFactorsForWasteTreatment_Data(), Table_SourceData_WasteSolid_WasteTreatmentEFs[[#Headers],[Treatment type t]], 0)</f>
        <v>3.3</v>
      </c>
      <c r="G23" s="20" t="str" cm="1">
        <f t="array" ref="G23">Common_InputFunctions.Utility_DisplayArrayInTable(WasteSolid_SourceData.Waste_EmissionFactorsForWasteTreatment_Data(), Table_SourceData_WasteSolid_WasteTreatmentEFs[[#Headers],[Treatment type t]], 0)</f>
        <v>NGAF 2025 table 15</v>
      </c>
      <c r="I23" s="20" t="str">
        <f>Table_SourceData_WasteSolid_WasteTreatmentEFs[[#This Row],[Waste type w]]</f>
        <v>Rubber and leather</v>
      </c>
      <c r="K23" s="1" t="str">
        <f t="shared" si="0"/>
        <v>Rubber and leather</v>
      </c>
    </row>
    <row r="24" spans="1:15" ht="20.100000000000001" customHeight="1" x14ac:dyDescent="0.2">
      <c r="A24" s="5" t="str">
        <f>HYPERLINK("#'5.1.1.1-2 Inorganic fert N2O'!A1", "5.1.1.1-2 Inorganic fert N2O")</f>
        <v>5.1.1.1-2 Inorganic fert N2O</v>
      </c>
      <c r="D24" s="1" t="str" cm="1">
        <f t="array" ref="D24">Common_InputFunctions.Utility_DisplayArrayInTable(WasteSolid_SourceData.Waste_EmissionFactorsForWasteTreatment_Data(), Table_SourceData_WasteSolid_WasteTreatmentEFs[[#Headers],[Treatment type t]], 0)</f>
        <v>Landfill</v>
      </c>
      <c r="E24" s="20" t="str" cm="1">
        <f t="array" ref="E24">Common_InputFunctions.Utility_DisplayArrayInTable(WasteSolid_SourceData.Waste_EmissionFactorsForWasteTreatment_Data(), Table_SourceData_WasteSolid_WasteTreatmentEFs[[#Headers],[Treatment type t]], 0)</f>
        <v>Inert waste (including concrete, metal, plastic or glass)</v>
      </c>
      <c r="F24" s="20" cm="1">
        <f t="array" ref="F24">Common_InputFunctions.Utility_DisplayArrayInTable(WasteSolid_SourceData.Waste_EmissionFactorsForWasteTreatment_Data(), Table_SourceData_WasteSolid_WasteTreatmentEFs[[#Headers],[Treatment type t]], 0)</f>
        <v>0</v>
      </c>
      <c r="G24" s="20" t="str" cm="1">
        <f t="array" ref="G24">Common_InputFunctions.Utility_DisplayArrayInTable(WasteSolid_SourceData.Waste_EmissionFactorsForWasteTreatment_Data(), Table_SourceData_WasteSolid_WasteTreatmentEFs[[#Headers],[Treatment type t]], 0)</f>
        <v>NGAF 2025 table 15</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A25" s="5" t="str">
        <f>HYPERLINK("#'5.1.1.3-4 Inorganic fert CO2'!A1", "5.1.1.3-4 Inorganic fert CO2")</f>
        <v>5.1.1.3-4 Inorganic fert CO2</v>
      </c>
      <c r="D25" s="1" t="str" cm="1">
        <f t="array" ref="D25">Common_InputFunctions.Utility_DisplayArrayInTable(WasteSolid_SourceData.Waste_EmissionFactorsForWasteTreatment_Data(), Table_SourceData_WasteSolid_WasteTreatmentEFs[[#Headers],[Treatment type t]], 0)</f>
        <v>Landfill</v>
      </c>
      <c r="E25" s="20" t="str" cm="1">
        <f t="array" ref="E25">Common_InputFunctions.Utility_DisplayArrayInTable(WasteSolid_SourceData.Waste_EmissionFactorsForWasteTreatment_Data(), Table_SourceData_WasteSolid_WasteTreatmentEFs[[#Headers],[Treatment type t]], 0)</f>
        <v>Municipal solid waste</v>
      </c>
      <c r="F25" s="20" cm="1">
        <f t="array" ref="F25">Common_InputFunctions.Utility_DisplayArrayInTable(WasteSolid_SourceData.Waste_EmissionFactorsForWasteTreatment_Data(), Table_SourceData_WasteSolid_WasteTreatmentEFs[[#Headers],[Treatment type t]], 0)</f>
        <v>1.6</v>
      </c>
      <c r="G25" s="20" t="str" cm="1">
        <f t="array" ref="G25">Common_InputFunctions.Utility_DisplayArrayInTable(WasteSolid_SourceData.Waste_EmissionFactorsForWasteTreatment_Data(), Table_SourceData_WasteSolid_WasteTreatmentEFs[[#Headers],[Treatment type t]], 0)</f>
        <v>NGAF 2025 table 15</v>
      </c>
      <c r="I25" s="20" t="str">
        <f>Table_SourceData_WasteSolid_WasteTreatmentEFs[[#This Row],[Waste type w]]</f>
        <v>Municipal solid waste</v>
      </c>
      <c r="K25" s="1" t="str">
        <f t="shared" si="0"/>
        <v>Municipal solid waste</v>
      </c>
    </row>
    <row r="26" spans="1:15" ht="20.100000000000001" customHeight="1" x14ac:dyDescent="0.2">
      <c r="A26" s="5" t="str">
        <f>HYPERLINK("#'5.2.1.1-2 Organic Fert N2O'!A1", "5.2.1.1-2 Organic fert N2O")</f>
        <v>5.2.1.1-2 Organic fert N2O</v>
      </c>
      <c r="D26" s="1" t="str" cm="1">
        <f t="array" ref="D26">Common_InputFunctions.Utility_DisplayArrayInTable(WasteSolid_SourceData.Waste_EmissionFactorsForWasteTreatment_Data(), Table_SourceData_WasteSolid_WasteTreatmentEFs[[#Headers],[Treatment type t]], 0)</f>
        <v>Landfill</v>
      </c>
      <c r="E26" s="20" t="str" cm="1">
        <f t="array" ref="E26">Common_InputFunctions.Utility_DisplayArrayInTable(WasteSolid_SourceData.Waste_EmissionFactorsForWasteTreatment_Data(), Table_SourceData_WasteSolid_WasteTreatmentEFs[[#Headers],[Treatment type t]], 0)</f>
        <v>Commercial and industrial waste</v>
      </c>
      <c r="F26" s="20" cm="1">
        <f t="array" ref="F26">Common_InputFunctions.Utility_DisplayArrayInTable(WasteSolid_SourceData.Waste_EmissionFactorsForWasteTreatment_Data(), Table_SourceData_WasteSolid_WasteTreatmentEFs[[#Headers],[Treatment type t]], 0)</f>
        <v>1.3</v>
      </c>
      <c r="G26" s="20" t="str" cm="1">
        <f t="array" ref="G26">Common_InputFunctions.Utility_DisplayArrayInTable(WasteSolid_SourceData.Waste_EmissionFactorsForWasteTreatment_Data(), Table_SourceData_WasteSolid_WasteTreatmentEFs[[#Headers],[Treatment type t]], 0)</f>
        <v>NGAF 2025 table 15</v>
      </c>
      <c r="I26" s="20" t="str">
        <f>Table_SourceData_WasteSolid_WasteTreatmentEFs[[#This Row],[Waste type w]]</f>
        <v>Commercial and industrial waste</v>
      </c>
      <c r="K26" s="1" t="str">
        <f t="shared" si="0"/>
        <v>Commercial and industrial waste</v>
      </c>
    </row>
    <row r="27" spans="1:15" ht="20.100000000000001" customHeight="1" x14ac:dyDescent="0.2">
      <c r="A27" s="5" t="str">
        <f>HYPERLINK("#'5.3.1.1-2 Lime CO2'!A1", "5.3.1.1-2 Lime CO2")</f>
        <v>5.3.1.1-2 Lime CO2</v>
      </c>
      <c r="D27" s="1" t="str" cm="1">
        <f t="array" ref="D27">Common_InputFunctions.Utility_DisplayArrayInTable(WasteSolid_SourceData.Waste_EmissionFactorsForWasteTreatment_Data(), Table_SourceData_WasteSolid_WasteTreatmentEFs[[#Headers],[Treatment type t]], 0)</f>
        <v>Landfill</v>
      </c>
      <c r="E27" s="20" t="str" cm="1">
        <f t="array" ref="E27">Common_InputFunctions.Utility_DisplayArrayInTable(WasteSolid_SourceData.Waste_EmissionFactorsForWasteTreatment_Data(), Table_SourceData_WasteSolid_WasteTreatmentEFs[[#Headers],[Treatment type t]], 0)</f>
        <v>Construction and demolition waste</v>
      </c>
      <c r="F27" s="20" cm="1">
        <f t="array" ref="F27">Common_InputFunctions.Utility_DisplayArrayInTable(WasteSolid_SourceData.Waste_EmissionFactorsForWasteTreatment_Data(), Table_SourceData_WasteSolid_WasteTreatmentEFs[[#Headers],[Treatment type t]], 0)</f>
        <v>0.2</v>
      </c>
      <c r="G27" s="20" t="str" cm="1">
        <f t="array" ref="G27">Common_InputFunctions.Utility_DisplayArrayInTable(WasteSolid_SourceData.Waste_EmissionFactorsForWasteTreatment_Data(), Table_SourceData_WasteSolid_WasteTreatmentEFs[[#Headers],[Treatment type t]], 0)</f>
        <v>NGAF 2025 table 15</v>
      </c>
      <c r="I27" s="20" t="str">
        <f>Table_SourceData_WasteSolid_WasteTreatmentEFs[[#This Row],[Waste type w]]</f>
        <v>Construction and demolition waste</v>
      </c>
    </row>
    <row r="28" spans="1:15" ht="20.100000000000001" customHeight="1" x14ac:dyDescent="0.2">
      <c r="A28" s="5" t="str">
        <f>HYPERLINK("#'5.4.1.1-4 Atmos deposition'!A1", "5.4.1.1-4 Atmos. deposition")</f>
        <v>5.4.1.1-4 Atmos. deposition</v>
      </c>
      <c r="D28" s="1" t="str" cm="1">
        <f t="array" ref="D28">Common_InputFunctions.Utility_DisplayArrayInTable(WasteSolid_SourceData.Waste_EmissionFactorsForWasteTreatment_Data(), Table_SourceData_WasteSolid_WasteTreatmentEFs[[#Headers],[Treatment type t]], 0)</f>
        <v>Incineration</v>
      </c>
      <c r="E28" s="20" t="str" cm="1">
        <f t="array" ref="E28">Common_InputFunctions.Utility_DisplayArrayInTable(WasteSolid_SourceData.Waste_EmissionFactorsForWasteTreatment_Data(), Table_SourceData_WasteSolid_WasteTreatmentEFs[[#Headers],[Treatment type t]], 0)</f>
        <v>Food waste, green waste, wood, sludge</v>
      </c>
      <c r="F28" s="20" cm="1">
        <f t="array" ref="F28">Common_InputFunctions.Utility_DisplayArrayInTable(WasteSolid_SourceData.Waste_EmissionFactorsForWasteTreatment_Data(), Table_SourceData_WasteSolid_WasteTreatmentEFs[[#Headers],[Treatment type t]], 0)</f>
        <v>0</v>
      </c>
      <c r="G28" s="2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
      <c r="A29" s="5" t="str">
        <f>HYPERLINK("#'5.5.1.1-2 Leaching and runoff'!A1", "5.5.1.1-2 Leaching &amp; runoff")</f>
        <v>5.5.1.1-2 Leaching &amp; runoff</v>
      </c>
      <c r="D29" s="1" t="str" cm="1">
        <f t="array" ref="D29">Common_InputFunctions.Utility_DisplayArrayInTable(WasteSolid_SourceData.Waste_EmissionFactorsForWasteTreatment_Data(), Table_SourceData_WasteSolid_WasteTreatmentEFs[[#Headers],[Treatment type t]], 0)</f>
        <v>Incineration</v>
      </c>
      <c r="E29" s="2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0" cm="1">
        <f t="array" ref="F29">Common_InputFunctions.Utility_DisplayArrayInTable(WasteSolid_SourceData.Waste_EmissionFactorsForWasteTreatment_Data(), Table_SourceData_WasteSolid_WasteTreatmentEFs[[#Headers],[Treatment type t]], 0)</f>
        <v>0</v>
      </c>
      <c r="G29" s="2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
      <c r="A30" s="5" t="str">
        <f>HYPERLINK("#'6.1.1.1-2 Crop residue N2O'!A1", "6.1.1.1-2 Crop residue N2O")</f>
        <v>6.1.1.1-2 Crop residue N2O</v>
      </c>
      <c r="D30" s="1" t="str" cm="1">
        <f t="array" ref="D30">Common_InputFunctions.Utility_DisplayArrayInTable(WasteSolid_SourceData.Waste_EmissionFactorsForWasteTreatment_Data(), Table_SourceData_WasteSolid_WasteTreatmentEFs[[#Headers],[Treatment type t]], 0)</f>
        <v>Incineration</v>
      </c>
      <c r="E30" s="20" t="str" cm="1">
        <f t="array" ref="E30">Common_InputFunctions.Utility_DisplayArrayInTable(WasteSolid_SourceData.Waste_EmissionFactorsForWasteTreatment_Data(), Table_SourceData_WasteSolid_WasteTreatmentEFs[[#Headers],[Treatment type t]], 0)</f>
        <v>Green waste (including crop residues or prunings)</v>
      </c>
      <c r="F30" s="20" cm="1">
        <f t="array" ref="F30">Common_InputFunctions.Utility_DisplayArrayInTable(WasteSolid_SourceData.Waste_EmissionFactorsForWasteTreatment_Data(), Table_SourceData_WasteSolid_WasteTreatmentEFs[[#Headers],[Treatment type t]], 0)</f>
        <v>0</v>
      </c>
      <c r="G30" s="2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
      <c r="A31" s="5" t="str">
        <f>HYPERLINK("#'6.3.1.1-2 Leach runoff crop'!A1", "6.3.1.1-2 Leach &amp; runoff (crop)")</f>
        <v>6.3.1.1-2 Leach &amp; runoff (crop)</v>
      </c>
      <c r="D31" s="1" t="str" cm="1">
        <f t="array" ref="D31">Common_InputFunctions.Utility_DisplayArrayInTable(WasteSolid_SourceData.Waste_EmissionFactorsForWasteTreatment_Data(), Table_SourceData_WasteSolid_WasteTreatmentEFs[[#Headers],[Treatment type t]], 0)</f>
        <v>Incineration</v>
      </c>
      <c r="E31" s="20" t="str" cm="1">
        <f t="array" ref="E31">Common_InputFunctions.Utility_DisplayArrayInTable(WasteSolid_SourceData.Waste_EmissionFactorsForWasteTreatment_Data(), Table_SourceData_WasteSolid_WasteTreatmentEFs[[#Headers],[Treatment type t]], 0)</f>
        <v>Wood</v>
      </c>
      <c r="F31" s="20" cm="1">
        <f t="array" ref="F31">Common_InputFunctions.Utility_DisplayArrayInTable(WasteSolid_SourceData.Waste_EmissionFactorsForWasteTreatment_Data(), Table_SourceData_WasteSolid_WasteTreatmentEFs[[#Headers],[Treatment type t]], 0)</f>
        <v>0</v>
      </c>
      <c r="G31" s="2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
      <c r="A32" s="5" t="str">
        <f>HYPERLINK("#'8.1.1.1-2 Transport fuel'!A1", "8.1.1.1-2 Transport fuel")</f>
        <v>8.1.1.1-2 Transport fuel</v>
      </c>
      <c r="D32" s="1" t="str" cm="1">
        <f t="array" ref="D32">Common_InputFunctions.Utility_DisplayArrayInTable(WasteSolid_SourceData.Waste_EmissionFactorsForWasteTreatment_Data(), Table_SourceData_WasteSolid_WasteTreatmentEFs[[#Headers],[Treatment type t]], 0)</f>
        <v>Incineration</v>
      </c>
      <c r="E32" s="20" t="str" cm="1">
        <f t="array" ref="E32">Common_InputFunctions.Utility_DisplayArrayInTable(WasteSolid_SourceData.Waste_EmissionFactorsForWasteTreatment_Data(), Table_SourceData_WasteSolid_WasteTreatmentEFs[[#Headers],[Treatment type t]], 0)</f>
        <v>Sludge</v>
      </c>
      <c r="F32" s="20" cm="1">
        <f t="array" ref="F32">Common_InputFunctions.Utility_DisplayArrayInTable(WasteSolid_SourceData.Waste_EmissionFactorsForWasteTreatment_Data(), Table_SourceData_WasteSolid_WasteTreatmentEFs[[#Headers],[Treatment type t]], 0)</f>
        <v>0</v>
      </c>
      <c r="G32" s="2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
      <c r="A33" s="5" t="str">
        <f>HYPERLINK("#'8.2.1.1-2 Stationary fuel'!A1", "8.2.1.1-2 Stationary fuel")</f>
        <v>8.2.1.1-2 Stationary fuel</v>
      </c>
      <c r="D33" s="1" t="str" cm="1">
        <f t="array" ref="D33">Common_InputFunctions.Utility_DisplayArrayInTable(WasteSolid_SourceData.Waste_EmissionFactorsForWasteTreatment_Data(), Table_SourceData_WasteSolid_WasteTreatmentEFs[[#Headers],[Treatment type t]], 0)</f>
        <v>Incineration</v>
      </c>
      <c r="E33" s="20" t="str" cm="1">
        <f t="array" ref="E33">Common_InputFunctions.Utility_DisplayArrayInTable(WasteSolid_SourceData.Waste_EmissionFactorsForWasteTreatment_Data(), Table_SourceData_WasteSolid_WasteTreatmentEFs[[#Headers],[Treatment type t]], 0)</f>
        <v>Paper and cardboard</v>
      </c>
      <c r="F33" s="20" cm="1">
        <f t="array" ref="F33">Common_InputFunctions.Utility_DisplayArrayInTable(WasteSolid_SourceData.Waste_EmissionFactorsForWasteTreatment_Data(), Table_SourceData_WasteSolid_WasteTreatmentEFs[[#Headers],[Treatment type t]], 0)</f>
        <v>1.6899999999999998E-2</v>
      </c>
      <c r="G33" s="2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
      <c r="A34" s="5" t="str">
        <f>HYPERLINK("#'10.1.1-2 Solid waste treatment'!A1", "10.1.1.1-2 Solid waste")</f>
        <v>10.1.1.1-2 Solid waste</v>
      </c>
      <c r="D34" s="1" t="str" cm="1">
        <f t="array" ref="D34">Common_InputFunctions.Utility_DisplayArrayInTable(WasteSolid_SourceData.Waste_EmissionFactorsForWasteTreatment_Data(), Table_SourceData_WasteSolid_WasteTreatmentEFs[[#Headers],[Treatment type t]], 0)</f>
        <v>Incineration</v>
      </c>
      <c r="E34" s="20" t="str" cm="1">
        <f t="array" ref="E34">Common_InputFunctions.Utility_DisplayArrayInTable(WasteSolid_SourceData.Waste_EmissionFactorsForWasteTreatment_Data(), Table_SourceData_WasteSolid_WasteTreatmentEFs[[#Headers],[Treatment type t]], 0)</f>
        <v>Textiles</v>
      </c>
      <c r="F34" s="20" cm="1">
        <f t="array" ref="F34">Common_InputFunctions.Utility_DisplayArrayInTable(WasteSolid_SourceData.Waste_EmissionFactorsForWasteTreatment_Data(), Table_SourceData_WasteSolid_WasteTreatmentEFs[[#Headers],[Treatment type t]], 0)</f>
        <v>0.36670000000000003</v>
      </c>
      <c r="G34" s="2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
      <c r="A35" s="5" t="str">
        <f>HYPERLINK("#'14.1.1-2 Purchased electricity'!A1", "14.1.1-2 Purchased electricity")</f>
        <v>14.1.1-2 Purchased electricity</v>
      </c>
      <c r="D35" s="1" t="str" cm="1">
        <f t="array" ref="D35">Common_InputFunctions.Utility_DisplayArrayInTable(WasteSolid_SourceData.Waste_EmissionFactorsForWasteTreatment_Data(), Table_SourceData_WasteSolid_WasteTreatmentEFs[[#Headers],[Treatment type t]], 0)</f>
        <v>Incineration</v>
      </c>
      <c r="E35" s="20" t="str" cm="1">
        <f t="array" ref="E35">Common_InputFunctions.Utility_DisplayArrayInTable(WasteSolid_SourceData.Waste_EmissionFactorsForWasteTreatment_Data(), Table_SourceData_WasteSolid_WasteTreatmentEFs[[#Headers],[Treatment type t]], 0)</f>
        <v>Rubber and leather</v>
      </c>
      <c r="F35" s="20" cm="1">
        <f t="array" ref="F35">Common_InputFunctions.Utility_DisplayArrayInTable(WasteSolid_SourceData.Waste_EmissionFactorsForWasteTreatment_Data(), Table_SourceData_WasteSolid_WasteTreatmentEFs[[#Headers],[Treatment type t]], 0)</f>
        <v>0.4919</v>
      </c>
      <c r="G35" s="2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
      <c r="A36" s="5" t="str">
        <f>HYPERLINK("#'15 Scope 3'!A1", "15 Scope 3")</f>
        <v>15 Scope 3</v>
      </c>
      <c r="D36" s="1" t="str" cm="1">
        <f t="array" ref="D36">Common_InputFunctions.Utility_DisplayArrayInTable(WasteSolid_SourceData.Waste_EmissionFactorsForWasteTreatment_Data(), Table_SourceData_WasteSolid_WasteTreatmentEFs[[#Headers],[Treatment type t]], 0)</f>
        <v>Incineration</v>
      </c>
      <c r="E36" s="20" t="str" cm="1">
        <f t="array" ref="E36">Common_InputFunctions.Utility_DisplayArrayInTable(WasteSolid_SourceData.Waste_EmissionFactorsForWasteTreatment_Data(), Table_SourceData_WasteSolid_WasteTreatmentEFs[[#Headers],[Treatment type t]], 0)</f>
        <v>Inert waste (including concrete, metal, plastic or glass)</v>
      </c>
      <c r="F36" s="20" cm="1">
        <f t="array" ref="F36">Common_InputFunctions.Utility_DisplayArrayInTable(WasteSolid_SourceData.Waste_EmissionFactorsForWasteTreatment_Data(), Table_SourceData_WasteSolid_WasteTreatmentEFs[[#Headers],[Treatment type t]], 0)</f>
        <v>0.11</v>
      </c>
      <c r="G36" s="2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
      <c r="D37" s="1" t="str" cm="1">
        <f t="array" ref="D37">Common_InputFunctions.Utility_DisplayArrayInTable(WasteSolid_SourceData.Waste_EmissionFactorsForWasteTreatment_Data(), Table_SourceData_WasteSolid_WasteTreatmentEFs[[#Headers],[Treatment type t]], 0)</f>
        <v>Incineration</v>
      </c>
      <c r="E37" s="20" t="str" cm="1">
        <f t="array" ref="E37">Common_InputFunctions.Utility_DisplayArrayInTable(WasteSolid_SourceData.Waste_EmissionFactorsForWasteTreatment_Data(), Table_SourceData_WasteSolid_WasteTreatmentEFs[[#Headers],[Treatment type t]], 0)</f>
        <v>Municipal solid waste</v>
      </c>
      <c r="F37" s="20" cm="1">
        <f t="array" ref="F37">Common_InputFunctions.Utility_DisplayArrayInTable(WasteSolid_SourceData.Waste_EmissionFactorsForWasteTreatment_Data(), Table_SourceData_WasteSolid_WasteTreatmentEFs[[#Headers],[Treatment type t]], 0)</f>
        <v>5.3699999999999998E-2</v>
      </c>
      <c r="G37" s="222"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
      <c r="D38" s="1" t="str" cm="1">
        <f t="array" ref="D38">Common_InputFunctions.Utility_DisplayArrayInTable(WasteSolid_SourceData.Waste_EmissionFactorsForWasteTreatment_Data(), Table_SourceData_WasteSolid_WasteTreatmentEFs[[#Headers],[Treatment type t]], 0)</f>
        <v>Incineration</v>
      </c>
      <c r="E38" s="20" t="str" cm="1">
        <f t="array" ref="E38">Common_InputFunctions.Utility_DisplayArrayInTable(WasteSolid_SourceData.Waste_EmissionFactorsForWasteTreatment_Data(), Table_SourceData_WasteSolid_WasteTreatmentEFs[[#Headers],[Treatment type t]], 0)</f>
        <v>Commercial and industrial waste</v>
      </c>
      <c r="F38" s="20" cm="1">
        <f t="array" ref="F38">Common_InputFunctions.Utility_DisplayArrayInTable(WasteSolid_SourceData.Waste_EmissionFactorsForWasteTreatment_Data(), Table_SourceData_WasteSolid_WasteTreatmentEFs[[#Headers],[Treatment type t]], 0)</f>
        <v>1.649</v>
      </c>
      <c r="G38" s="222"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
      <c r="A39" s="82" t="s">
        <v>1</v>
      </c>
      <c r="D39" s="1" t="str" cm="1">
        <f t="array" ref="D39">Common_InputFunctions.Utility_DisplayArrayInTable(WasteSolid_SourceData.Waste_EmissionFactorsForWasteTreatment_Data(), Table_SourceData_WasteSolid_WasteTreatmentEFs[[#Headers],[Treatment type t]], 0)</f>
        <v>Composting</v>
      </c>
      <c r="E39" s="20" t="str" cm="1">
        <f t="array" ref="E39">Common_InputFunctions.Utility_DisplayArrayInTable(WasteSolid_SourceData.Waste_EmissionFactorsForWasteTreatment_Data(), Table_SourceData_WasteSolid_WasteTreatmentEFs[[#Headers],[Treatment type t]], 0)</f>
        <v>All organic waste</v>
      </c>
      <c r="F39" s="20" cm="1">
        <f t="array" ref="F39">Common_InputFunctions.Utility_DisplayArrayInTable(WasteSolid_SourceData.Waste_EmissionFactorsForWasteTreatment_Data(), Table_SourceData_WasteSolid_WasteTreatmentEFs[[#Headers],[Treatment type t]], 0)</f>
        <v>4.5999999999999999E-2</v>
      </c>
      <c r="G39" s="222"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
      <c r="A40" s="5" t="str">
        <f>HYPERLINK("#'Constants - Ag Residue'!A1", "Constants - Ag residue")</f>
        <v>Constants - Ag residue</v>
      </c>
      <c r="D40" s="1" t="str" cm="1">
        <f t="array" ref="D40">Common_InputFunctions.Utility_DisplayArrayInTable(WasteSolid_SourceData.Waste_EmissionFactorsForWasteTreatment_Data(), Table_SourceData_WasteSolid_WasteTreatmentEFs[[#Headers],[Treatment type t]], 0)</f>
        <v>Composting</v>
      </c>
      <c r="E40" s="2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0" cm="1">
        <f t="array" ref="F40">Common_InputFunctions.Utility_DisplayArrayInTable(WasteSolid_SourceData.Waste_EmissionFactorsForWasteTreatment_Data(), Table_SourceData_WasteSolid_WasteTreatmentEFs[[#Headers],[Treatment type t]], 0)</f>
        <v>4.5999999999999999E-2</v>
      </c>
      <c r="G40" s="222"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
      <c r="A41" s="5" t="str">
        <f>HYPERLINK("#'Constants - Electricity'!A1", "Constants - Electricity")</f>
        <v>Constants - Electricity</v>
      </c>
      <c r="D41" s="1" t="str" cm="1">
        <f t="array" ref="D41">Common_InputFunctions.Utility_DisplayArrayInTable(WasteSolid_SourceData.Waste_EmissionFactorsForWasteTreatment_Data(), Table_SourceData_WasteSolid_WasteTreatmentEFs[[#Headers],[Treatment type t]], 0)</f>
        <v>Composting</v>
      </c>
      <c r="E41" s="20" t="str" cm="1">
        <f t="array" ref="E41">Common_InputFunctions.Utility_DisplayArrayInTable(WasteSolid_SourceData.Waste_EmissionFactorsForWasteTreatment_Data(), Table_SourceData_WasteSolid_WasteTreatmentEFs[[#Headers],[Treatment type t]], 0)</f>
        <v>Green waste (including crop residues or prunings)</v>
      </c>
      <c r="F41" s="20" cm="1">
        <f t="array" ref="F41">Common_InputFunctions.Utility_DisplayArrayInTable(WasteSolid_SourceData.Waste_EmissionFactorsForWasteTreatment_Data(), Table_SourceData_WasteSolid_WasteTreatmentEFs[[#Headers],[Treatment type t]], 0)</f>
        <v>4.5999999999999999E-2</v>
      </c>
      <c r="G41" s="222"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
      <c r="A42" s="5" t="str">
        <f>HYPERLINK("#'Constants - Fertiliser'!A1", "Constants - Fertiliser")</f>
        <v>Constants - Fertiliser</v>
      </c>
      <c r="D42" s="1" t="str" cm="1">
        <f t="array" ref="D42">Common_InputFunctions.Utility_DisplayArrayInTable(WasteSolid_SourceData.Waste_EmissionFactorsForWasteTreatment_Data(), Table_SourceData_WasteSolid_WasteTreatmentEFs[[#Headers],[Treatment type t]], 0)</f>
        <v>Composting</v>
      </c>
      <c r="E42" s="20" t="str" cm="1">
        <f t="array" ref="E42">Common_InputFunctions.Utility_DisplayArrayInTable(WasteSolid_SourceData.Waste_EmissionFactorsForWasteTreatment_Data(), Table_SourceData_WasteSolid_WasteTreatmentEFs[[#Headers],[Treatment type t]], 0)</f>
        <v>Wood</v>
      </c>
      <c r="F42" s="20" cm="1">
        <f t="array" ref="F42">Common_InputFunctions.Utility_DisplayArrayInTable(WasteSolid_SourceData.Waste_EmissionFactorsForWasteTreatment_Data(), Table_SourceData_WasteSolid_WasteTreatmentEFs[[#Headers],[Treatment type t]], 0)</f>
        <v>4.5999999999999999E-2</v>
      </c>
      <c r="G42" s="222"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
      <c r="A43" s="5" t="str">
        <f>HYPERLINK("#'Constants - Fuel'!A1", "Constants - Fuel")</f>
        <v>Constants - Fuel</v>
      </c>
      <c r="D43" s="1" t="str" cm="1">
        <f t="array" ref="D43">Common_InputFunctions.Utility_DisplayArrayInTable(WasteSolid_SourceData.Waste_EmissionFactorsForWasteTreatment_Data(), Table_SourceData_WasteSolid_WasteTreatmentEFs[[#Headers],[Treatment type t]], 0)</f>
        <v>Composting</v>
      </c>
      <c r="E43" s="20" t="str" cm="1">
        <f t="array" ref="E43">Common_InputFunctions.Utility_DisplayArrayInTable(WasteSolid_SourceData.Waste_EmissionFactorsForWasteTreatment_Data(), Table_SourceData_WasteSolid_WasteTreatmentEFs[[#Headers],[Treatment type t]], 0)</f>
        <v>Sludge</v>
      </c>
      <c r="F43" s="20" cm="1">
        <f t="array" ref="F43">Common_InputFunctions.Utility_DisplayArrayInTable(WasteSolid_SourceData.Waste_EmissionFactorsForWasteTreatment_Data(), Table_SourceData_WasteSolid_WasteTreatmentEFs[[#Headers],[Treatment type t]], 0)</f>
        <v>4.5999999999999999E-2</v>
      </c>
      <c r="G43" s="222"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
      <c r="A44" s="5" t="str">
        <f>HYPERLINK("#'Constants - Scope 3'!A1", "Constants - Scope 3")</f>
        <v>Constants - Scope 3</v>
      </c>
      <c r="D44" s="1" t="str" cm="1">
        <f t="array" ref="D44">Common_InputFunctions.Utility_DisplayArrayInTable(WasteSolid_SourceData.Waste_EmissionFactorsForWasteTreatment_Data(), Table_SourceData_WasteSolid_WasteTreatmentEFs[[#Headers],[Treatment type t]], 0)</f>
        <v>Composting</v>
      </c>
      <c r="E44" s="20" t="str" cm="1">
        <f t="array" ref="E44">Common_InputFunctions.Utility_DisplayArrayInTable(WasteSolid_SourceData.Waste_EmissionFactorsForWasteTreatment_Data(), Table_SourceData_WasteSolid_WasteTreatmentEFs[[#Headers],[Treatment type t]], 0)</f>
        <v>Paper and cardboard</v>
      </c>
      <c r="F44" s="20" cm="1">
        <f t="array" ref="F44">Common_InputFunctions.Utility_DisplayArrayInTable(WasteSolid_SourceData.Waste_EmissionFactorsForWasteTreatment_Data(), Table_SourceData_WasteSolid_WasteTreatmentEFs[[#Headers],[Treatment type t]], 0)</f>
        <v>4.5999999999999999E-2</v>
      </c>
      <c r="G44" s="222"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
      <c r="A45" s="83" t="str">
        <f>HYPERLINK("#'Constants - Solid Waste'!A1", "Constants - Solid Waste")</f>
        <v>Constants - Solid Waste</v>
      </c>
      <c r="D45" s="1" t="str" cm="1">
        <f t="array" ref="D45">Common_InputFunctions.Utility_DisplayArrayInTable(WasteSolid_SourceData.Waste_EmissionFactorsForWasteTreatment_Data(), Table_SourceData_WasteSolid_WasteTreatmentEFs[[#Headers],[Treatment type t]], 0)</f>
        <v>Anaerobic digestion</v>
      </c>
      <c r="E45" s="20" t="str" cm="1">
        <f t="array" ref="E45">Common_InputFunctions.Utility_DisplayArrayInTable(WasteSolid_SourceData.Waste_EmissionFactorsForWasteTreatment_Data(), Table_SourceData_WasteSolid_WasteTreatmentEFs[[#Headers],[Treatment type t]], 0)</f>
        <v>All organic waste</v>
      </c>
      <c r="F45" s="20" cm="1">
        <f t="array" ref="F45">Common_InputFunctions.Utility_DisplayArrayInTable(WasteSolid_SourceData.Waste_EmissionFactorsForWasteTreatment_Data(), Table_SourceData_WasteSolid_WasteTreatmentEFs[[#Headers],[Treatment type t]], 0)</f>
        <v>2.8000000000000001E-2</v>
      </c>
      <c r="G45" s="222"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
      <c r="A46" s="5" t="str">
        <f>HYPERLINK("#'Constants - Common'!A1", "Constants - Common")</f>
        <v>Constants - Common</v>
      </c>
      <c r="D46" s="1" t="str" cm="1">
        <f t="array" ref="D46">Common_InputFunctions.Utility_DisplayArrayInTable(WasteSolid_SourceData.Waste_EmissionFactorsForWasteTreatment_Data(), Table_SourceData_WasteSolid_WasteTreatmentEFs[[#Headers],[Treatment type t]], 0)</f>
        <v>Anaerobic digestion</v>
      </c>
      <c r="E46" s="2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0" cm="1">
        <f t="array" ref="F46">Common_InputFunctions.Utility_DisplayArrayInTable(WasteSolid_SourceData.Waste_EmissionFactorsForWasteTreatment_Data(), Table_SourceData_WasteSolid_WasteTreatmentEFs[[#Headers],[Treatment type t]], 0)</f>
        <v>2.8000000000000001E-2</v>
      </c>
      <c r="G46" s="222"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
      <c r="A47" s="5" t="str">
        <f>HYPERLINK("#'Constants - Common Livestock'!A1", "Constants - Common Livestock")</f>
        <v>Constants - Common Livestock</v>
      </c>
      <c r="D47" s="1" t="str" cm="1">
        <f t="array" ref="D47">Common_InputFunctions.Utility_DisplayArrayInTable(WasteSolid_SourceData.Waste_EmissionFactorsForWasteTreatment_Data(), Table_SourceData_WasteSolid_WasteTreatmentEFs[[#Headers],[Treatment type t]], 0)</f>
        <v>Anaerobic digestion</v>
      </c>
      <c r="E47" s="20" t="str" cm="1">
        <f t="array" ref="E47">Common_InputFunctions.Utility_DisplayArrayInTable(WasteSolid_SourceData.Waste_EmissionFactorsForWasteTreatment_Data(), Table_SourceData_WasteSolid_WasteTreatmentEFs[[#Headers],[Treatment type t]], 0)</f>
        <v>Green waste (including crop residues or prunings)</v>
      </c>
      <c r="F47" s="20" cm="1">
        <f t="array" ref="F47">Common_InputFunctions.Utility_DisplayArrayInTable(WasteSolid_SourceData.Waste_EmissionFactorsForWasteTreatment_Data(), Table_SourceData_WasteSolid_WasteTreatmentEFs[[#Headers],[Treatment type t]], 0)</f>
        <v>2.8000000000000001E-2</v>
      </c>
      <c r="G47" s="222"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
      <c r="D48" s="1" t="str" cm="1">
        <f t="array" ref="D48">Common_InputFunctions.Utility_DisplayArrayInTable(WasteSolid_SourceData.Waste_EmissionFactorsForWasteTreatment_Data(), Table_SourceData_WasteSolid_WasteTreatmentEFs[[#Headers],[Treatment type t]], 0)</f>
        <v>Anaerobic digestion</v>
      </c>
      <c r="E48" s="20" t="str" cm="1">
        <f t="array" ref="E48">Common_InputFunctions.Utility_DisplayArrayInTable(WasteSolid_SourceData.Waste_EmissionFactorsForWasteTreatment_Data(), Table_SourceData_WasteSolid_WasteTreatmentEFs[[#Headers],[Treatment type t]], 0)</f>
        <v>Wood</v>
      </c>
      <c r="F48" s="20" cm="1">
        <f t="array" ref="F48">Common_InputFunctions.Utility_DisplayArrayInTable(WasteSolid_SourceData.Waste_EmissionFactorsForWasteTreatment_Data(), Table_SourceData_WasteSolid_WasteTreatmentEFs[[#Headers],[Treatment type t]], 0)</f>
        <v>2.8000000000000001E-2</v>
      </c>
      <c r="G48" s="222"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
      <c r="D49" s="1" t="str" cm="1">
        <f t="array" ref="D49">Common_InputFunctions.Utility_DisplayArrayInTable(WasteSolid_SourceData.Waste_EmissionFactorsForWasteTreatment_Data(), Table_SourceData_WasteSolid_WasteTreatmentEFs[[#Headers],[Treatment type t]], 0)</f>
        <v>Anaerobic digestion</v>
      </c>
      <c r="E49" s="20" t="str" cm="1">
        <f t="array" ref="E49">Common_InputFunctions.Utility_DisplayArrayInTable(WasteSolid_SourceData.Waste_EmissionFactorsForWasteTreatment_Data(), Table_SourceData_WasteSolid_WasteTreatmentEFs[[#Headers],[Treatment type t]], 0)</f>
        <v>Sludge</v>
      </c>
      <c r="F49" s="20" cm="1">
        <f t="array" ref="F49">Common_InputFunctions.Utility_DisplayArrayInTable(WasteSolid_SourceData.Waste_EmissionFactorsForWasteTreatment_Data(), Table_SourceData_WasteSolid_WasteTreatmentEFs[[#Headers],[Treatment type t]], 0)</f>
        <v>2.8000000000000001E-2</v>
      </c>
      <c r="G49" s="222"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
      <c r="D50" s="1" t="str" cm="1">
        <f t="array" ref="D50">Common_InputFunctions.Utility_DisplayArrayInTable(WasteSolid_SourceData.Waste_EmissionFactorsForWasteTreatment_Data(), Table_SourceData_WasteSolid_WasteTreatmentEFs[[#Headers],[Treatment type t]], 0)</f>
        <v>Anaerobic digestion</v>
      </c>
      <c r="E50" s="20" t="str" cm="1">
        <f t="array" ref="E50">Common_InputFunctions.Utility_DisplayArrayInTable(WasteSolid_SourceData.Waste_EmissionFactorsForWasteTreatment_Data(), Table_SourceData_WasteSolid_WasteTreatmentEFs[[#Headers],[Treatment type t]], 0)</f>
        <v>Paper and cardboard</v>
      </c>
      <c r="F50" s="20" cm="1">
        <f t="array" ref="F50">Common_InputFunctions.Utility_DisplayArrayInTable(WasteSolid_SourceData.Waste_EmissionFactorsForWasteTreatment_Data(), Table_SourceData_WasteSolid_WasteTreatmentEFs[[#Headers],[Treatment type t]], 0)</f>
        <v>2.8000000000000001E-2</v>
      </c>
      <c r="G50" s="222" t="str" cm="1">
        <f t="array" ref="G50">Common_InputFunctions.Utility_DisplayArrayInTable(WasteSolid_SourceData.Waste_EmissionFactorsForWasteTreatment_Data(), Table_SourceData_WasteSolid_WasteTreatmentEFs[[#Headers],[Treatment type t]], 0)</f>
        <v/>
      </c>
    </row>
    <row r="52" spans="1:7" ht="20.100000000000001" customHeight="1" x14ac:dyDescent="0.2">
      <c r="D52" s="2" t="str" cm="1">
        <f t="array" ref="D52">WasteSolid_SourceData.Waste_WasteVolumeToMassConversion_Title()</f>
        <v>Volume to mass conversion factor for various waste types</v>
      </c>
    </row>
    <row r="53" spans="1:7" ht="20.100000000000001" customHeight="1" x14ac:dyDescent="0.2">
      <c r="D53" s="17" t="str" cm="1">
        <f t="array" ref="D53">WasteSolid_SourceData.Waste_WasteVolumeToMassConversion_Source()</f>
        <v>VEERG 2026: Table A.4.1.2</v>
      </c>
    </row>
    <row r="54" spans="1:7" ht="20.100000000000001" customHeight="1" x14ac:dyDescent="0.2">
      <c r="D54" s="26" t="str" cm="1">
        <f t="array" ref="D54">WasteSolid_SourceData.Waste_WasteVolumeToMassConversion_Variation()</f>
        <v>VARIATION OF SOURCE: Changed column header CFw to VTMw to match title variable.</v>
      </c>
    </row>
    <row r="55" spans="1:7" ht="20.100000000000001" customHeight="1" x14ac:dyDescent="0.2">
      <c r="D55" s="1" t="str" cm="1">
        <f t="array" ref="D55">WasteSolid_SourceData.Waste_WasteVolumeToMassConversion_Variable()</f>
        <v>VTMw</v>
      </c>
    </row>
    <row r="56" spans="1:7" ht="20.100000000000001" customHeight="1" x14ac:dyDescent="0.2">
      <c r="D56" s="9" t="str" cm="1">
        <f t="array" ref="D56">WasteSolid_SourceData.Waste_WasteVolumeToMassConversion_Unit()</f>
        <v>t/m3</v>
      </c>
    </row>
    <row r="57" spans="1:7" ht="20.100000000000001" customHeight="1" x14ac:dyDescent="0.2">
      <c r="D57" s="20" t="s">
        <v>737</v>
      </c>
      <c r="E57" s="20" t="s">
        <v>740</v>
      </c>
    </row>
    <row r="58" spans="1:7" ht="20.100000000000001" customHeight="1" x14ac:dyDescent="0.2">
      <c r="A58" s="81" t="str">
        <f>HYPERLINK("#A1", "▲ Back to top")</f>
        <v>▲ Back to top</v>
      </c>
      <c r="D58" s="2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0" cm="1">
        <f t="array" ref="E58">Common_InputFunctions.Utility_DisplayArrayInTable(WasteSolid_SourceData.Waste_WasteVolumeToMassConversion_Data(), Table_SourceData_WasteSolid_VolumeToMassConversion[[#Headers],[Waste type w]], 0)</f>
        <v>0.5</v>
      </c>
    </row>
    <row r="59" spans="1:7" ht="20.100000000000001" customHeight="1" x14ac:dyDescent="0.2">
      <c r="D59" s="1" t="str" cm="1">
        <f t="array" ref="D59">Common_InputFunctions.Utility_DisplayArrayInTable(WasteSolid_SourceData.Waste_WasteVolumeToMassConversion_Data(), Table_SourceData_WasteSolid_VolumeToMassConversion[[#Headers],[Waste type w]], 0)</f>
        <v>Paper and cardboard</v>
      </c>
      <c r="E59" s="2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
      <c r="D60" s="1" t="str" cm="1">
        <f t="array" ref="D60">Common_InputFunctions.Utility_DisplayArrayInTable(WasteSolid_SourceData.Waste_WasteVolumeToMassConversion_Data(), Table_SourceData_WasteSolid_VolumeToMassConversion[[#Headers],[Waste type w]], 0)</f>
        <v>Green waste (including crop residues or prunings)</v>
      </c>
      <c r="E60" s="2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
      <c r="D61" s="1" t="str" cm="1">
        <f t="array" ref="D61">Common_InputFunctions.Utility_DisplayArrayInTable(WasteSolid_SourceData.Waste_WasteVolumeToMassConversion_Data(), Table_SourceData_WasteSolid_VolumeToMassConversion[[#Headers],[Waste type w]], 0)</f>
        <v>Wood</v>
      </c>
      <c r="E61" s="2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
      <c r="D62" s="1" t="str" cm="1">
        <f t="array" ref="D62">Common_InputFunctions.Utility_DisplayArrayInTable(WasteSolid_SourceData.Waste_WasteVolumeToMassConversion_Data(), Table_SourceData_WasteSolid_VolumeToMassConversion[[#Headers],[Waste type w]], 0)</f>
        <v>Textiles</v>
      </c>
      <c r="E62" s="2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
      <c r="D63" s="1" t="str" cm="1">
        <f t="array" ref="D63">Common_InputFunctions.Utility_DisplayArrayInTable(WasteSolid_SourceData.Waste_WasteVolumeToMassConversion_Data(), Table_SourceData_WasteSolid_VolumeToMassConversion[[#Headers],[Waste type w]], 0)</f>
        <v>Sludge</v>
      </c>
      <c r="E63" s="2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
      <c r="D64" s="1" t="str" cm="1">
        <f t="array" ref="D64">Common_InputFunctions.Utility_DisplayArrayInTable(WasteSolid_SourceData.Waste_WasteVolumeToMassConversion_Data(), Table_SourceData_WasteSolid_VolumeToMassConversion[[#Headers],[Waste type w]], 0)</f>
        <v>Rubber and leather</v>
      </c>
      <c r="E64" s="2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
      <c r="D66" s="1" t="str" cm="1">
        <f t="array" ref="D66">Common_InputFunctions.Utility_DisplayArrayInTable(WasteSolid_SourceData.Waste_WasteVolumeToMassConversion_Data(), Table_SourceData_WasteSolid_VolumeToMassConversion[[#Headers],[Waste type w]], 0)</f>
        <v>Municipal solid waste</v>
      </c>
      <c r="E66" s="2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
      <c r="D67" s="1" t="str" cm="1">
        <f t="array" ref="D67">Common_InputFunctions.Utility_DisplayArrayInTable(WasteSolid_SourceData.Waste_WasteVolumeToMassConversion_Data(), Table_SourceData_WasteSolid_VolumeToMassConversion[[#Headers],[Waste type w]], 0)</f>
        <v>Commercial and industrial waste</v>
      </c>
      <c r="E67" s="2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
      <c r="D68" s="1" t="str" cm="1">
        <f t="array" ref="D68">Common_InputFunctions.Utility_DisplayArrayInTable(WasteSolid_SourceData.Waste_WasteVolumeToMassConversion_Data(), Table_SourceData_WasteSolid_VolumeToMassConversion[[#Headers],[Waste type w]], 0)</f>
        <v>Construction and demolition waste</v>
      </c>
      <c r="E68" s="20" cm="1">
        <f t="array" ref="E68">Common_InputFunctions.Utility_DisplayArrayInTable(WasteSolid_SourceData.Waste_WasteVolumeToMassConversion_Data(), Table_SourceData_WasteSolid_VolumeToMassConversion[[#Headers],[Waste type w]], 0)</f>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332"/>
  <sheetViews>
    <sheetView showGridLines="0" zoomScaleNormal="100" workbookViewId="0">
      <pane xSplit="1" topLeftCell="B1" activePane="topRight" state="frozenSplit"/>
      <selection pane="topRight" activeCell="A46" sqref="A46"/>
    </sheetView>
  </sheetViews>
  <sheetFormatPr defaultColWidth="9.140625" defaultRowHeight="20.100000000000001" customHeight="1" x14ac:dyDescent="0.2"/>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20</v>
      </c>
    </row>
    <row r="2" spans="1:65" s="3" customFormat="1" ht="20.100000000000001" customHeight="1" x14ac:dyDescent="0.2">
      <c r="A2"/>
    </row>
    <row r="3" spans="1:6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
      <c r="A4" s="5" t="str">
        <f>HYPERLINK("#'Results - Activity period'!A1", "Results - Activity period")</f>
        <v>Results - Activity period</v>
      </c>
      <c r="BM4" s="25"/>
    </row>
    <row r="5" spans="1:65" ht="20.100000000000001" customHeight="1" x14ac:dyDescent="0.2">
      <c r="A5" s="5" t="str">
        <f>HYPERLINK("#'Results - Product EI'!A1", "Results - Product EI")</f>
        <v>Results - Product EI</v>
      </c>
      <c r="D5" s="2" t="str" cm="1">
        <f t="array" ref="D5">Common_SourceData.Common_SourceData_AustralianStatesTerritories_Title()</f>
        <v>Australian states and territories</v>
      </c>
      <c r="BM5" s="25"/>
    </row>
    <row r="6" spans="1:65" ht="20.100000000000001" customHeight="1" x14ac:dyDescent="0.2">
      <c r="A6"/>
      <c r="D6" s="20" t="s">
        <v>21</v>
      </c>
      <c r="E6" s="20" t="s">
        <v>22</v>
      </c>
      <c r="F6" s="20" t="s">
        <v>23</v>
      </c>
    </row>
    <row r="7" spans="1:65" ht="20.100000000000001" customHeight="1" x14ac:dyDescent="0.2">
      <c r="A7"/>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
      <c r="A8" s="7" t="s">
        <v>0</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
      <c r="A9" s="5" t="str">
        <f>HYPERLINK("#'Input - Enterprise'!A1", "Enterprise")</f>
        <v>Enterprise</v>
      </c>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
      <c r="A10" s="5" t="str">
        <f>HYPERLINK("#'Input - Site'!A1", "Site")</f>
        <v>Site</v>
      </c>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
      <c r="A11" s="5" t="str">
        <f>HYPERLINK("#'Input - Crop'!A1", "Crop")</f>
        <v>Crop</v>
      </c>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
      <c r="A12" s="5" t="str">
        <f>HYPERLINK("#'Input - Fert Prod System'!A1", "Fert Prod System")</f>
        <v>Fert Prod System</v>
      </c>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
      <c r="A13" s="5" t="str">
        <f>HYPERLINK("#'Input - Fertiliser'!A1", "Fertiliser")</f>
        <v>Fertiliser</v>
      </c>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
      <c r="A14" s="5" t="str">
        <f>HYPERLINK("#'Input - Fuel'!A1", "Fuel")</f>
        <v>Fuel</v>
      </c>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
      <c r="A15" s="5" t="str">
        <f>HYPERLINK("#'Input - Electricity'!A1", "Electricity")</f>
        <v>Electricity</v>
      </c>
    </row>
    <row r="16" spans="1:65" ht="20.100000000000001" customHeight="1" x14ac:dyDescent="0.2">
      <c r="A16" s="5" t="str">
        <f>HYPERLINK("#'Input - Common farm inputs'!A1", "Common farm inputs")</f>
        <v>Common farm inputs</v>
      </c>
    </row>
    <row r="17" spans="1:4" ht="20.100000000000001" customHeight="1" x14ac:dyDescent="0.2">
      <c r="A17" s="5" t="str">
        <f>HYPERLINK("#'Input - Crop pasture farm input'!A1", "Crop pasture farm input")</f>
        <v>Crop pasture farm input</v>
      </c>
    </row>
    <row r="18" spans="1:4" ht="20.100000000000001" customHeight="1" x14ac:dyDescent="0.2">
      <c r="A18" s="5" t="str">
        <f>HYPERLINK("#'Input - Freight'!A1", "Freight")</f>
        <v>Freight</v>
      </c>
      <c r="D18" s="2" t="str" cm="1">
        <f t="array" ref="D18">Common_SourceData.Common_SourceData_WASA4Areas_Title()</f>
        <v>ABS Statistcal Areas Level 4 - Western Australia</v>
      </c>
    </row>
    <row r="19" spans="1:4" ht="20.100000000000001" customHeight="1" x14ac:dyDescent="0.2">
      <c r="A19" s="5" t="str">
        <f>HYPERLINK("#'Input - Solid waste'!A1", "Solid waste")</f>
        <v>Solid waste</v>
      </c>
      <c r="D19" s="17" t="str" cm="1">
        <f t="array" ref="D19">Common_SourceData.Common_SourceData_WASA4Areas_Source()</f>
        <v>Australian Bureau of Statistics (ABS) - Statistical Areas Level 2 - 2021 - Shapefile</v>
      </c>
    </row>
    <row r="20" spans="1:4" ht="20.100000000000001" customHeight="1" x14ac:dyDescent="0.2">
      <c r="A20" s="5" t="str">
        <f>HYPERLINK("#'Input - Data quality'!A1", "Data quality")</f>
        <v>Data quality</v>
      </c>
      <c r="D20" s="20" t="s">
        <v>24</v>
      </c>
    </row>
    <row r="21" spans="1:4" ht="20.100000000000001" customHeight="1" x14ac:dyDescent="0.2">
      <c r="A21"/>
      <c r="D21" s="20" t="str" cm="1">
        <f t="array" ref="D21">Common_InputFunctions.Utility_DisplayArrayInTable(Common_SourceData.Common_SourceData_WASA4Areas_Data(), Table_WASA4Areas[[#Headers],[SA 4 Name]], 0)</f>
        <v>Bunbury</v>
      </c>
    </row>
    <row r="22" spans="1:4" ht="20.100000000000001" customHeight="1" x14ac:dyDescent="0.2">
      <c r="A22"/>
      <c r="D22" s="20" t="str" cm="1">
        <f t="array" ref="D22">Common_InputFunctions.Utility_DisplayArrayInTable(Common_SourceData.Common_SourceData_WASA4Areas_Data(), Table_WASA4Areas[[#Headers],[SA 4 Name]], 0)</f>
        <v>Mandurah</v>
      </c>
    </row>
    <row r="23" spans="1:4" ht="20.100000000000001" customHeight="1" x14ac:dyDescent="0.2">
      <c r="A23" s="6" t="s">
        <v>2</v>
      </c>
      <c r="D23" s="20" t="str" cm="1">
        <f t="array" ref="D23">Common_InputFunctions.Utility_DisplayArrayInTable(Common_SourceData.Common_SourceData_WASA4Areas_Data(), Table_WASA4Areas[[#Headers],[SA 4 Name]], 0)</f>
        <v>Perth - Inner</v>
      </c>
    </row>
    <row r="24" spans="1:4" ht="20.100000000000001" customHeight="1" x14ac:dyDescent="0.2">
      <c r="A24" s="5" t="str">
        <f>HYPERLINK("#'5.1.1.1-2 Inorganic fert N2O'!A1", "5.1.1.1-2 Inorganic fert N2O")</f>
        <v>5.1.1.1-2 Inorganic fert N2O</v>
      </c>
      <c r="D24" s="20" t="str" cm="1">
        <f t="array" ref="D24">Common_InputFunctions.Utility_DisplayArrayInTable(Common_SourceData.Common_SourceData_WASA4Areas_Data(), Table_WASA4Areas[[#Headers],[SA 4 Name]], 0)</f>
        <v>Perth - North East</v>
      </c>
    </row>
    <row r="25" spans="1:4" ht="20.100000000000001" customHeight="1" x14ac:dyDescent="0.2">
      <c r="A25" s="5" t="str">
        <f>HYPERLINK("#'5.1.1.3-4 Inorganic fert CO2'!A1", "5.1.1.3-4 Inorganic fert CO2")</f>
        <v>5.1.1.3-4 Inorganic fert CO2</v>
      </c>
      <c r="D25" s="20" t="str" cm="1">
        <f t="array" ref="D25">Common_InputFunctions.Utility_DisplayArrayInTable(Common_SourceData.Common_SourceData_WASA4Areas_Data(), Table_WASA4Areas[[#Headers],[SA 4 Name]], 0)</f>
        <v>Perth - North West</v>
      </c>
    </row>
    <row r="26" spans="1:4" ht="20.100000000000001" customHeight="1" x14ac:dyDescent="0.2">
      <c r="A26" s="5" t="str">
        <f>HYPERLINK("#'5.2.1.1-2 Organic Fert N2O'!A1", "5.2.1.1-2 Organic fert N2O")</f>
        <v>5.2.1.1-2 Organic fert N2O</v>
      </c>
      <c r="D26" s="20" t="str" cm="1">
        <f t="array" ref="D26">Common_InputFunctions.Utility_DisplayArrayInTable(Common_SourceData.Common_SourceData_WASA4Areas_Data(), Table_WASA4Areas[[#Headers],[SA 4 Name]], 0)</f>
        <v>Perth - South East</v>
      </c>
    </row>
    <row r="27" spans="1:4" ht="20.100000000000001" customHeight="1" x14ac:dyDescent="0.2">
      <c r="A27" s="5" t="str">
        <f>HYPERLINK("#'5.3.1.1-2 Lime CO2'!A1", "5.3.1.1-2 Lime CO2")</f>
        <v>5.3.1.1-2 Lime CO2</v>
      </c>
      <c r="D27" s="20" t="str" cm="1">
        <f t="array" ref="D27">Common_InputFunctions.Utility_DisplayArrayInTable(Common_SourceData.Common_SourceData_WASA4Areas_Data(), Table_WASA4Areas[[#Headers],[SA 4 Name]], 0)</f>
        <v>Perth - South West</v>
      </c>
    </row>
    <row r="28" spans="1:4" ht="20.100000000000001" customHeight="1" x14ac:dyDescent="0.2">
      <c r="A28" s="5" t="str">
        <f>HYPERLINK("#'5.4.1.1-4 Atmos deposition'!A1", "5.4.1.1-4 Atmos. deposition")</f>
        <v>5.4.1.1-4 Atmos. deposition</v>
      </c>
      <c r="D28" s="20" t="str" cm="1">
        <f t="array" ref="D28">Common_InputFunctions.Utility_DisplayArrayInTable(Common_SourceData.Common_SourceData_WASA4Areas_Data(), Table_WASA4Areas[[#Headers],[SA 4 Name]], 0)</f>
        <v>Western Australia - Wheat Belt</v>
      </c>
    </row>
    <row r="29" spans="1:4" ht="20.100000000000001" customHeight="1" x14ac:dyDescent="0.2">
      <c r="A29" s="5" t="str">
        <f>HYPERLINK("#'5.5.1.1-2 Leaching and runoff'!A1", "5.5.1.1-2 Leaching &amp; runoff")</f>
        <v>5.5.1.1-2 Leaching &amp; runoff</v>
      </c>
      <c r="D29" s="20" t="str" cm="1">
        <f t="array" ref="D29">Common_InputFunctions.Utility_DisplayArrayInTable(Common_SourceData.Common_SourceData_WASA4Areas_Data(), Table_WASA4Areas[[#Headers],[SA 4 Name]], 0)</f>
        <v>Western Australia - Outback (North)</v>
      </c>
    </row>
    <row r="30" spans="1:4" ht="20.100000000000001" customHeight="1" x14ac:dyDescent="0.2">
      <c r="A30" s="5" t="str">
        <f>HYPERLINK("#'6.1.1.1-2 Crop residue N2O'!A1", "6.1.1.1-2 Crop residue N2O")</f>
        <v>6.1.1.1-2 Crop residue N2O</v>
      </c>
      <c r="D30" s="20" t="str" cm="1">
        <f t="array" ref="D30">Common_InputFunctions.Utility_DisplayArrayInTable(Common_SourceData.Common_SourceData_WASA4Areas_Data(), Table_WASA4Areas[[#Headers],[SA 4 Name]], 0)</f>
        <v>Western Australia - Outback (South)</v>
      </c>
    </row>
    <row r="31" spans="1:4" ht="20.100000000000001" customHeight="1" x14ac:dyDescent="0.2">
      <c r="A31" s="5" t="str">
        <f>HYPERLINK("#'6.3.1.1-2 Leach runoff crop'!A1", "6.3.1.1-2 Leach &amp; runoff (crop)")</f>
        <v>6.3.1.1-2 Leach &amp; runoff (crop)</v>
      </c>
    </row>
    <row r="32" spans="1:4" ht="20.100000000000001" customHeight="1" x14ac:dyDescent="0.2">
      <c r="A32" s="5" t="str">
        <f>HYPERLINK("#'8.1.1.1-2 Transport fuel'!A1", "8.1.1.1-2 Transport fuel")</f>
        <v>8.1.1.1-2 Transport fuel</v>
      </c>
    </row>
    <row r="33" spans="1:8" ht="20.100000000000001" customHeight="1" x14ac:dyDescent="0.2">
      <c r="A33" s="5" t="str">
        <f>HYPERLINK("#'8.2.1.1-2 Stationary fuel'!A1", "8.2.1.1-2 Stationary fuel")</f>
        <v>8.2.1.1-2 Stationary fuel</v>
      </c>
    </row>
    <row r="34" spans="1:8" ht="20.100000000000001" customHeight="1" x14ac:dyDescent="0.2">
      <c r="A34" s="5" t="str">
        <f>HYPERLINK("#'10.1.1-2 Solid waste treatment'!A1", "10.1.1.1-2 Solid waste")</f>
        <v>10.1.1.1-2 Solid waste</v>
      </c>
      <c r="D34" s="2" t="str" cm="1">
        <f t="array" ref="D34">Common_SourceData.Common_SourceData_GWP_Title()</f>
        <v>Global warming potential for greenhouse gases</v>
      </c>
    </row>
    <row r="35" spans="1:8" ht="20.100000000000001" customHeight="1" x14ac:dyDescent="0.2">
      <c r="A35" s="5" t="str">
        <f>HYPERLINK("#'14.1.1-2 Purchased electricity'!A1", "14.1.1-2 Purchased electricity")</f>
        <v>14.1.1-2 Purchased electricity</v>
      </c>
      <c r="D35" s="17" t="str" cm="1">
        <f t="array" ref="D35">Common_SourceData.Common_SourceData_GWP_Source()</f>
        <v>XXXXXXX</v>
      </c>
    </row>
    <row r="36" spans="1:8" ht="20.100000000000001" customHeight="1" x14ac:dyDescent="0.2">
      <c r="A36" s="5" t="str">
        <f>HYPERLINK("#'15 Scope 3'!A1", "15 Scope 3")</f>
        <v>15 Scope 3</v>
      </c>
      <c r="D36" s="20" t="s">
        <v>25</v>
      </c>
      <c r="E36" s="20" t="s">
        <v>26</v>
      </c>
    </row>
    <row r="37" spans="1:8" ht="20.100000000000001" customHeight="1" x14ac:dyDescent="0.2">
      <c r="A37"/>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
      <c r="A38"/>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
      <c r="A39" s="82" t="s">
        <v>1</v>
      </c>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
      <c r="A40" s="5" t="str">
        <f>HYPERLINK("#'Constants - Ag Residue'!A1", "Constants - Ag residue")</f>
        <v>Constants - Ag residue</v>
      </c>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
      <c r="A41" s="5" t="str">
        <f>HYPERLINK("#'Constants - Electricity'!A1", "Constants - Electricity")</f>
        <v>Constants - Electricity</v>
      </c>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
      <c r="A42" s="5" t="str">
        <f>HYPERLINK("#'Constants - Fertiliser'!A1", "Constants - Fertiliser")</f>
        <v>Constants - Fertiliser</v>
      </c>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
      <c r="A43" s="5" t="str">
        <f>HYPERLINK("#'Constants - Fuel'!A1", "Constants - Fuel")</f>
        <v>Constants - Fuel</v>
      </c>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
      <c r="A44" s="5" t="str">
        <f>HYPERLINK("#'Constants - Scope 3'!A1", "Constants - Scope 3")</f>
        <v>Constants - Scope 3</v>
      </c>
    </row>
    <row r="45" spans="1:8" ht="20.100000000000001" customHeight="1" x14ac:dyDescent="0.2">
      <c r="A45" s="5" t="str">
        <f>HYPERLINK("#'Constants - Solid Waste'!A1", "Constants - Solid Waste")</f>
        <v>Constants - Solid Waste</v>
      </c>
      <c r="D45" s="2" t="str" cm="1">
        <f t="array" ref="D45">Common_SourceData.Common_SourceData_ConvertGasElementalToMolecular_Title()</f>
        <v>Factor to convert elemental mass of gas to molecular mass</v>
      </c>
    </row>
    <row r="46" spans="1:8" ht="20.100000000000001" customHeight="1" x14ac:dyDescent="0.2">
      <c r="A46" s="83" t="str">
        <f>HYPERLINK("#'Constants - Common'!A1", "Constants - Common")</f>
        <v>Constants - Common</v>
      </c>
      <c r="D46" s="17" t="str" cm="1">
        <f t="array" ref="D46">Common_SourceData.Common_SourceData_ConvertGasElementalToMolecular_Source()</f>
        <v>XXXXXXX</v>
      </c>
    </row>
    <row r="47" spans="1:8" ht="20.100000000000001" customHeight="1" x14ac:dyDescent="0.2">
      <c r="A47" s="5" t="str">
        <f>HYPERLINK("#'Constants - Common Livestock'!A1", "Constants - Common Livestock")</f>
        <v>Constants - Common Livestock</v>
      </c>
      <c r="D47" s="20" t="s">
        <v>25</v>
      </c>
      <c r="E47" s="20" t="s">
        <v>27</v>
      </c>
      <c r="F47" s="20" t="s">
        <v>28</v>
      </c>
      <c r="G47" s="20" t="s">
        <v>29</v>
      </c>
      <c r="H47" s="20" t="s">
        <v>30</v>
      </c>
    </row>
    <row r="48" spans="1:8" ht="20.100000000000001" customHeight="1" x14ac:dyDescent="0.2">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
      <c r="A50"/>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
      <c r="A51"/>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
      <c r="A52"/>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
      <c r="A53"/>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
      <c r="A54"/>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
      <c r="A55"/>
    </row>
    <row r="56" spans="1:8" ht="20.100000000000001" customHeight="1" x14ac:dyDescent="0.2">
      <c r="A56"/>
    </row>
    <row r="57" spans="1:8" ht="20.100000000000001" customHeight="1" x14ac:dyDescent="0.2">
      <c r="A57"/>
      <c r="D57" s="2" t="str" cm="1">
        <f t="array" ref="D57">Common_SourceData.Common_SourceData_WetAndDryZones_Title()</f>
        <v>VEERG Australian wet and dry zones</v>
      </c>
    </row>
    <row r="58" spans="1:8" ht="20.100000000000001" customHeight="1" x14ac:dyDescent="0.2">
      <c r="A58" s="81" t="str">
        <f>HYPERLINK("#A1", "▲ Back to top")</f>
        <v>▲ Back to top</v>
      </c>
      <c r="D58" s="17" t="str" cm="1">
        <f t="array" ref="D58">Common_SourceData.Common_SourceData_WetAndDryZones_Source()</f>
        <v>VEERG 2026: Table 1.2: Translating climate zones to wet and dry zones</v>
      </c>
    </row>
    <row r="59" spans="1:8" ht="20.100000000000001" customHeight="1" x14ac:dyDescent="0.2">
      <c r="A59"/>
      <c r="D59" s="26" t="str" cm="1">
        <f t="array" ref="D59:D61">"⚠️" &amp; Common_SourceData.Common_SourceData_WetAndDryZones_Variation()</f>
        <v>⚠️VARIATION OF SOURCE DATA:</v>
      </c>
    </row>
    <row r="60" spans="1:8" ht="20.100000000000001" customHeight="1" x14ac:dyDescent="0.2">
      <c r="A60"/>
      <c r="D60" s="26" t="str">
        <v>⚠️Added warm / cool temperate moist / dry - low frost and high temp classes to accommodate climate scenarios excluded by VEERG criteria.</v>
      </c>
    </row>
    <row r="61" spans="1:8" ht="20.100000000000001" customHeight="1" x14ac:dyDescent="0.2">
      <c r="A61"/>
      <c r="D61" s="26" t="str">
        <v>⚠️Fixed typo - Changed 'Fry' to 'Dry'.</v>
      </c>
    </row>
    <row r="62" spans="1:8" ht="20.100000000000001" customHeight="1" x14ac:dyDescent="0.2">
      <c r="A62"/>
    </row>
    <row r="63" spans="1:8" ht="20.100000000000001" customHeight="1" x14ac:dyDescent="0.2">
      <c r="A63"/>
      <c r="D63" s="20" t="s">
        <v>31</v>
      </c>
      <c r="E63" s="20" t="s">
        <v>32</v>
      </c>
    </row>
    <row r="64" spans="1:8" ht="20.100000000000001" customHeight="1" x14ac:dyDescent="0.2">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tr" cm="1">
        <f t="array" ref="D81">Common_SourceData.Common_SourceData_ClimateZones_Title()</f>
        <v>VEERG Australian climate zones</v>
      </c>
    </row>
    <row r="82" spans="1:20" ht="20.100000000000001" customHeight="1" x14ac:dyDescent="0.2">
      <c r="A82"/>
      <c r="D82" s="17" t="str" cm="1">
        <f t="array" ref="D82">Common_SourceData.Common_SourceData_ClimateZones_Source()</f>
        <v>VEERG 2026: Table 1.3: Climate and Rainfall zone classifications and definitions</v>
      </c>
    </row>
    <row r="83" spans="1:20" ht="20.100000000000001" customHeight="1" x14ac:dyDescent="0.2">
      <c r="A83"/>
      <c r="D83" s="26" t="str" cm="1">
        <f t="array" ref="D83:D87">"⚠️" &amp; Common_SourceData.Common_SourceData_ClimateZones_Variation()</f>
        <v>⚠️VARIATION OF SOURCE DATA:</v>
      </c>
    </row>
    <row r="84" spans="1:20" ht="20.100000000000001" customHeight="1" x14ac:dyDescent="0.2">
      <c r="A84"/>
      <c r="D84" s="26" t="str">
        <v>⚠️Added warm / cool temperate moist / dry - low frost and high temp classes to accommodate climate scenarios excluded by VEERG criteria.</v>
      </c>
    </row>
    <row r="85" spans="1:20" ht="20.100000000000001" customHeight="1" x14ac:dyDescent="0.2">
      <c r="A85"/>
      <c r="D85" s="26" t="str">
        <v>⚠️Fixed typo in MAT value for warm temperate dry - changed 10 to 11.</v>
      </c>
    </row>
    <row r="86" spans="1:20" ht="20.100000000000001" customHeight="1" x14ac:dyDescent="0.2">
      <c r="A86"/>
      <c r="D86" s="26" t="str">
        <v>⚠️Added min and max columns for MAT, MAP, frost days per year, elevation, MAP:PET to calculate zones from real climate data.</v>
      </c>
    </row>
    <row r="87" spans="1:20" ht="20.100000000000001" customHeight="1" x14ac:dyDescent="0.2">
      <c r="A87"/>
      <c r="D87" s="26" t="str">
        <v>⚠️GAF accepts rainfall as a proxy for precipitation.</v>
      </c>
    </row>
    <row r="88" spans="1:20" ht="20.100000000000001" customHeight="1" x14ac:dyDescent="0.2">
      <c r="A88" s="81" t="str">
        <f>HYPERLINK("#A1", "▲ Back to top")</f>
        <v>▲ Back to top</v>
      </c>
    </row>
    <row r="89" spans="1:20" ht="20.100000000000001" customHeight="1" x14ac:dyDescent="0.2">
      <c r="A89"/>
      <c r="D89" s="20" t="s">
        <v>31</v>
      </c>
      <c r="E89" s="20" t="s">
        <v>33</v>
      </c>
      <c r="F89" s="20" t="s">
        <v>34</v>
      </c>
      <c r="G89" s="20" t="s">
        <v>35</v>
      </c>
      <c r="H89" s="20" t="s">
        <v>36</v>
      </c>
      <c r="I89" s="20" t="s">
        <v>37</v>
      </c>
      <c r="J89" s="20" t="s">
        <v>38</v>
      </c>
      <c r="K89" s="20" t="s">
        <v>39</v>
      </c>
      <c r="L89" s="20" t="s">
        <v>40</v>
      </c>
      <c r="M89" s="20" t="s">
        <v>41</v>
      </c>
      <c r="N89" s="20" t="s">
        <v>42</v>
      </c>
      <c r="O89" s="20" t="s">
        <v>43</v>
      </c>
      <c r="P89" s="20" t="s">
        <v>44</v>
      </c>
      <c r="Q89" s="20" t="s">
        <v>45</v>
      </c>
      <c r="R89" s="20" t="s">
        <v>46</v>
      </c>
      <c r="S89" s="20" t="s">
        <v>47</v>
      </c>
      <c r="T89" s="20"/>
    </row>
    <row r="90" spans="1:20" ht="20.100000000000001" customHeight="1" x14ac:dyDescent="0.2">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
      <c r="A98"/>
    </row>
    <row r="99" spans="1:20" ht="20.100000000000001" customHeight="1" x14ac:dyDescent="0.2">
      <c r="A99"/>
      <c r="D99" s="9" t="str" cm="1">
        <f t="array" ref="D99:D102">Common_SourceData.Common_SourceData_ClimateZones_Appendices()</f>
        <v>Note:</v>
      </c>
    </row>
    <row r="100" spans="1:20" ht="20.100000000000001" customHeight="1" x14ac:dyDescent="0.2">
      <c r="A100"/>
      <c r="D100" s="9" t="str">
        <v>MAT = mean annual temperature</v>
      </c>
    </row>
    <row r="101" spans="1:20" ht="20.100000000000001" customHeight="1" x14ac:dyDescent="0.2">
      <c r="A101"/>
      <c r="D101" s="9" t="str">
        <v>MAP = mean annual precipitation</v>
      </c>
    </row>
    <row r="102" spans="1:20" ht="20.100000000000001" customHeight="1" x14ac:dyDescent="0.2">
      <c r="A102"/>
      <c r="D102" s="9" t="str">
        <v>PET = potential evapotranspiration</v>
      </c>
    </row>
    <row r="103" spans="1:20" ht="20.100000000000001" customHeight="1" x14ac:dyDescent="0.2">
      <c r="A103"/>
      <c r="D103" s="9"/>
    </row>
    <row r="104" spans="1:20" ht="20.100000000000001" customHeight="1" x14ac:dyDescent="0.2">
      <c r="A104"/>
    </row>
    <row r="105" spans="1:20" ht="20.100000000000001" customHeight="1" x14ac:dyDescent="0.2">
      <c r="A105"/>
      <c r="D105" s="2" t="str" cm="1">
        <f t="array" ref="D105">Common_SourceData.Common_SourceData_TemperatureZones_Title()</f>
        <v>VEERG Australian temperature zones</v>
      </c>
    </row>
    <row r="106" spans="1:20" ht="20.100000000000001" customHeight="1" x14ac:dyDescent="0.2">
      <c r="A106"/>
      <c r="D106" s="17" t="str" cm="1">
        <f t="array" ref="D106">Common_SourceData.Common_SourceData_TemperatureZones_Source()</f>
        <v>VEERG 2026: Table 1.3: Climate and Rainfall zone classifications and definitions</v>
      </c>
    </row>
    <row r="107" spans="1:20" ht="20.100000000000001" customHeight="1" x14ac:dyDescent="0.2">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20" t="s">
        <v>48</v>
      </c>
      <c r="E109" s="20" t="s">
        <v>33</v>
      </c>
      <c r="F109" s="20" t="s">
        <v>49</v>
      </c>
      <c r="G109" s="20" t="s">
        <v>50</v>
      </c>
    </row>
    <row r="110" spans="1:20" ht="20.100000000000001" customHeight="1" x14ac:dyDescent="0.2">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
      <c r="A113"/>
    </row>
    <row r="114" spans="1:66" ht="20.100000000000001" customHeight="1" x14ac:dyDescent="0.2">
      <c r="A114"/>
    </row>
    <row r="115" spans="1:66" ht="20.100000000000001" customHeight="1" x14ac:dyDescent="0.2">
      <c r="A115"/>
      <c r="D115" s="2" t="str" cm="1">
        <f t="array" ref="D115">Common_SourceData.Common_SourceData_RainfallZones_Title()</f>
        <v>VEERG Australian rainfall zones</v>
      </c>
      <c r="BN115" s="22"/>
    </row>
    <row r="116" spans="1:66" ht="20.100000000000001" customHeight="1" x14ac:dyDescent="0.2">
      <c r="A116"/>
      <c r="D116" s="17" t="str" cm="1">
        <f t="array" ref="D116">Common_SourceData.Common_SourceData_RainfallZones_Source()</f>
        <v>VEERG 2026: Table 1.3: Climate and Rainfall zone classifications and definitions</v>
      </c>
      <c r="BN116" s="22"/>
    </row>
    <row r="117" spans="1:66" ht="20.100000000000001" customHeight="1" x14ac:dyDescent="0.2">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
      <c r="A118" s="81" t="str">
        <f>HYPERLINK("#A1", "▲ Back to top")</f>
        <v>▲ Back to top</v>
      </c>
      <c r="BN118" s="22"/>
    </row>
    <row r="119" spans="1:66" ht="20.100000000000001" customHeight="1" x14ac:dyDescent="0.2">
      <c r="A119"/>
      <c r="D119" s="20" t="s">
        <v>51</v>
      </c>
      <c r="E119" s="20" t="s">
        <v>52</v>
      </c>
      <c r="F119" s="20" t="s">
        <v>40</v>
      </c>
      <c r="G119" s="20" t="s">
        <v>41</v>
      </c>
      <c r="BN119" s="22"/>
    </row>
    <row r="120" spans="1:66" ht="20.100000000000001" customHeight="1" x14ac:dyDescent="0.2">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
      <c r="A122"/>
      <c r="BN122" s="22"/>
    </row>
    <row r="123" spans="1:66" ht="20.100000000000001" customHeight="1" x14ac:dyDescent="0.2">
      <c r="A123"/>
    </row>
    <row r="124" spans="1:66" ht="20.100000000000001" customHeight="1" x14ac:dyDescent="0.2">
      <c r="A124"/>
      <c r="D124" s="2" t="str" cm="1">
        <f t="array" ref="D124">Common_SourceData.Common_SourceData_LeachingZones_Title()</f>
        <v>VEERG Australian leaching zones</v>
      </c>
    </row>
    <row r="125" spans="1:66" ht="20.100000000000001" customHeight="1" x14ac:dyDescent="0.2">
      <c r="A125"/>
      <c r="D125" s="17" t="str" cm="1">
        <f t="array" ref="D125">Common_SourceData.Common_SourceData_LeachingZones_Source()</f>
        <v>VEERG 2026: Table 1.3: Climate and Rainfall zone classifications and definitions</v>
      </c>
    </row>
    <row r="126" spans="1:66" ht="20.100000000000001" customHeight="1" x14ac:dyDescent="0.2">
      <c r="A126"/>
    </row>
    <row r="127" spans="1:66" ht="20.100000000000001" customHeight="1" x14ac:dyDescent="0.2">
      <c r="A127"/>
      <c r="D127" s="20" t="s">
        <v>53</v>
      </c>
      <c r="E127" s="20" t="s">
        <v>54</v>
      </c>
    </row>
    <row r="128" spans="1:66" ht="20.100000000000001" customHeight="1" x14ac:dyDescent="0.2">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
      <c r="A130"/>
    </row>
    <row r="131" spans="1:77" ht="20.100000000000001" customHeight="1" x14ac:dyDescent="0.2">
      <c r="A131"/>
    </row>
    <row r="132" spans="1:77" ht="20.100000000000001" customHeight="1" x14ac:dyDescent="0.2">
      <c r="A132"/>
      <c r="D132" s="2" t="str" cm="1">
        <f t="array" ref="D132">Common_SourceData.Common_SourceData_FracWET_Title()</f>
        <v>Fraction of N that is available for leaching and runoff</v>
      </c>
      <c r="E132" s="8"/>
    </row>
    <row r="133" spans="1:77" ht="20.100000000000001" customHeight="1" x14ac:dyDescent="0.2">
      <c r="A133"/>
      <c r="D133" s="17" t="str" cm="1">
        <f t="array" ref="D133">Common_SourceData.Common_SourceData_FracWET_Source()</f>
        <v>VEERG 2026:5.5.2.3 Constant Parameters</v>
      </c>
      <c r="E133" s="8"/>
    </row>
    <row r="134" spans="1:77" ht="20.100000000000001" customHeight="1" x14ac:dyDescent="0.2">
      <c r="A134"/>
      <c r="D134" t="s">
        <v>55</v>
      </c>
      <c r="E134" t="s">
        <v>56</v>
      </c>
    </row>
    <row r="135" spans="1:77" ht="20.100000000000001" customHeight="1" x14ac:dyDescent="0.2">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
      <c r="A137"/>
    </row>
    <row r="138" spans="1:77" ht="20.100000000000001" customHeight="1" x14ac:dyDescent="0.2">
      <c r="A138"/>
      <c r="BN138" s="22"/>
      <c r="BO138" s="22"/>
      <c r="BP138" s="22"/>
      <c r="BQ138" s="22"/>
      <c r="BR138" s="22"/>
      <c r="BS138" s="22"/>
      <c r="BT138" s="22"/>
      <c r="BU138" s="22"/>
      <c r="BV138" s="22"/>
      <c r="BW138" s="22"/>
      <c r="BX138" s="22"/>
      <c r="BY138" s="22"/>
    </row>
    <row r="139" spans="1:77" ht="20.100000000000001" customHeight="1" x14ac:dyDescent="0.2">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
      <c r="A140"/>
      <c r="D140" s="17"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
      <c r="A142"/>
      <c r="D142" s="20" t="s">
        <v>57</v>
      </c>
      <c r="E142" s="20" t="s">
        <v>56</v>
      </c>
      <c r="BN142" s="22"/>
    </row>
    <row r="143" spans="1:77" ht="20.100000000000001" customHeight="1" x14ac:dyDescent="0.2">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
      <c r="A148" s="81" t="str">
        <f>HYPERLINK("#A1", "▲ Back to top")</f>
        <v>▲ Back to top</v>
      </c>
      <c r="BN148" s="22"/>
    </row>
    <row r="149" spans="1:66" ht="20.100000000000001" customHeight="1" x14ac:dyDescent="0.2">
      <c r="A149"/>
      <c r="BN149" s="22"/>
    </row>
    <row r="150" spans="1:66" ht="20.100000000000001" customHeight="1" x14ac:dyDescent="0.2">
      <c r="A150"/>
      <c r="D150" s="2" t="str" cm="1">
        <f t="array" ref="D150">Common_SourceData.Common_SourceData_DataScores_Scope3_Title()</f>
        <v>Australian data scores for scope 3</v>
      </c>
      <c r="BN150" s="22"/>
    </row>
    <row r="151" spans="1:66" ht="20.100000000000001" customHeight="1" x14ac:dyDescent="0.2">
      <c r="A151"/>
      <c r="D151" s="17" t="str" cm="1">
        <f t="array" ref="D151">Common_SourceData.Common_SourceData_DataScores_Scope3_Source()</f>
        <v>VEERG 2026: XXXXXXXX</v>
      </c>
      <c r="BN151" s="22"/>
    </row>
    <row r="152" spans="1:66" ht="20.100000000000001" customHeight="1" x14ac:dyDescent="0.2">
      <c r="A152"/>
      <c r="BN152" s="22"/>
    </row>
    <row r="153" spans="1:66" ht="20.100000000000001" customHeight="1" x14ac:dyDescent="0.2">
      <c r="A153"/>
      <c r="D153" s="20" t="s">
        <v>58</v>
      </c>
      <c r="E153" s="20" t="s">
        <v>59</v>
      </c>
      <c r="BC153" s="25"/>
      <c r="BD153" s="25"/>
      <c r="BE153" s="25"/>
      <c r="BF153" s="25"/>
      <c r="BG153" s="25"/>
      <c r="BH153" s="25"/>
      <c r="BI153" s="25"/>
      <c r="BJ153" s="25"/>
      <c r="BK153" s="25"/>
      <c r="BL153" s="25"/>
      <c r="BM153" s="25"/>
    </row>
    <row r="154" spans="1:66" ht="20.100000000000001" customHeight="1" x14ac:dyDescent="0.2">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
      <c r="A159"/>
    </row>
    <row r="160" spans="1:66" ht="20.100000000000001" customHeight="1" x14ac:dyDescent="0.2">
      <c r="A160"/>
    </row>
    <row r="161" spans="1:68" ht="20.100000000000001" customHeight="1" x14ac:dyDescent="0.2">
      <c r="A161"/>
      <c r="D161" s="2" t="str" cm="1">
        <f t="array" ref="D161">Common_SourceData.Common_SourceData_FracLEACH_Title()</f>
        <v>Fraction of N that is available for leaching and runoff</v>
      </c>
      <c r="E161" s="8"/>
    </row>
    <row r="162" spans="1:68" ht="20.100000000000001" customHeight="1" x14ac:dyDescent="0.2">
      <c r="A162"/>
      <c r="D162" s="17" t="str" cm="1">
        <f t="array" ref="D162">Common_SourceData.Common_SourceData_FracLEACH_Source()</f>
        <v>VEERG 2026:5.5.2.3 Constant Parameters</v>
      </c>
      <c r="E162" s="8"/>
    </row>
    <row r="163" spans="1:68" ht="20.100000000000001" customHeight="1" x14ac:dyDescent="0.2">
      <c r="A163"/>
      <c r="D163" s="17" t="str" cm="1">
        <f t="array" ref="D163">Common_SourceData.Common_SourceData_FracLEACH_NIRReference()</f>
        <v>National Inventory Report Volume 1: Leaching and runoff (3.D.b.2)</v>
      </c>
      <c r="E163" s="8"/>
    </row>
    <row r="164" spans="1:68" ht="20.100000000000001" customHeight="1" x14ac:dyDescent="0.2">
      <c r="A164"/>
      <c r="D164" s="8" t="str" cm="1">
        <f t="array" ref="D164:E164">Common_SourceData.Common_SourceData_FracLEACH_Data()</f>
        <v>FracLEACH</v>
      </c>
      <c r="E164" s="8">
        <v>0.24</v>
      </c>
    </row>
    <row r="165" spans="1:68" ht="20.100000000000001" customHeight="1" x14ac:dyDescent="0.2">
      <c r="A165"/>
      <c r="BN165" s="22"/>
      <c r="BO165" s="22"/>
      <c r="BP165" s="22"/>
    </row>
    <row r="166" spans="1:68" ht="20.100000000000001" customHeight="1" x14ac:dyDescent="0.2">
      <c r="A166"/>
      <c r="BN166" s="22"/>
      <c r="BO166" s="22"/>
      <c r="BP166" s="22"/>
    </row>
    <row r="167" spans="1:68" ht="20.100000000000001" customHeight="1" x14ac:dyDescent="0.2">
      <c r="A167"/>
      <c r="D167" s="2" t="str" cm="1">
        <f t="array" ref="D167">Common_SourceData.Common_SourceData_EFleach_Title()</f>
        <v>Emission factor for nitrogen leaching and runoff</v>
      </c>
      <c r="BN167" s="22"/>
      <c r="BO167" s="22"/>
      <c r="BP167" s="22"/>
    </row>
    <row r="168" spans="1:68" ht="20.100000000000001" customHeight="1" x14ac:dyDescent="0.2">
      <c r="A168"/>
      <c r="D168" s="17" t="str" cm="1">
        <f t="array" ref="D168">Common_SourceData.Common_SourceData_EFleach_Source()</f>
        <v>VEERG 2026:5.5.2.3 Constant Parameters</v>
      </c>
      <c r="BN168" s="22"/>
      <c r="BO168" s="22"/>
      <c r="BP168" s="22"/>
    </row>
    <row r="169" spans="1:68" ht="20.100000000000001" customHeight="1" x14ac:dyDescent="0.2">
      <c r="A169"/>
      <c r="D169" s="17" t="str" cm="1">
        <f t="array" ref="D169">Common_SourceData.Common_SourceData_EFleach_NIRReference()</f>
        <v>National Inventory Report Volume 1: Equation 3.D.B_10</v>
      </c>
      <c r="BN169" s="22"/>
      <c r="BO169" s="22"/>
      <c r="BP169" s="22"/>
    </row>
    <row r="170" spans="1:68" ht="20.100000000000001" customHeight="1" x14ac:dyDescent="0.2">
      <c r="A170"/>
      <c r="D170" s="1" t="str" cm="1">
        <f t="array" ref="D170:E170">Common_SourceData.Common_SourceData_EFleach_Data()</f>
        <v>EFleach</v>
      </c>
      <c r="E170" s="1">
        <v>1.0999999999999999E-2</v>
      </c>
      <c r="BN170" s="22"/>
      <c r="BO170" s="22"/>
      <c r="BP170" s="22"/>
    </row>
    <row r="171" spans="1:68" ht="20.100000000000001" customHeight="1" x14ac:dyDescent="0.2">
      <c r="A171"/>
      <c r="BN171" s="22"/>
      <c r="BO171" s="22"/>
      <c r="BP171" s="22"/>
    </row>
    <row r="172" spans="1:68" ht="20.100000000000001" customHeight="1" x14ac:dyDescent="0.2">
      <c r="A172"/>
      <c r="BN172" s="22"/>
      <c r="BO172" s="22"/>
      <c r="BP172" s="22"/>
    </row>
    <row r="173" spans="1:68" ht="20.100000000000001" customHeight="1" x14ac:dyDescent="0.2">
      <c r="A173"/>
      <c r="D173" s="2" t="str" cm="1">
        <f t="array" ref="D173">Common_SourceData.Common_SourceData_DensityOfMethane_Title()</f>
        <v>p = density of methane</v>
      </c>
      <c r="BN173" s="22"/>
      <c r="BO173" s="22"/>
      <c r="BP173" s="22"/>
    </row>
    <row r="174" spans="1:68" ht="20.100000000000001" customHeight="1" x14ac:dyDescent="0.2">
      <c r="A174"/>
      <c r="D174" s="17" t="str" cm="1">
        <f t="array" ref="D174">Common_SourceData.Common_SourceData_DensityOfMethane_Source()</f>
        <v>National Inventory Report 2023 Volume 1: Equations 3.B.1a_2, 3.B.1c_2, 3.B.3_1, 3.B.4g_2</v>
      </c>
      <c r="BN174" s="22"/>
      <c r="BO174" s="22"/>
      <c r="BP174" s="22"/>
    </row>
    <row r="175" spans="1:68" ht="20.100000000000001" customHeight="1" x14ac:dyDescent="0.2">
      <c r="A175"/>
      <c r="D175" s="1" cm="1">
        <f t="array" ref="D175">Common_SourceData.Common_SourceData_DensityOfMethane_Data()</f>
        <v>0.6784</v>
      </c>
      <c r="E175" s="9" t="str" cm="1">
        <f t="array" ref="E175">Common_SourceData.Common_SourceData_DensityOfMethane_Unit()</f>
        <v>kg/m3</v>
      </c>
      <c r="BN175" s="22"/>
      <c r="BO175" s="22"/>
      <c r="BP175" s="22"/>
    </row>
    <row r="176" spans="1:68" ht="20.100000000000001" customHeight="1" x14ac:dyDescent="0.2">
      <c r="A176"/>
      <c r="BN176" s="22"/>
      <c r="BO176" s="22"/>
      <c r="BP176" s="22"/>
    </row>
    <row r="177" spans="1:68" ht="20.100000000000001" customHeight="1" x14ac:dyDescent="0.2">
      <c r="A177"/>
      <c r="BN177" s="22"/>
      <c r="BO177" s="22"/>
      <c r="BP177" s="22"/>
    </row>
    <row r="178" spans="1:68" ht="20.100000000000001" customHeight="1" x14ac:dyDescent="0.2">
      <c r="A178" s="81" t="str">
        <f>HYPERLINK("#A1", "▲ Back to top")</f>
        <v>▲ Back to top</v>
      </c>
      <c r="D178" s="2" t="str" cm="1">
        <f t="array" ref="D178">Common_SourceData.Common_SourceData_EFN2O_Title()</f>
        <v>Nitrous oxide emission factors for inorganic fertiliser application</v>
      </c>
      <c r="BN178" s="22"/>
      <c r="BO178" s="22"/>
      <c r="BP178" s="22"/>
    </row>
    <row r="179" spans="1:68" ht="20.100000000000001" customHeight="1" x14ac:dyDescent="0.2">
      <c r="A179"/>
      <c r="D179" s="17" t="str" cm="1">
        <f t="array" ref="D179">Common_SourceData.Common_SourceData_EFN2O_Source()</f>
        <v>VEERG 2026: Table A.2.2.1</v>
      </c>
      <c r="BN179" s="22"/>
      <c r="BO179" s="22"/>
      <c r="BP179" s="22"/>
    </row>
    <row r="180" spans="1:68" ht="20.100000000000001" customHeight="1" x14ac:dyDescent="0.2">
      <c r="A180"/>
      <c r="D180" s="9" t="str" cm="1">
        <f t="array" ref="D180">Common_SourceData.Common_SourceData_EFN2O_Unit()</f>
        <v>(kg N2O-N / kg N</v>
      </c>
    </row>
    <row r="181" spans="1:68" ht="20.100000000000001" customHeight="1" x14ac:dyDescent="0.2">
      <c r="A181"/>
      <c r="D181" s="26" t="str" cm="1">
        <f t="array" ref="D181:D185">Common_SourceData.Common_SourceData_EFN2O_Variation()</f>
        <v>VARIATION OF SOURCE DATA:</v>
      </c>
    </row>
    <row r="182" spans="1:68" ht="20.100000000000001" customHeight="1" x14ac:dyDescent="0.2">
      <c r="A182"/>
      <c r="D182" s="26" t="str">
        <v>Removed duplicate 'Aquaculture' row.</v>
      </c>
    </row>
    <row r="183" spans="1:68" ht="20.100000000000001" customHeight="1" x14ac:dyDescent="0.2">
      <c r="A183"/>
      <c r="D183" s="26" t="str">
        <v>Removed asterisks to aid lookup.</v>
      </c>
    </row>
    <row r="184" spans="1:68" ht="20.100000000000001" customHeight="1" x14ac:dyDescent="0.2">
      <c r="A184"/>
      <c r="D184" s="26" t="str">
        <v>Added 'production system only', 'rainfall zone' and 'irrigation method' columns to aid lookup.</v>
      </c>
    </row>
    <row r="185" spans="1:68" ht="20.100000000000001" customHeight="1" x14ac:dyDescent="0.2">
      <c r="A185"/>
      <c r="D185" s="26" t="str">
        <v>Duplicated 'non-irrigated pasture' row with same EF for low and high rainfall zones to aid lookup.</v>
      </c>
    </row>
    <row r="186" spans="1:68" ht="20.100000000000001" customHeight="1" x14ac:dyDescent="0.2">
      <c r="A186"/>
      <c r="D186" s="20" t="s">
        <v>60</v>
      </c>
      <c r="E186" s="20" t="s">
        <v>61</v>
      </c>
      <c r="F186" s="20" t="s">
        <v>62</v>
      </c>
      <c r="G186" s="20" t="s">
        <v>63</v>
      </c>
      <c r="H186" s="20" t="s">
        <v>64</v>
      </c>
    </row>
    <row r="187" spans="1:68" ht="20.100000000000001" customHeight="1" x14ac:dyDescent="0.2">
      <c r="A187"/>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1:68" ht="20.100000000000001" customHeight="1" x14ac:dyDescent="0.2">
      <c r="A188"/>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1:68" ht="20.100000000000001" customHeight="1" x14ac:dyDescent="0.2">
      <c r="A189"/>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1:68" ht="20.100000000000001" customHeight="1" x14ac:dyDescent="0.2">
      <c r="A190"/>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1:68" ht="20.100000000000001" customHeight="1" x14ac:dyDescent="0.2">
      <c r="A191"/>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1:68" ht="20.100000000000001" customHeight="1" x14ac:dyDescent="0.2">
      <c r="A192"/>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1:8" ht="20.100000000000001" customHeight="1" x14ac:dyDescent="0.2">
      <c r="A193"/>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1:8" ht="20.100000000000001" customHeight="1" x14ac:dyDescent="0.2">
      <c r="A194"/>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1:8" ht="20.100000000000001" customHeight="1" x14ac:dyDescent="0.2">
      <c r="A19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1:8" ht="20.100000000000001" customHeight="1" x14ac:dyDescent="0.2">
      <c r="A196"/>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1:8" ht="20.100000000000001" customHeight="1" x14ac:dyDescent="0.2">
      <c r="A197"/>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1:8" ht="20.100000000000001" customHeight="1" x14ac:dyDescent="0.2">
      <c r="A198"/>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1:8" ht="20.100000000000001" customHeight="1" x14ac:dyDescent="0.2">
      <c r="A199"/>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0" spans="1:8" ht="20.100000000000001" customHeight="1" x14ac:dyDescent="0.2">
      <c r="A200"/>
    </row>
    <row r="201" spans="1:8" ht="20.100000000000001" customHeight="1" x14ac:dyDescent="0.2">
      <c r="A201"/>
    </row>
    <row r="202" spans="1:8" ht="20.100000000000001" customHeight="1" x14ac:dyDescent="0.2">
      <c r="A202"/>
      <c r="D202" s="2" t="str" cm="1">
        <f t="array" ref="D202">Common_SourceData.Common_SourceData_EFPastureRangeAndPaddock_Title()</f>
        <v>Emission factor for urine and dung deposited on pasture, range or paddock</v>
      </c>
    </row>
    <row r="203" spans="1:8" ht="20.100000000000001" customHeight="1" x14ac:dyDescent="0.2">
      <c r="A203"/>
      <c r="D203" s="17" t="str" cm="1">
        <f t="array" ref="D203">Common_SourceData.Common_SourceData_EFPastureRangeAndPaddock_Source()</f>
        <v>VEERG 2026: Table A.2.2.2</v>
      </c>
    </row>
    <row r="204" spans="1:8" ht="20.100000000000001" customHeight="1" x14ac:dyDescent="0.2">
      <c r="A204"/>
      <c r="D204" s="26" t="str" cm="1">
        <f t="array" ref="D204">Common_SourceData.Common_SourceData_EFPastureRangeAndPaddock_Variation()</f>
        <v>VARIATION FROM SOURCE DATA: Changed 'Dry climate zones' to singular 'Dry climate zone' to aid lookup.</v>
      </c>
    </row>
    <row r="205" spans="1:8" ht="20.100000000000001" customHeight="1" x14ac:dyDescent="0.2">
      <c r="A205"/>
      <c r="D205" s="9" t="str" cm="1">
        <f t="array" ref="D205">Common_SourceData.Common_SourceData_EFPastureRangeAndPaddock_Unit()</f>
        <v>kg N2O - N / kg N</v>
      </c>
    </row>
    <row r="206" spans="1:8" ht="20.100000000000001" customHeight="1" x14ac:dyDescent="0.2">
      <c r="A206"/>
      <c r="D206" s="20" t="s">
        <v>31</v>
      </c>
      <c r="E206" s="20" t="s">
        <v>65</v>
      </c>
    </row>
    <row r="207" spans="1:8" ht="20.100000000000001" customHeight="1" x14ac:dyDescent="0.2">
      <c r="A207"/>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1:8" ht="20.100000000000001" customHeight="1" x14ac:dyDescent="0.2">
      <c r="A208" s="81" t="str">
        <f>HYPERLINK("#A1", "▲ Back to top")</f>
        <v>▲ Back to top</v>
      </c>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09" spans="1:5" ht="20.100000000000001" customHeight="1" x14ac:dyDescent="0.2">
      <c r="A209"/>
    </row>
    <row r="210" spans="1:5" ht="20.100000000000001" customHeight="1" x14ac:dyDescent="0.2">
      <c r="A210"/>
    </row>
    <row r="211" spans="1:5" ht="20.100000000000001" customHeight="1" x14ac:dyDescent="0.2">
      <c r="A211"/>
      <c r="D211" s="1" t="str" cm="1">
        <f t="array" ref="D211">Common_SourceData.Common_SourceData_MonthsToSeasons_Title()</f>
        <v>Months to Seasons Mapping</v>
      </c>
    </row>
    <row r="212" spans="1:5" ht="20.100000000000001" customHeight="1" x14ac:dyDescent="0.2">
      <c r="A212"/>
      <c r="D212" s="20" t="s">
        <v>66</v>
      </c>
      <c r="E212" s="20" t="s">
        <v>67</v>
      </c>
    </row>
    <row r="213" spans="1:5" ht="20.100000000000001" customHeight="1" x14ac:dyDescent="0.2">
      <c r="A213"/>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1:5" ht="20.100000000000001" customHeight="1" x14ac:dyDescent="0.2">
      <c r="A214"/>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1:5" ht="20.100000000000001" customHeight="1" x14ac:dyDescent="0.2">
      <c r="A21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1:5" ht="20.100000000000001" customHeight="1" x14ac:dyDescent="0.2">
      <c r="A216"/>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1:5" ht="20.100000000000001" customHeight="1" x14ac:dyDescent="0.2">
      <c r="A217"/>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1:5" ht="20.100000000000001" customHeight="1" x14ac:dyDescent="0.2">
      <c r="A218"/>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1:5" ht="20.100000000000001" customHeight="1" x14ac:dyDescent="0.2">
      <c r="A219"/>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1:5" ht="20.100000000000001" customHeight="1" x14ac:dyDescent="0.2">
      <c r="A220"/>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1:5" ht="20.100000000000001" customHeight="1" x14ac:dyDescent="0.2">
      <c r="A221"/>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1:5" ht="20.100000000000001" customHeight="1" x14ac:dyDescent="0.2">
      <c r="A222"/>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1:5" ht="20.100000000000001" customHeight="1" x14ac:dyDescent="0.2">
      <c r="A223"/>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1:5" ht="20.100000000000001" customHeight="1" x14ac:dyDescent="0.2">
      <c r="A224"/>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5" spans="1:19" ht="20.100000000000001" customHeight="1" x14ac:dyDescent="0.2">
      <c r="A225"/>
    </row>
    <row r="226" spans="1:19" ht="20.100000000000001" customHeight="1" x14ac:dyDescent="0.2">
      <c r="A226"/>
    </row>
    <row r="227" spans="1:19" ht="20.100000000000001" customHeight="1" x14ac:dyDescent="0.2">
      <c r="A227"/>
      <c r="D227" s="2" t="str" cm="1">
        <f t="array" ref="D227">Common_SourceData.Common_SourceData_MCFTemperatureZone_Title()</f>
        <v>Manure Management – Methane conversion factor per temperature zone (fraction) (MCFim)</v>
      </c>
    </row>
    <row r="228" spans="1:19" ht="20.100000000000001" customHeight="1" x14ac:dyDescent="0.2">
      <c r="A228"/>
      <c r="D228" s="17" t="str" cm="1">
        <f t="array" ref="D228">Common_SourceData.Common_SourceData_MCFTemperatureZone_Source()</f>
        <v>VEERG 2026: Table A.1.8.1</v>
      </c>
    </row>
    <row r="229" spans="1:19" ht="20.100000000000001" customHeight="1" x14ac:dyDescent="0.2">
      <c r="A229"/>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0" spans="1:19" ht="20.100000000000001" customHeight="1" x14ac:dyDescent="0.2">
      <c r="A230"/>
    </row>
    <row r="231" spans="1:19" ht="20.100000000000001" customHeight="1" x14ac:dyDescent="0.2">
      <c r="A231"/>
      <c r="D231" s="20" t="s">
        <v>68</v>
      </c>
      <c r="E231" s="20" t="s">
        <v>69</v>
      </c>
      <c r="F231" s="27" t="s">
        <v>70</v>
      </c>
      <c r="G231" s="20" t="s">
        <v>71</v>
      </c>
      <c r="H231" s="20" t="s">
        <v>72</v>
      </c>
      <c r="I231" s="20" t="s">
        <v>73</v>
      </c>
      <c r="J231" s="20" t="s">
        <v>74</v>
      </c>
      <c r="K231" s="20" t="s">
        <v>75</v>
      </c>
      <c r="L231" s="20" t="s">
        <v>76</v>
      </c>
      <c r="M231" s="20" t="s">
        <v>77</v>
      </c>
      <c r="N231" s="20" t="s">
        <v>78</v>
      </c>
      <c r="O231" s="20" t="s">
        <v>79</v>
      </c>
      <c r="P231" s="20" t="s">
        <v>80</v>
      </c>
      <c r="Q231" s="20" t="s">
        <v>81</v>
      </c>
      <c r="R231" s="20" t="s">
        <v>82</v>
      </c>
      <c r="S231" s="20" t="s">
        <v>83</v>
      </c>
    </row>
    <row r="232" spans="1:19" ht="20.100000000000001" customHeight="1" x14ac:dyDescent="0.2">
      <c r="A232"/>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1:19" ht="20.100000000000001" customHeight="1" x14ac:dyDescent="0.2">
      <c r="A233"/>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1:19" ht="20.100000000000001" customHeight="1" x14ac:dyDescent="0.2">
      <c r="A234"/>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1:19" ht="20.100000000000001" customHeight="1" x14ac:dyDescent="0.2">
      <c r="A23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1:19" ht="20.100000000000001" customHeight="1" x14ac:dyDescent="0.2">
      <c r="A236"/>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1:19" ht="20.100000000000001" customHeight="1" x14ac:dyDescent="0.2">
      <c r="A237"/>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1:19" ht="20.100000000000001" customHeight="1" x14ac:dyDescent="0.2">
      <c r="A238" s="81" t="str">
        <f>HYPERLINK("#A1", "▲ Back to top")</f>
        <v>▲ Back to top</v>
      </c>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1:19" ht="20.100000000000001" customHeight="1" x14ac:dyDescent="0.2">
      <c r="A239"/>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1:19" ht="20.100000000000001" customHeight="1" x14ac:dyDescent="0.2">
      <c r="A240"/>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1:19" ht="20.100000000000001" customHeight="1" x14ac:dyDescent="0.2">
      <c r="A241"/>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1:19" ht="20.100000000000001" customHeight="1" x14ac:dyDescent="0.2">
      <c r="A242"/>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1:19" ht="20.100000000000001" customHeight="1" x14ac:dyDescent="0.2">
      <c r="A243"/>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1:19" ht="20.100000000000001" customHeight="1" x14ac:dyDescent="0.2">
      <c r="A244"/>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1:19" ht="20.100000000000001" customHeight="1" x14ac:dyDescent="0.2">
      <c r="A24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1:19" ht="20.100000000000001" customHeight="1" x14ac:dyDescent="0.2">
      <c r="A246"/>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1:19" ht="20.100000000000001" customHeight="1" x14ac:dyDescent="0.2">
      <c r="A247"/>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1:19" ht="20.100000000000001" customHeight="1" x14ac:dyDescent="0.2">
      <c r="A248"/>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1:19" ht="20.100000000000001" customHeight="1" x14ac:dyDescent="0.2">
      <c r="A249"/>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1:19" ht="20.100000000000001" customHeight="1" x14ac:dyDescent="0.2">
      <c r="A250"/>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1" spans="1:19" ht="20.100000000000001" customHeight="1" x14ac:dyDescent="0.2">
      <c r="A251"/>
    </row>
    <row r="252" spans="1:19" ht="20.100000000000001" customHeight="1" x14ac:dyDescent="0.2">
      <c r="A252"/>
    </row>
    <row r="253" spans="1:19" ht="20.100000000000001" customHeight="1" x14ac:dyDescent="0.2">
      <c r="A253"/>
      <c r="D253" s="2" t="str" cm="1">
        <f t="array" ref="D253">Common_SourceData.Common_SourceData_EFOrganicFertiliserAndCropResidues_Title()</f>
        <v>Emission factor for organic fertiliser and crop residues returned to the soil</v>
      </c>
    </row>
    <row r="254" spans="1:19" ht="20.100000000000001" customHeight="1" x14ac:dyDescent="0.2">
      <c r="A254"/>
      <c r="D254" s="17" t="str" cm="1">
        <f t="array" ref="D254">Common_SourceData.Common_SourceData_EFOrganicFertiliserAndCropResidues_Source()</f>
        <v>VEERG 2026: Table A.2.1.4</v>
      </c>
    </row>
    <row r="255" spans="1:19" ht="20.100000000000001" customHeight="1" x14ac:dyDescent="0.2">
      <c r="A255"/>
      <c r="D255" s="1" t="str" cm="1">
        <f t="array" ref="D255">Common_SourceData.Common_SourceData_EFOrganicFertiliserAndCropResidues_Variable()</f>
        <v>EFNi &amp; EFN2Oi</v>
      </c>
    </row>
    <row r="256" spans="1:19" ht="20.100000000000001" customHeight="1" x14ac:dyDescent="0.2">
      <c r="A256"/>
      <c r="D256" s="9" t="str" cm="1">
        <f t="array" ref="D256">Common_SourceData.Common_SourceData_EFOrganicFertiliserAndCropResidues_Unit()</f>
        <v>kg N2O - N / kg N</v>
      </c>
    </row>
    <row r="257" spans="1:66" ht="20.100000000000001" customHeight="1" x14ac:dyDescent="0.2">
      <c r="A257"/>
      <c r="D257" s="20" t="s">
        <v>84</v>
      </c>
      <c r="E257" s="20" t="s">
        <v>85</v>
      </c>
    </row>
    <row r="258" spans="1:66" ht="20.100000000000001" customHeight="1" x14ac:dyDescent="0.2">
      <c r="A258"/>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1:66" ht="20.100000000000001" customHeight="1" x14ac:dyDescent="0.2">
      <c r="A259"/>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173</v>
      </c>
    </row>
    <row r="264" spans="1:66" ht="20.100000000000001" customHeight="1" x14ac:dyDescent="0.2">
      <c r="A264"/>
      <c r="D264" s="1" t="s">
        <v>174</v>
      </c>
    </row>
    <row r="265" spans="1:66" ht="20.100000000000001" customHeight="1" x14ac:dyDescent="0.2">
      <c r="A265"/>
      <c r="D265" s="20" t="s">
        <v>217</v>
      </c>
      <c r="E265" s="20" t="s">
        <v>175</v>
      </c>
      <c r="F265" s="20" t="s">
        <v>176</v>
      </c>
      <c r="G265" s="20" t="s">
        <v>169</v>
      </c>
      <c r="V265" s="1"/>
      <c r="BN265" s="22"/>
    </row>
    <row r="266" spans="1:66" ht="20.100000000000001" customHeight="1" x14ac:dyDescent="0.2">
      <c r="A266"/>
      <c r="D266" s="20" t="s">
        <v>218</v>
      </c>
      <c r="E266" s="20" t="s">
        <v>177</v>
      </c>
      <c r="F266" s="20" t="s">
        <v>178</v>
      </c>
      <c r="G266" s="20">
        <v>5</v>
      </c>
      <c r="V266" s="1"/>
      <c r="BN266" s="22"/>
    </row>
    <row r="267" spans="1:66" ht="20.100000000000001" customHeight="1" x14ac:dyDescent="0.2">
      <c r="A267"/>
      <c r="D267" s="20" t="s">
        <v>219</v>
      </c>
      <c r="E267" s="20" t="s">
        <v>179</v>
      </c>
      <c r="F267" s="20" t="s">
        <v>170</v>
      </c>
      <c r="G267" s="20">
        <v>4</v>
      </c>
      <c r="V267" s="1"/>
      <c r="BN267" s="22"/>
    </row>
    <row r="268" spans="1:66" ht="20.100000000000001" customHeight="1" x14ac:dyDescent="0.2">
      <c r="A268" s="81" t="str">
        <f>HYPERLINK("#A1", "▲ Back to top")</f>
        <v>▲ Back to top</v>
      </c>
      <c r="D268" s="20" t="s">
        <v>220</v>
      </c>
      <c r="E268" s="20" t="s">
        <v>180</v>
      </c>
      <c r="F268" s="20" t="s">
        <v>181</v>
      </c>
      <c r="G268" s="20">
        <v>3</v>
      </c>
      <c r="V268" s="1"/>
      <c r="BN268" s="22"/>
    </row>
    <row r="269" spans="1:66" ht="20.100000000000001" customHeight="1" x14ac:dyDescent="0.2">
      <c r="A269"/>
      <c r="D269" s="20" t="s">
        <v>221</v>
      </c>
      <c r="E269" s="20" t="s">
        <v>182</v>
      </c>
      <c r="F269" s="20" t="s">
        <v>183</v>
      </c>
      <c r="G269" s="20">
        <v>2</v>
      </c>
      <c r="V269" s="1"/>
      <c r="BN269" s="22"/>
    </row>
    <row r="270" spans="1:66" ht="20.100000000000001" customHeight="1" x14ac:dyDescent="0.2">
      <c r="A270"/>
      <c r="D270" s="20" t="s">
        <v>222</v>
      </c>
      <c r="E270" s="20" t="s">
        <v>184</v>
      </c>
      <c r="F270" s="20" t="s">
        <v>185</v>
      </c>
      <c r="G270" s="20">
        <v>1</v>
      </c>
      <c r="V270" s="1"/>
      <c r="BN270" s="22"/>
    </row>
    <row r="271" spans="1:66" ht="20.100000000000001" customHeight="1" x14ac:dyDescent="0.2">
      <c r="A271"/>
    </row>
    <row r="272" spans="1:66" ht="20.100000000000001" customHeight="1" x14ac:dyDescent="0.2">
      <c r="A272"/>
    </row>
    <row r="273" spans="1:66" ht="20.100000000000001" customHeight="1" x14ac:dyDescent="0.2">
      <c r="A273"/>
      <c r="D273" s="1" t="s">
        <v>186</v>
      </c>
    </row>
    <row r="274" spans="1:66" ht="20.100000000000001" customHeight="1" x14ac:dyDescent="0.2">
      <c r="A274"/>
      <c r="D274" s="20" t="s">
        <v>217</v>
      </c>
      <c r="E274" s="20" t="s">
        <v>175</v>
      </c>
      <c r="F274" s="20" t="s">
        <v>176</v>
      </c>
      <c r="G274" s="20" t="s">
        <v>169</v>
      </c>
      <c r="V274" s="1"/>
      <c r="BN274" s="22"/>
    </row>
    <row r="275" spans="1:66" ht="20.100000000000001" customHeight="1" x14ac:dyDescent="0.2">
      <c r="A275"/>
      <c r="D275" s="20" t="s">
        <v>223</v>
      </c>
      <c r="E275" s="20" t="s">
        <v>187</v>
      </c>
      <c r="F275" s="20" t="s">
        <v>171</v>
      </c>
      <c r="G275" s="20">
        <v>5</v>
      </c>
      <c r="V275" s="1"/>
      <c r="BN275" s="22"/>
    </row>
    <row r="276" spans="1:66" ht="20.100000000000001" customHeight="1" x14ac:dyDescent="0.2">
      <c r="A276"/>
      <c r="D276" s="20" t="s">
        <v>224</v>
      </c>
      <c r="E276" s="20" t="s">
        <v>188</v>
      </c>
      <c r="F276" s="20" t="s">
        <v>189</v>
      </c>
      <c r="G276" s="20">
        <v>4</v>
      </c>
      <c r="V276" s="1"/>
      <c r="BN276" s="22"/>
    </row>
    <row r="277" spans="1:66" ht="20.100000000000001" customHeight="1" x14ac:dyDescent="0.2">
      <c r="A277"/>
      <c r="D277" s="20" t="s">
        <v>225</v>
      </c>
      <c r="E277" s="20" t="s">
        <v>190</v>
      </c>
      <c r="F277" s="20" t="s">
        <v>191</v>
      </c>
      <c r="G277" s="20">
        <v>3</v>
      </c>
      <c r="V277" s="1"/>
      <c r="BN277" s="22"/>
    </row>
    <row r="278" spans="1:66" ht="20.100000000000001" customHeight="1" x14ac:dyDescent="0.2">
      <c r="A278"/>
      <c r="D278" s="20" t="s">
        <v>226</v>
      </c>
      <c r="E278" s="20" t="s">
        <v>192</v>
      </c>
      <c r="F278" s="20" t="s">
        <v>193</v>
      </c>
      <c r="G278" s="20">
        <v>2</v>
      </c>
      <c r="V278" s="1"/>
      <c r="BN278" s="22"/>
    </row>
    <row r="279" spans="1:66" ht="20.100000000000001" customHeight="1" x14ac:dyDescent="0.2">
      <c r="A279"/>
      <c r="D279" s="20" t="s">
        <v>227</v>
      </c>
      <c r="E279" s="20" t="s">
        <v>194</v>
      </c>
      <c r="F279" s="20" t="s">
        <v>195</v>
      </c>
      <c r="G279" s="20">
        <v>1</v>
      </c>
      <c r="V279" s="1"/>
      <c r="BN279" s="22"/>
    </row>
    <row r="280" spans="1:66" ht="20.100000000000001" customHeight="1" x14ac:dyDescent="0.2">
      <c r="A280"/>
    </row>
    <row r="281" spans="1:66" ht="20.100000000000001" customHeight="1" x14ac:dyDescent="0.2">
      <c r="A281"/>
    </row>
    <row r="282" spans="1:66" ht="20.100000000000001" customHeight="1" x14ac:dyDescent="0.2">
      <c r="A282"/>
      <c r="D282" s="1" t="s">
        <v>196</v>
      </c>
    </row>
    <row r="283" spans="1:66" ht="20.100000000000001" customHeight="1" x14ac:dyDescent="0.2">
      <c r="A283"/>
      <c r="D283" s="20" t="s">
        <v>217</v>
      </c>
      <c r="E283" s="20" t="s">
        <v>175</v>
      </c>
      <c r="F283" s="20" t="s">
        <v>176</v>
      </c>
      <c r="G283" s="20" t="s">
        <v>169</v>
      </c>
      <c r="V283" s="1"/>
      <c r="BN283" s="22"/>
    </row>
    <row r="284" spans="1:66" ht="20.100000000000001" customHeight="1" x14ac:dyDescent="0.2">
      <c r="A284"/>
      <c r="D284" s="20" t="s">
        <v>228</v>
      </c>
      <c r="E284" s="20" t="s">
        <v>197</v>
      </c>
      <c r="F284" s="20" t="s">
        <v>198</v>
      </c>
      <c r="G284" s="20">
        <v>5</v>
      </c>
      <c r="V284" s="1"/>
      <c r="BN284" s="22"/>
    </row>
    <row r="285" spans="1:66" ht="20.100000000000001" customHeight="1" x14ac:dyDescent="0.2">
      <c r="A285"/>
      <c r="D285" s="20" t="s">
        <v>229</v>
      </c>
      <c r="E285" s="20" t="s">
        <v>199</v>
      </c>
      <c r="F285" s="20" t="s">
        <v>200</v>
      </c>
      <c r="G285" s="20">
        <v>4</v>
      </c>
      <c r="V285" s="1"/>
      <c r="BN285" s="22"/>
    </row>
    <row r="286" spans="1:66" ht="20.100000000000001" customHeight="1" x14ac:dyDescent="0.2">
      <c r="A286"/>
      <c r="D286" s="20" t="s">
        <v>230</v>
      </c>
      <c r="E286" s="20" t="s">
        <v>201</v>
      </c>
      <c r="F286" s="20" t="s">
        <v>172</v>
      </c>
      <c r="G286" s="20">
        <v>3</v>
      </c>
      <c r="V286" s="1"/>
      <c r="BN286" s="22"/>
    </row>
    <row r="287" spans="1:66" ht="20.100000000000001" customHeight="1" x14ac:dyDescent="0.2">
      <c r="A287"/>
      <c r="D287" s="20" t="s">
        <v>231</v>
      </c>
      <c r="E287" s="20" t="s">
        <v>202</v>
      </c>
      <c r="F287" s="20" t="s">
        <v>203</v>
      </c>
      <c r="G287" s="20">
        <v>2</v>
      </c>
      <c r="V287" s="1"/>
      <c r="BN287" s="22"/>
    </row>
    <row r="288" spans="1:66" ht="20.100000000000001" customHeight="1" x14ac:dyDescent="0.2">
      <c r="A288"/>
      <c r="D288" s="20" t="s">
        <v>232</v>
      </c>
      <c r="E288" s="20" t="s">
        <v>204</v>
      </c>
      <c r="F288" s="20" t="s">
        <v>205</v>
      </c>
      <c r="G288" s="20">
        <v>1</v>
      </c>
      <c r="V288" s="1"/>
      <c r="BN288" s="22"/>
    </row>
    <row r="289" spans="1:66" ht="20.100000000000001" customHeight="1" x14ac:dyDescent="0.2">
      <c r="A289"/>
    </row>
    <row r="290" spans="1:66" ht="20.100000000000001" customHeight="1" x14ac:dyDescent="0.2">
      <c r="A290"/>
    </row>
    <row r="291" spans="1:66" ht="20.100000000000001" customHeight="1" x14ac:dyDescent="0.2">
      <c r="A291"/>
      <c r="D291" s="1" t="s">
        <v>206</v>
      </c>
    </row>
    <row r="292" spans="1:66" ht="20.100000000000001" customHeight="1" x14ac:dyDescent="0.2">
      <c r="A292"/>
      <c r="D292" s="20" t="s">
        <v>217</v>
      </c>
      <c r="E292" s="20" t="s">
        <v>175</v>
      </c>
      <c r="F292" s="20" t="s">
        <v>176</v>
      </c>
      <c r="G292" s="20" t="s">
        <v>169</v>
      </c>
      <c r="V292" s="1"/>
      <c r="BN292" s="22"/>
    </row>
    <row r="293" spans="1:66" ht="20.100000000000001" customHeight="1" x14ac:dyDescent="0.2">
      <c r="A293"/>
      <c r="D293" s="20" t="s">
        <v>233</v>
      </c>
      <c r="E293" s="20" t="s">
        <v>207</v>
      </c>
      <c r="F293" s="20" t="s">
        <v>208</v>
      </c>
      <c r="G293" s="20">
        <v>5</v>
      </c>
      <c r="V293" s="1"/>
      <c r="BN293" s="22"/>
    </row>
    <row r="294" spans="1:66" ht="20.100000000000001" customHeight="1" x14ac:dyDescent="0.2">
      <c r="A294"/>
      <c r="D294" s="20" t="s">
        <v>234</v>
      </c>
      <c r="E294" s="20" t="s">
        <v>209</v>
      </c>
      <c r="F294" s="20" t="s">
        <v>210</v>
      </c>
      <c r="G294" s="20">
        <v>4</v>
      </c>
      <c r="V294" s="1"/>
      <c r="BN294" s="22"/>
    </row>
    <row r="295" spans="1:66" ht="20.100000000000001" customHeight="1" x14ac:dyDescent="0.2">
      <c r="A295"/>
      <c r="D295" s="20" t="s">
        <v>235</v>
      </c>
      <c r="E295" s="20" t="s">
        <v>211</v>
      </c>
      <c r="F295" s="20" t="s">
        <v>212</v>
      </c>
      <c r="G295" s="20">
        <v>3</v>
      </c>
      <c r="V295" s="1"/>
      <c r="BN295" s="22"/>
    </row>
    <row r="296" spans="1:66" ht="20.100000000000001" customHeight="1" x14ac:dyDescent="0.2">
      <c r="A296"/>
      <c r="D296" s="20" t="s">
        <v>236</v>
      </c>
      <c r="E296" s="20" t="s">
        <v>213</v>
      </c>
      <c r="F296" s="20" t="s">
        <v>214</v>
      </c>
      <c r="G296" s="20">
        <v>2</v>
      </c>
      <c r="V296" s="1"/>
      <c r="BN296" s="22"/>
    </row>
    <row r="297" spans="1:66" ht="20.100000000000001" customHeight="1" x14ac:dyDescent="0.2">
      <c r="A297"/>
      <c r="D297" s="20" t="s">
        <v>237</v>
      </c>
      <c r="E297" s="20" t="s">
        <v>215</v>
      </c>
      <c r="F297" s="20" t="s">
        <v>216</v>
      </c>
      <c r="G297" s="20">
        <v>1</v>
      </c>
      <c r="V297" s="1"/>
      <c r="BN297" s="22"/>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6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166</v>
      </c>
    </row>
    <row r="2" spans="1:13" s="3" customFormat="1" ht="20.100000000000001" customHeight="1" x14ac:dyDescent="0.2">
      <c r="A2"/>
    </row>
    <row r="3" spans="1:13" ht="20.100000000000001" customHeight="1" x14ac:dyDescent="0.2">
      <c r="A3" s="5" t="str">
        <f>HYPERLINK("#'Home'!A1", "Home")</f>
        <v>Home</v>
      </c>
      <c r="C3" s="29"/>
      <c r="D3" s="29"/>
      <c r="E3" s="29"/>
      <c r="F3" s="29"/>
      <c r="G3" s="29"/>
      <c r="H3" s="29"/>
      <c r="I3" s="29"/>
      <c r="J3" s="29"/>
      <c r="K3" s="29"/>
      <c r="L3" s="29"/>
      <c r="M3" s="29"/>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EI")</f>
        <v>Results - Product EI</v>
      </c>
      <c r="D5" s="2" t="s">
        <v>238</v>
      </c>
    </row>
    <row r="7" spans="1:13" ht="20.100000000000001" customHeight="1" x14ac:dyDescent="0.2">
      <c r="D7" s="80" t="s">
        <v>239</v>
      </c>
      <c r="E7" s="80" t="s">
        <v>240</v>
      </c>
      <c r="F7" s="80" t="s">
        <v>241</v>
      </c>
      <c r="G7" s="80" t="s">
        <v>242</v>
      </c>
      <c r="H7" s="80" t="s">
        <v>167</v>
      </c>
      <c r="I7" s="80" t="s">
        <v>168</v>
      </c>
      <c r="J7" s="80" t="s">
        <v>169</v>
      </c>
    </row>
    <row r="8" spans="1:13" ht="20.100000000000001" customHeight="1" x14ac:dyDescent="0.2">
      <c r="A8" s="7" t="s">
        <v>0</v>
      </c>
      <c r="D8" s="1" t="str">
        <f>"Unprocessed cotton yield"</f>
        <v>Unprocessed cotton yield</v>
      </c>
      <c r="E8" s="13" t="s">
        <v>218</v>
      </c>
      <c r="F8" s="13" t="s">
        <v>223</v>
      </c>
      <c r="G8" s="13" t="s">
        <v>228</v>
      </c>
      <c r="H8" s="84"/>
      <c r="I8" s="84"/>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ht="20.100000000000001" customHeight="1" x14ac:dyDescent="0.2">
      <c r="A9" s="5" t="str">
        <f>HYPERLINK("#'Input - Enterprise'!A1", "Enterprise")</f>
        <v>Enterprise</v>
      </c>
      <c r="D9" s="1" t="str">
        <f>"Processed cotton lint yield"</f>
        <v>Processed cotton lint yield</v>
      </c>
      <c r="E9" s="13"/>
      <c r="F9" s="13"/>
      <c r="G9" s="13"/>
      <c r="H9" s="84"/>
      <c r="I9" s="84"/>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ht="20.100000000000001" customHeight="1" x14ac:dyDescent="0.2">
      <c r="A10" s="5" t="str">
        <f>HYPERLINK("#'Input - Site'!A1", "Site")</f>
        <v>Site</v>
      </c>
      <c r="D10" s="1" t="str">
        <f>"Cottonseed yield"</f>
        <v>Cottonseed yield</v>
      </c>
      <c r="E10" s="13"/>
      <c r="F10" s="13"/>
      <c r="G10" s="13"/>
      <c r="H10" s="84"/>
      <c r="I10" s="84"/>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1" spans="1:13" ht="20.100000000000001" customHeight="1" x14ac:dyDescent="0.2">
      <c r="A11" s="5" t="str">
        <f>HYPERLINK("#'Input - Crop'!A1", "Crop")</f>
        <v>Crop</v>
      </c>
      <c r="D11" s="1" t="str">
        <f>"Cotton lint sold"</f>
        <v>Cotton lint sold</v>
      </c>
      <c r="E11" s="13" t="s">
        <v>219</v>
      </c>
      <c r="F11" s="13" t="s">
        <v>224</v>
      </c>
      <c r="G11" s="13" t="s">
        <v>229</v>
      </c>
      <c r="H11" s="84"/>
      <c r="I11" s="84"/>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2" spans="1:13" ht="20.100000000000001" customHeight="1" x14ac:dyDescent="0.2">
      <c r="A12" s="5" t="str">
        <f>HYPERLINK("#'Input - Fert Prod System'!A1", "Fert Prod System")</f>
        <v>Fert Prod System</v>
      </c>
      <c r="D12" s="1" t="str">
        <f>"Cottonseed sold"</f>
        <v>Cottonseed sold</v>
      </c>
      <c r="E12" s="13" t="s">
        <v>220</v>
      </c>
      <c r="F12" s="13" t="s">
        <v>225</v>
      </c>
      <c r="G12" s="13" t="s">
        <v>229</v>
      </c>
      <c r="H12" s="84"/>
      <c r="I12" s="84"/>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3" spans="1:13" ht="20.100000000000001" customHeight="1" x14ac:dyDescent="0.2">
      <c r="A13" s="5" t="str">
        <f>HYPERLINK("#'Input - Fertiliser'!A1", "Fertiliser")</f>
        <v>Fertiliser</v>
      </c>
      <c r="D13" s="1" t="str">
        <f>"Percent income from cotton lint sold"</f>
        <v>Percent income from cotton lint sold</v>
      </c>
      <c r="E13" s="13" t="s">
        <v>222</v>
      </c>
      <c r="F13" s="13" t="s">
        <v>227</v>
      </c>
      <c r="G13" s="13" t="s">
        <v>232</v>
      </c>
      <c r="H13" s="84"/>
      <c r="I13" s="84"/>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4" spans="1:13" ht="20.100000000000001" customHeight="1" x14ac:dyDescent="0.2">
      <c r="A14" s="5" t="str">
        <f>HYPERLINK("#'Input - Fuel'!A1", "Fuel")</f>
        <v>Fuel</v>
      </c>
      <c r="D14" s="1" t="str">
        <f>"Percent income from cotton seed sold"</f>
        <v>Percent income from cotton seed sold</v>
      </c>
      <c r="E14" s="13" t="s">
        <v>219</v>
      </c>
      <c r="F14" s="13" t="s">
        <v>224</v>
      </c>
      <c r="G14" s="13" t="s">
        <v>228</v>
      </c>
      <c r="H14" s="84"/>
      <c r="I14" s="84"/>
      <c r="J14"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13</v>
      </c>
    </row>
    <row r="15" spans="1:13" ht="20.100000000000001" customHeight="1" x14ac:dyDescent="0.2">
      <c r="A15" s="5" t="str">
        <f>HYPERLINK("#'Input - Electricity'!A1", "Electricity")</f>
        <v>Electricity</v>
      </c>
    </row>
    <row r="16" spans="1:13" ht="20.100000000000001" customHeight="1" x14ac:dyDescent="0.2">
      <c r="A16" s="5" t="str">
        <f>HYPERLINK("#'Input - Common farm inputs'!A1", "Common farm inputs")</f>
        <v>Common farm inputs</v>
      </c>
      <c r="J16" s="85">
        <f>SUM(Table_Input_DataQuality_Enterprise[Score])</f>
        <v>53</v>
      </c>
    </row>
    <row r="17" spans="1:10" ht="20.100000000000001" customHeight="1" x14ac:dyDescent="0.2">
      <c r="A17" s="5" t="str">
        <f>HYPERLINK("#'Input - Crop pasture farm input'!A1", "Crop pasture farm input")</f>
        <v>Crop pasture farm input</v>
      </c>
      <c r="D17" s="2" t="s">
        <v>243</v>
      </c>
    </row>
    <row r="18" spans="1:10" ht="20.100000000000001" customHeight="1" x14ac:dyDescent="0.2">
      <c r="A18" s="5" t="str">
        <f>HYPERLINK("#'Input - Freight'!A1", "Freight")</f>
        <v>Freight</v>
      </c>
    </row>
    <row r="19" spans="1:10" ht="20.100000000000001" customHeight="1" x14ac:dyDescent="0.2">
      <c r="A19" s="5" t="str">
        <f>HYPERLINK("#'Input - Solid waste'!A1", "Solid waste")</f>
        <v>Solid waste</v>
      </c>
      <c r="D19" s="80" t="s">
        <v>239</v>
      </c>
      <c r="E19" s="80" t="s">
        <v>240</v>
      </c>
      <c r="F19" s="80" t="s">
        <v>241</v>
      </c>
      <c r="G19" s="80" t="s">
        <v>242</v>
      </c>
      <c r="H19" s="80" t="s">
        <v>167</v>
      </c>
      <c r="I19" s="80" t="s">
        <v>168</v>
      </c>
      <c r="J19" s="80" t="s">
        <v>169</v>
      </c>
    </row>
    <row r="20" spans="1:10" ht="20.100000000000001" customHeight="1" x14ac:dyDescent="0.2">
      <c r="A20" s="108" t="str">
        <f>HYPERLINK("#'Input - Data quality'!A1", "Data quality")</f>
        <v>Data quality</v>
      </c>
      <c r="D20" s="1" t="str">
        <f>"Leaching zone"</f>
        <v>Leaching zone</v>
      </c>
      <c r="E20" s="13" t="s">
        <v>219</v>
      </c>
      <c r="F20" s="13" t="s">
        <v>225</v>
      </c>
      <c r="G20" s="13" t="s">
        <v>228</v>
      </c>
      <c r="H20" s="84"/>
      <c r="I20" s="84"/>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D21" s="1" t="str">
        <f>"Elevation"</f>
        <v>Elevation</v>
      </c>
      <c r="E21" s="13" t="s">
        <v>219</v>
      </c>
      <c r="F21" s="13" t="s">
        <v>225</v>
      </c>
      <c r="G21" s="13" t="s">
        <v>228</v>
      </c>
      <c r="H21" s="84"/>
      <c r="I21" s="84"/>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ht="20.100000000000001" customHeight="1" x14ac:dyDescent="0.2">
      <c r="D22" s="1" t="str">
        <f>"Average temperature for reporting period"</f>
        <v>Average temperature for reporting period</v>
      </c>
      <c r="E22" s="13" t="s">
        <v>219</v>
      </c>
      <c r="F22" s="13" t="s">
        <v>225</v>
      </c>
      <c r="G22" s="13" t="s">
        <v>228</v>
      </c>
      <c r="H22" s="84"/>
      <c r="I22" s="84"/>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ht="20.100000000000001" customHeight="1" x14ac:dyDescent="0.2">
      <c r="A23" s="6" t="s">
        <v>2</v>
      </c>
      <c r="D23" s="1" t="str">
        <f>"Total rainfall for reporting period"</f>
        <v>Total rainfall for reporting period</v>
      </c>
      <c r="E23" s="13" t="s">
        <v>218</v>
      </c>
      <c r="F23" s="13" t="s">
        <v>224</v>
      </c>
      <c r="G23" s="13" t="s">
        <v>228</v>
      </c>
      <c r="H23" s="84"/>
      <c r="I23" s="84"/>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4" spans="1:10" ht="20.100000000000001" customHeight="1" x14ac:dyDescent="0.2">
      <c r="A24" s="5" t="str">
        <f>HYPERLINK("#'5.1.1.1-2 Inorganic fert N2O'!A1", "5.1.1.1-2 Inorganic fert N2O")</f>
        <v>5.1.1.1-2 Inorganic fert N2O</v>
      </c>
      <c r="D24" s="1" t="str">
        <f>"Potential evapotranspiration for reporting period"</f>
        <v>Potential evapotranspiration for reporting period</v>
      </c>
      <c r="E24" s="13" t="s">
        <v>219</v>
      </c>
      <c r="F24" s="13" t="s">
        <v>225</v>
      </c>
      <c r="G24" s="13" t="s">
        <v>228</v>
      </c>
      <c r="H24" s="84"/>
      <c r="I24" s="84"/>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5" spans="1:10" ht="20.100000000000001" customHeight="1" x14ac:dyDescent="0.2">
      <c r="A25" s="5" t="str">
        <f>HYPERLINK("#'5.1.1.3-4 Inorganic fert CO2'!A1", "5.1.1.3-4 Inorganic fert CO2")</f>
        <v>5.1.1.3-4 Inorganic fert CO2</v>
      </c>
      <c r="D25" s="1" t="str">
        <f>"Number of frost days for reporting period"</f>
        <v>Number of frost days for reporting period</v>
      </c>
      <c r="E25" s="86" t="s">
        <v>220</v>
      </c>
      <c r="F25" s="86" t="s">
        <v>225</v>
      </c>
      <c r="G25" s="86" t="s">
        <v>228</v>
      </c>
      <c r="H25" s="84"/>
      <c r="I25" s="84"/>
      <c r="J25"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1:10" ht="20.100000000000001" customHeight="1" x14ac:dyDescent="0.2">
      <c r="A26" s="5" t="str">
        <f>HYPERLINK("#'5.2.1.1-2 Organic Fert N2O'!A1", "5.2.1.1-2 Organic fert N2O")</f>
        <v>5.2.1.1-2 Organic fert N2O</v>
      </c>
    </row>
    <row r="27" spans="1:10" ht="20.100000000000001" customHeight="1" x14ac:dyDescent="0.2">
      <c r="A27" s="5" t="str">
        <f>HYPERLINK("#'5.3.1.1-2 Lime CO2'!A1", "5.3.1.1-2 Lime CO2")</f>
        <v>5.3.1.1-2 Lime CO2</v>
      </c>
      <c r="J27" s="85">
        <f>SUM(Table_Input_DataQuality_Site[Score])</f>
        <v>73</v>
      </c>
    </row>
    <row r="28" spans="1:10" ht="20.100000000000001" customHeight="1" x14ac:dyDescent="0.2">
      <c r="A28" s="5" t="str">
        <f>HYPERLINK("#'5.4.1.1-4 Atmos deposition'!A1", "5.4.1.1-4 Atmos. deposition")</f>
        <v>5.4.1.1-4 Atmos. deposition</v>
      </c>
      <c r="D28" s="2" t="s">
        <v>280</v>
      </c>
    </row>
    <row r="29" spans="1:10" ht="20.100000000000001" customHeight="1" x14ac:dyDescent="0.2">
      <c r="A29" s="5" t="str">
        <f>HYPERLINK("#'5.5.1.1-2 Leaching and runoff'!A1", "5.5.1.1-2 Leaching &amp; runoff")</f>
        <v>5.5.1.1-2 Leaching &amp; runoff</v>
      </c>
    </row>
    <row r="30" spans="1:10" ht="20.100000000000001" customHeight="1" x14ac:dyDescent="0.2">
      <c r="A30" s="5" t="str">
        <f>HYPERLINK("#'6.1.1.1-2 Crop residue N2O'!A1", "6.1.1.1-2 Crop residue N2O")</f>
        <v>6.1.1.1-2 Crop residue N2O</v>
      </c>
      <c r="D30" s="80" t="s">
        <v>239</v>
      </c>
      <c r="E30" s="80" t="s">
        <v>240</v>
      </c>
      <c r="F30" s="80" t="s">
        <v>241</v>
      </c>
      <c r="G30" s="80" t="s">
        <v>242</v>
      </c>
      <c r="H30" s="80" t="s">
        <v>167</v>
      </c>
      <c r="I30" s="80" t="s">
        <v>168</v>
      </c>
      <c r="J30" s="80" t="s">
        <v>169</v>
      </c>
    </row>
    <row r="31" spans="1:10" ht="20.100000000000001" customHeight="1" x14ac:dyDescent="0.2">
      <c r="A31" s="5" t="str">
        <f>HYPERLINK("#'6.3.1.1-2 Leach runoff crop'!A1", "6.3.1.1-2 Leach &amp; runoff (crop)")</f>
        <v>6.3.1.1-2 Leach &amp; runoff (crop)</v>
      </c>
      <c r="D31" s="1" t="str">
        <f>"Irrigation method"</f>
        <v>Irrigation method</v>
      </c>
      <c r="E31" s="13" t="s">
        <v>218</v>
      </c>
      <c r="F31" s="13" t="s">
        <v>224</v>
      </c>
      <c r="G31" s="13" t="s">
        <v>228</v>
      </c>
      <c r="H31" s="84"/>
      <c r="I31" s="84"/>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ht="20.100000000000001" customHeight="1" x14ac:dyDescent="0.2">
      <c r="A32" s="5" t="str">
        <f>HYPERLINK("#'8.1.1.1-2 Transport fuel'!A1", "8.1.1.1-2 Transport fuel")</f>
        <v>8.1.1.1-2 Transport fuel</v>
      </c>
      <c r="D32" s="1" t="str">
        <f>"Area under cropping"</f>
        <v>Area under cropping</v>
      </c>
      <c r="E32" s="13" t="s">
        <v>218</v>
      </c>
      <c r="F32" s="13" t="s">
        <v>224</v>
      </c>
      <c r="G32" s="13" t="s">
        <v>228</v>
      </c>
      <c r="H32" s="84"/>
      <c r="I32" s="84"/>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1:10" ht="20.100000000000001" customHeight="1" x14ac:dyDescent="0.2">
      <c r="A33" s="5" t="str">
        <f>HYPERLINK("#'8.2.1.1-2 Stationary fuel'!A1", "8.2.1.1-2 Stationary fuel")</f>
        <v>8.2.1.1-2 Stationary fuel</v>
      </c>
      <c r="D33" s="1" t="str">
        <f>"Residue management"</f>
        <v>Residue management</v>
      </c>
      <c r="E33" s="13" t="s">
        <v>218</v>
      </c>
      <c r="F33" s="13" t="s">
        <v>224</v>
      </c>
      <c r="G33" s="13" t="s">
        <v>228</v>
      </c>
      <c r="H33" s="84"/>
      <c r="I33" s="84"/>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1:10" ht="20.100000000000001" customHeight="1" x14ac:dyDescent="0.2">
      <c r="A34" s="5" t="str">
        <f>HYPERLINK("#'10.1.1-2 Solid waste treatment'!A1", "10.1.1.1-2 Solid waste")</f>
        <v>10.1.1.1-2 Solid waste</v>
      </c>
    </row>
    <row r="35" spans="1:10" ht="20.100000000000001" customHeight="1" x14ac:dyDescent="0.2">
      <c r="A35" s="5" t="str">
        <f>HYPERLINK("#'14.1.1-2 Purchased electricity'!A1", "14.1.1-2 Purchased electricity")</f>
        <v>14.1.1-2 Purchased electricity</v>
      </c>
      <c r="J35" s="85">
        <f>SUM(Table_Input_DataQuality_PastureManagement[Score])</f>
        <v>42</v>
      </c>
    </row>
    <row r="36" spans="1:10" ht="20.100000000000001" customHeight="1" x14ac:dyDescent="0.2">
      <c r="A36" s="5" t="str">
        <f>HYPERLINK("#'15 Scope 3'!A1", "15 Scope 3")</f>
        <v>15 Scope 3</v>
      </c>
      <c r="D36" s="2" t="s">
        <v>244</v>
      </c>
    </row>
    <row r="38" spans="1:10" ht="20.100000000000001" customHeight="1" x14ac:dyDescent="0.2">
      <c r="D38" s="80" t="s">
        <v>239</v>
      </c>
      <c r="E38" s="80" t="s">
        <v>240</v>
      </c>
      <c r="F38" s="80" t="s">
        <v>241</v>
      </c>
      <c r="G38" s="80" t="s">
        <v>242</v>
      </c>
      <c r="H38" s="80" t="s">
        <v>167</v>
      </c>
      <c r="I38" s="80" t="s">
        <v>168</v>
      </c>
      <c r="J38" s="80" t="s">
        <v>169</v>
      </c>
    </row>
    <row r="39" spans="1:10" ht="20.100000000000001" customHeight="1" x14ac:dyDescent="0.2">
      <c r="A39" s="82" t="s">
        <v>1</v>
      </c>
      <c r="D39" s="1" t="str">
        <f>"Branded inorganic fertiliser applications"</f>
        <v>Branded inorganic fertiliser applications</v>
      </c>
      <c r="E39" s="13" t="s">
        <v>218</v>
      </c>
      <c r="F39" s="13" t="s">
        <v>224</v>
      </c>
      <c r="G39" s="13" t="s">
        <v>229</v>
      </c>
      <c r="H39" s="84"/>
      <c r="I39" s="84"/>
      <c r="J3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1:10" ht="20.100000000000001" customHeight="1" x14ac:dyDescent="0.2">
      <c r="A40" s="5" t="str">
        <f>HYPERLINK("#'Constants - Ag Residue'!A1", "Constants - Ag residue")</f>
        <v>Constants - Ag residue</v>
      </c>
      <c r="D40" s="1" t="str">
        <f>"Custom inorganic fertiliser blend applications"</f>
        <v>Custom inorganic fertiliser blend applications</v>
      </c>
      <c r="E40" s="13" t="s">
        <v>218</v>
      </c>
      <c r="F40" s="13" t="s">
        <v>224</v>
      </c>
      <c r="G40" s="13" t="s">
        <v>228</v>
      </c>
      <c r="H40" s="84"/>
      <c r="I40" s="84"/>
      <c r="J4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1:10" ht="20.100000000000001" customHeight="1" x14ac:dyDescent="0.2">
      <c r="A41" s="5" t="str">
        <f>HYPERLINK("#'Constants - Electricity'!A1", "Constants - Electricity")</f>
        <v>Constants - Electricity</v>
      </c>
      <c r="D41" s="1" t="str">
        <f>"Lime applications"</f>
        <v>Lime applications</v>
      </c>
      <c r="E41" s="13" t="s">
        <v>218</v>
      </c>
      <c r="F41" s="13" t="s">
        <v>224</v>
      </c>
      <c r="G41" s="13" t="s">
        <v>228</v>
      </c>
      <c r="H41" s="84"/>
      <c r="I41" s="84"/>
      <c r="J41"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1:10" ht="20.100000000000001" customHeight="1" x14ac:dyDescent="0.2">
      <c r="A42" s="5" t="str">
        <f>HYPERLINK("#'Constants - Fertiliser'!A1", "Constants - Fertiliser")</f>
        <v>Constants - Fertiliser</v>
      </c>
      <c r="D42" s="1" t="str">
        <f>"Organic fertiliser applications"</f>
        <v>Organic fertiliser applications</v>
      </c>
      <c r="E42" s="13" t="s">
        <v>218</v>
      </c>
      <c r="F42" s="13" t="s">
        <v>224</v>
      </c>
      <c r="G42" s="13" t="s">
        <v>228</v>
      </c>
      <c r="H42" s="84"/>
      <c r="I42" s="84"/>
      <c r="J42"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3" spans="1:10" ht="20.100000000000001" customHeight="1" x14ac:dyDescent="0.2">
      <c r="A43" s="5" t="str">
        <f>HYPERLINK("#'Constants - Fuel'!A1", "Constants - Fuel")</f>
        <v>Constants - Fuel</v>
      </c>
    </row>
    <row r="44" spans="1:10" ht="20.100000000000001" customHeight="1" x14ac:dyDescent="0.2">
      <c r="A44" s="5" t="str">
        <f>HYPERLINK("#'Constants - Scope 3'!A1", "Constants - Scope 3")</f>
        <v>Constants - Scope 3</v>
      </c>
      <c r="J44" s="85">
        <f>SUM(Table_Input_DataQuality_FertiliserApplications[Score])</f>
        <v>55</v>
      </c>
    </row>
    <row r="45" spans="1:10" ht="20.100000000000001" customHeight="1" x14ac:dyDescent="0.2">
      <c r="A45" s="5" t="str">
        <f>HYPERLINK("#'Constants - Solid Waste'!A1", "Constants - Solid Waste")</f>
        <v>Constants - Solid Waste</v>
      </c>
      <c r="D45" s="2" t="s">
        <v>245</v>
      </c>
    </row>
    <row r="46" spans="1:10" ht="20.100000000000001" customHeight="1" x14ac:dyDescent="0.2">
      <c r="A46" s="5" t="str">
        <f>HYPERLINK("#'Constants - Common'!A1", "Constants - Common")</f>
        <v>Constants - Common</v>
      </c>
    </row>
    <row r="47" spans="1:10" ht="20.100000000000001" customHeight="1" x14ac:dyDescent="0.2">
      <c r="A47" s="5" t="str">
        <f>HYPERLINK("#'Constants - Common Livestock'!A1", "Constants - Common Livestock")</f>
        <v>Constants - Common Livestock</v>
      </c>
      <c r="D47" s="80" t="s">
        <v>239</v>
      </c>
      <c r="E47" s="80" t="s">
        <v>240</v>
      </c>
      <c r="F47" s="80" t="s">
        <v>241</v>
      </c>
      <c r="G47" s="80" t="s">
        <v>242</v>
      </c>
      <c r="H47" s="80" t="s">
        <v>167</v>
      </c>
      <c r="I47" s="80" t="s">
        <v>168</v>
      </c>
      <c r="J47" s="80" t="s">
        <v>169</v>
      </c>
    </row>
    <row r="48" spans="1:10" ht="20.100000000000001" customHeight="1" x14ac:dyDescent="0.2">
      <c r="D48" s="1" t="str">
        <f>"Fuel purchases"</f>
        <v>Fuel purchases</v>
      </c>
      <c r="E48" s="13" t="s">
        <v>218</v>
      </c>
      <c r="F48" s="13" t="s">
        <v>224</v>
      </c>
      <c r="G48" s="13" t="s">
        <v>229</v>
      </c>
      <c r="H48" s="84"/>
      <c r="I48" s="84"/>
      <c r="J4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1:10" ht="20.100000000000001" customHeight="1" x14ac:dyDescent="0.2">
      <c r="D49" s="1" t="str">
        <f>"Fuel consumption"</f>
        <v>Fuel consumption</v>
      </c>
      <c r="E49" s="13" t="s">
        <v>218</v>
      </c>
      <c r="F49" s="13" t="s">
        <v>224</v>
      </c>
      <c r="G49" s="13" t="s">
        <v>228</v>
      </c>
      <c r="H49" s="84"/>
      <c r="I49" s="84"/>
      <c r="J4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1:10" ht="20.100000000000001" customHeight="1" x14ac:dyDescent="0.2">
      <c r="D50" s="1" t="str">
        <f>"Electricity consumption"</f>
        <v>Electricity consumption</v>
      </c>
      <c r="E50" s="13" t="s">
        <v>218</v>
      </c>
      <c r="F50" s="13" t="s">
        <v>224</v>
      </c>
      <c r="G50" s="13" t="s">
        <v>228</v>
      </c>
      <c r="H50" s="84"/>
      <c r="I50" s="84"/>
      <c r="J50"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1:10" ht="20.100000000000001" customHeight="1" x14ac:dyDescent="0.2">
      <c r="D51" s="1" t="str">
        <f>"Electricity generation"</f>
        <v>Electricity generation</v>
      </c>
      <c r="E51" s="13" t="s">
        <v>218</v>
      </c>
      <c r="F51" s="13" t="s">
        <v>224</v>
      </c>
      <c r="G51" s="13" t="s">
        <v>228</v>
      </c>
      <c r="H51" s="84"/>
      <c r="I51" s="84"/>
      <c r="J51"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1:10" ht="20.100000000000001" customHeight="1" x14ac:dyDescent="0.2">
      <c r="J53" s="85">
        <f>SUM(Table_Input_DataQuality_FuelElectricity[Score])</f>
        <v>55</v>
      </c>
    </row>
    <row r="55" spans="1:10" ht="20.100000000000001" customHeight="1" x14ac:dyDescent="0.2">
      <c r="D55" s="2" t="s">
        <v>246</v>
      </c>
    </row>
    <row r="57" spans="1:10" ht="20.100000000000001" customHeight="1" x14ac:dyDescent="0.2">
      <c r="D57" s="80" t="s">
        <v>239</v>
      </c>
      <c r="E57" s="80" t="s">
        <v>240</v>
      </c>
      <c r="F57" s="80" t="s">
        <v>241</v>
      </c>
      <c r="G57" s="80" t="s">
        <v>242</v>
      </c>
      <c r="H57" s="80" t="s">
        <v>167</v>
      </c>
      <c r="I57" s="80" t="s">
        <v>168</v>
      </c>
      <c r="J57" s="80" t="s">
        <v>169</v>
      </c>
    </row>
    <row r="58" spans="1:10" ht="20.100000000000001" customHeight="1" x14ac:dyDescent="0.2">
      <c r="A58" s="81" t="str">
        <f>HYPERLINK("#A1", "▲ Back to top")</f>
        <v>▲ Back to top</v>
      </c>
      <c r="D58" s="1" t="str">
        <f>"Farm input purchases"</f>
        <v>Farm input purchases</v>
      </c>
      <c r="E58" s="13" t="s">
        <v>218</v>
      </c>
      <c r="F58" s="13" t="s">
        <v>224</v>
      </c>
      <c r="G58" s="13" t="s">
        <v>229</v>
      </c>
      <c r="H58" s="84"/>
      <c r="I58" s="84"/>
      <c r="J5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1:10" ht="20.100000000000001" customHeight="1" x14ac:dyDescent="0.2">
      <c r="D59" s="1" t="str">
        <f>"Inbound freight use"</f>
        <v>Inbound freight use</v>
      </c>
      <c r="E59" s="13" t="s">
        <v>218</v>
      </c>
      <c r="F59" s="13" t="s">
        <v>224</v>
      </c>
      <c r="G59" s="13" t="s">
        <v>228</v>
      </c>
      <c r="H59" s="84"/>
      <c r="I59" s="84"/>
      <c r="J5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1:10" ht="20.100000000000001" customHeight="1" x14ac:dyDescent="0.2">
      <c r="D60" s="1" t="str">
        <f>"Outbound freight use"</f>
        <v>Outbound freight use</v>
      </c>
      <c r="E60" s="13" t="s">
        <v>218</v>
      </c>
      <c r="F60" s="13" t="s">
        <v>224</v>
      </c>
      <c r="G60" s="13" t="s">
        <v>228</v>
      </c>
      <c r="H60" s="84"/>
      <c r="I60" s="84"/>
      <c r="J60"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1:10" ht="20.100000000000001" customHeight="1" x14ac:dyDescent="0.2">
      <c r="D61" s="1" t="str">
        <f>"Solid waste generation and treatment"</f>
        <v>Solid waste generation and treatment</v>
      </c>
      <c r="E61" s="13" t="s">
        <v>218</v>
      </c>
      <c r="F61" s="13" t="s">
        <v>224</v>
      </c>
      <c r="G61" s="13" t="s">
        <v>228</v>
      </c>
      <c r="H61" s="84"/>
      <c r="I61" s="84"/>
      <c r="J61"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3" spans="1:10" ht="20.100000000000001" customHeight="1" x14ac:dyDescent="0.2">
      <c r="J63" s="85">
        <f>SUM(Table_Input_DataQuality_FarmInputsFreightWaste[Score])</f>
        <v>55</v>
      </c>
    </row>
    <row r="65" spans="4:5" ht="20.100000000000001" customHeight="1" x14ac:dyDescent="0.2">
      <c r="D65" s="87" t="s">
        <v>247</v>
      </c>
      <c r="E65" s="88" t="str">
        <f>(J16+J27+J35+J44+J53+J63)&amp;"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333 out of 420</v>
      </c>
    </row>
  </sheetData>
  <dataValidations count="3">
    <dataValidation type="list" allowBlank="1" showInputMessage="1" showErrorMessage="1" sqref="G20:G25 G39:G42 G48:G51 G58:G61 G31:G33 G8:G14" xr:uid="{97D978E2-EFFF-4D26-AA9B-97907606C063}">
      <formula1>INDIRECT("Table_SourceData_DataQuality_SampleSize[User friendly description]")</formula1>
    </dataValidation>
    <dataValidation type="list" allowBlank="1" showInputMessage="1" showErrorMessage="1" sqref="E20:E25 E39:E42 E48:E51 E58:E61 E31:E33 E8:E14" xr:uid="{6365A925-6C5F-4576-82C6-82C3A3309F18}">
      <formula1>INDIRECT("Table_SourceData_DataQuality_TemporalRepresentativeness[User friendly description]")</formula1>
    </dataValidation>
    <dataValidation type="list" allowBlank="1" showInputMessage="1" showErrorMessage="1" sqref="F20:F25 F39:F42 F48:F51 F58:F61 F31:F33 F8:F14"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B0B2-9098-4FD5-8F43-09D4E1753199}">
  <sheetPr>
    <tabColor theme="2" tint="-0.499984740745262"/>
  </sheetPr>
  <dimension ref="A1:M195"/>
  <sheetViews>
    <sheetView showGridLines="0" zoomScaleNormal="100" workbookViewId="0">
      <pane xSplit="1" topLeftCell="B1" activePane="topRight" state="frozenSplit"/>
      <selection pane="topRight" activeCell="A5" sqref="A5"/>
    </sheetView>
  </sheetViews>
  <sheetFormatPr defaultColWidth="9" defaultRowHeight="20.100000000000001" customHeight="1" x14ac:dyDescent="0.2"/>
  <cols>
    <col min="1" max="1" width="36.7109375" style="231" customWidth="1"/>
    <col min="2" max="2" width="4.140625" style="231" customWidth="1"/>
    <col min="3" max="3" width="4.140625" style="1" customWidth="1"/>
    <col min="4" max="8" width="26.85546875" style="1" customWidth="1"/>
    <col min="9" max="9" width="27" style="1" customWidth="1"/>
    <col min="10" max="13" width="26.85546875" style="1" customWidth="1"/>
    <col min="14" max="16" width="26.85546875" style="231" customWidth="1"/>
    <col min="17" max="16384" width="9" style="231"/>
  </cols>
  <sheetData>
    <row r="1" spans="1:13" ht="30" customHeight="1" x14ac:dyDescent="0.35">
      <c r="A1" s="10" t="e" vm="1">
        <v>#VALUE!</v>
      </c>
      <c r="C1" s="21" t="s">
        <v>1019</v>
      </c>
      <c r="D1" s="21"/>
      <c r="E1" s="21"/>
      <c r="F1" s="21"/>
      <c r="G1" s="21"/>
      <c r="H1" s="21"/>
      <c r="I1" s="21"/>
      <c r="J1" s="21"/>
      <c r="K1" s="21"/>
      <c r="L1" s="21"/>
      <c r="M1" s="21"/>
    </row>
    <row r="2" spans="1:13" ht="20.100000000000001" customHeight="1" x14ac:dyDescent="0.2">
      <c r="A2"/>
      <c r="C2" s="3"/>
      <c r="D2" s="3"/>
      <c r="E2" s="3"/>
      <c r="F2" s="3"/>
      <c r="G2" s="3"/>
      <c r="H2" s="3"/>
      <c r="I2" s="3"/>
      <c r="J2" s="3"/>
      <c r="K2" s="3"/>
      <c r="L2" s="3"/>
      <c r="M2" s="3"/>
    </row>
    <row r="3" spans="1:13" ht="20.100000000000001" customHeight="1" x14ac:dyDescent="0.2">
      <c r="A3" s="5" t="str">
        <f>HYPERLINK("#'Home'!A1", "Home")</f>
        <v>Home</v>
      </c>
      <c r="C3" s="23"/>
      <c r="D3" s="23"/>
      <c r="E3" s="23"/>
      <c r="F3" s="23"/>
      <c r="G3" s="23"/>
      <c r="H3" s="23"/>
      <c r="I3" s="23"/>
      <c r="J3" s="23"/>
      <c r="K3" s="23"/>
      <c r="L3" s="23"/>
      <c r="M3" s="23"/>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EI")</f>
        <v>Results - Product EI</v>
      </c>
    </row>
    <row r="6" spans="1:13" ht="20.100000000000001" customHeight="1" x14ac:dyDescent="0.2">
      <c r="A6"/>
      <c r="D6" s="2" t="str" cm="1">
        <f t="array" ref="D6">CommonLivestock_SourceData.SourceData_Livestock_Common_SymbolsMMS_Title()</f>
        <v>Table 5.12 Additional symbols used in algorithms for manure related emissions</v>
      </c>
      <c r="E6" s="25"/>
      <c r="F6" s="25"/>
      <c r="G6" s="25"/>
      <c r="H6" s="25"/>
    </row>
    <row r="7" spans="1:13" ht="20.100000000000001" customHeight="1" x14ac:dyDescent="0.2">
      <c r="A7"/>
      <c r="D7" s="25" t="str" cm="1">
        <f t="array" ref="D7">CommonLivestock_SourceData.SourceData_Livestock_Common_SymbolsMMS_Vairable()</f>
        <v>MMS</v>
      </c>
      <c r="E7" s="25"/>
      <c r="F7" s="25"/>
      <c r="G7" s="25"/>
      <c r="H7" s="25"/>
    </row>
    <row r="8" spans="1:13" ht="20.100000000000001" customHeight="1" x14ac:dyDescent="0.2">
      <c r="A8" s="7" t="s">
        <v>0</v>
      </c>
      <c r="D8" s="17" t="str" cm="1">
        <f t="array" ref="D8">CommonLivestock_SourceData.SourceData_Livestock_Common_SymbolsMMS_Source()</f>
        <v>National Inventory Report 2023 Volume 1: Table 5.12</v>
      </c>
      <c r="E8" s="25"/>
      <c r="F8" s="25"/>
      <c r="G8" s="25"/>
      <c r="H8" s="25"/>
    </row>
    <row r="9" spans="1:13" ht="20.100000000000001" customHeight="1" x14ac:dyDescent="0.2">
      <c r="A9" s="5" t="str">
        <f>HYPERLINK("#'Input - Enterprise'!A1", "Enterprise")</f>
        <v>Enterprise</v>
      </c>
      <c r="D9" s="27" t="s">
        <v>1020</v>
      </c>
      <c r="E9" s="20" t="s">
        <v>1021</v>
      </c>
      <c r="F9" s="20" t="s">
        <v>1022</v>
      </c>
      <c r="G9" s="25"/>
    </row>
    <row r="10" spans="1:13" ht="20.100000000000001" customHeight="1" x14ac:dyDescent="0.2">
      <c r="A10" s="5" t="str">
        <f>HYPERLINK("#'Input - Site'!A1", "Site")</f>
        <v>Site</v>
      </c>
      <c r="D10" s="27" t="str" cm="1">
        <f t="array" ref="D10">Common_InputFunctions.Utility_DisplayArrayInTable(CommonLivestock_SourceData.SourceData_Livestock_Common_SymbolsMMS_Data(), Table_Data_MMSSymbols[[#Headers],[Symbol]], 0)</f>
        <v>1</v>
      </c>
      <c r="E10" s="27" t="str" cm="1">
        <f t="array" ref="E10">Common_InputFunctions.Utility_DisplayArrayInTable(CommonLivestock_SourceData.SourceData_Livestock_Common_SymbolsMMS_Data(), Table_Data_MMSSymbols[[#Headers],[Symbol]], 0)</f>
        <v>Anaerobic lagoon</v>
      </c>
      <c r="F10" s="27" t="str" cm="1">
        <f t="array" ref="F10">Common_InputFunctions.Utility_DisplayArrayInTable(CommonLivestock_SourceData.SourceData_Livestock_Common_SymbolsMMS_Data(), Table_Data_MMSSymbols[[#Headers],[Symbol]], 0)</f>
        <v>Anaerobic lagoon (m=1)</v>
      </c>
      <c r="G10" s="25"/>
    </row>
    <row r="11" spans="1:13" ht="20.100000000000001" customHeight="1" x14ac:dyDescent="0.2">
      <c r="A11" s="5" t="str">
        <f>HYPERLINK("#'Input - Crop'!A1", "Crop")</f>
        <v>Crop</v>
      </c>
      <c r="D11" s="27" t="str" cm="1">
        <f t="array" ref="D11">Common_InputFunctions.Utility_DisplayArrayInTable(CommonLivestock_SourceData.SourceData_Livestock_Common_SymbolsMMS_Data(), Table_Data_MMSSymbols[[#Headers],[Symbol]], 0)</f>
        <v>2</v>
      </c>
      <c r="E11" s="27" t="str" cm="1">
        <f t="array" ref="E11">Common_InputFunctions.Utility_DisplayArrayInTable(CommonLivestock_SourceData.SourceData_Livestock_Common_SymbolsMMS_Data(), Table_Data_MMSSymbols[[#Headers],[Symbol]], 0)</f>
        <v>Liquid systems</v>
      </c>
      <c r="F11" s="27" t="str" cm="1">
        <f t="array" ref="F11">Common_InputFunctions.Utility_DisplayArrayInTable(CommonLivestock_SourceData.SourceData_Livestock_Common_SymbolsMMS_Data(), Table_Data_MMSSymbols[[#Headers],[Symbol]], 0)</f>
        <v>Liquid systems (m=2)</v>
      </c>
      <c r="G11" s="25"/>
    </row>
    <row r="12" spans="1:13" ht="20.100000000000001" customHeight="1" x14ac:dyDescent="0.2">
      <c r="A12" s="5" t="str">
        <f>HYPERLINK("#'Input - Fert Prod System'!A1", "Fert Prod System")</f>
        <v>Fert Prod System</v>
      </c>
      <c r="D12" s="20" t="str" cm="1">
        <f t="array" ref="D12">Common_InputFunctions.Utility_DisplayArrayInTable(CommonLivestock_SourceData.SourceData_Livestock_Common_SymbolsMMS_Data(), Table_Data_MMSSymbols[[#Headers],[Symbol]], 0)</f>
        <v>3</v>
      </c>
      <c r="E12" s="20" t="str" cm="1">
        <f t="array" ref="E12">Common_InputFunctions.Utility_DisplayArrayInTable(CommonLivestock_SourceData.SourceData_Livestock_Common_SymbolsMMS_Data(), Table_Data_MMSSymbols[[#Headers],[Symbol]], 0)</f>
        <v>Daily spread</v>
      </c>
      <c r="F12" s="20" t="str" cm="1">
        <f t="array" ref="F12">Common_InputFunctions.Utility_DisplayArrayInTable(CommonLivestock_SourceData.SourceData_Livestock_Common_SymbolsMMS_Data(), Table_Data_MMSSymbols[[#Headers],[Symbol]], 0)</f>
        <v>Daily spread (m=3)</v>
      </c>
      <c r="G12" s="25"/>
    </row>
    <row r="13" spans="1:13" ht="20.100000000000001" customHeight="1" x14ac:dyDescent="0.2">
      <c r="A13" s="5" t="str">
        <f>HYPERLINK("#'Input - Fertiliser'!A1", "Fertiliser")</f>
        <v>Fertiliser</v>
      </c>
      <c r="D13" s="20" t="str" cm="1">
        <f t="array" ref="D13">Common_InputFunctions.Utility_DisplayArrayInTable(CommonLivestock_SourceData.SourceData_Livestock_Common_SymbolsMMS_Data(), Table_Data_MMSSymbols[[#Headers],[Symbol]], 0)</f>
        <v>3a</v>
      </c>
      <c r="E13" s="20" t="str" cm="1">
        <f t="array" ref="E13">Common_InputFunctions.Utility_DisplayArrayInTable(CommonLivestock_SourceData.SourceData_Livestock_Common_SymbolsMMS_Data(), Table_Data_MMSSymbols[[#Headers],[Symbol]], 0)</f>
        <v>Sump and dispersal system</v>
      </c>
      <c r="F13" s="20" t="str" cm="1">
        <f t="array" ref="F13">Common_InputFunctions.Utility_DisplayArrayInTable(CommonLivestock_SourceData.SourceData_Livestock_Common_SymbolsMMS_Data(), Table_Data_MMSSymbols[[#Headers],[Symbol]], 0)</f>
        <v>Sump and dispersal system (m=3a)</v>
      </c>
      <c r="G13" s="25"/>
    </row>
    <row r="14" spans="1:13" ht="20.100000000000001" customHeight="1" x14ac:dyDescent="0.2">
      <c r="A14" s="5" t="str">
        <f>HYPERLINK("#'Input - Fuel'!A1", "Fuel")</f>
        <v>Fuel</v>
      </c>
      <c r="D14" s="20" t="str" cm="1">
        <f t="array" ref="D14">Common_InputFunctions.Utility_DisplayArrayInTable(CommonLivestock_SourceData.SourceData_Livestock_Common_SymbolsMMS_Data(), Table_Data_MMSSymbols[[#Headers],[Symbol]], 0)</f>
        <v>3b</v>
      </c>
      <c r="E14" s="20" t="str" cm="1">
        <f t="array" ref="E14">Common_InputFunctions.Utility_DisplayArrayInTable(CommonLivestock_SourceData.SourceData_Livestock_Common_SymbolsMMS_Data(), Table_Data_MMSSymbols[[#Headers],[Symbol]], 0)</f>
        <v>Drains to paddock</v>
      </c>
      <c r="F14" s="20" t="str" cm="1">
        <f t="array" ref="F14">Common_InputFunctions.Utility_DisplayArrayInTable(CommonLivestock_SourceData.SourceData_Livestock_Common_SymbolsMMS_Data(), Table_Data_MMSSymbols[[#Headers],[Symbol]], 0)</f>
        <v>Drains to paddock (m=3b)</v>
      </c>
      <c r="G14" s="25"/>
    </row>
    <row r="15" spans="1:13" ht="20.100000000000001" customHeight="1" x14ac:dyDescent="0.2">
      <c r="A15" s="5" t="str">
        <f>HYPERLINK("#'Input - Electricity'!A1", "Electricity")</f>
        <v>Electricity</v>
      </c>
      <c r="D15" s="20" t="str" cm="1">
        <f t="array" ref="D15">Common_InputFunctions.Utility_DisplayArrayInTable(CommonLivestock_SourceData.SourceData_Livestock_Common_SymbolsMMS_Data(), Table_Data_MMSSymbols[[#Headers],[Symbol]], 0)</f>
        <v>4</v>
      </c>
      <c r="E15" s="20" t="str" cm="1">
        <f t="array" ref="E15">Common_InputFunctions.Utility_DisplayArrayInTable(CommonLivestock_SourceData.SourceData_Livestock_Common_SymbolsMMS_Data(), Table_Data_MMSSymbols[[#Headers],[Symbol]], 0)</f>
        <v>Solid storage</v>
      </c>
      <c r="F15" s="20" t="str" cm="1">
        <f t="array" ref="F15">Common_InputFunctions.Utility_DisplayArrayInTable(CommonLivestock_SourceData.SourceData_Livestock_Common_SymbolsMMS_Data(), Table_Data_MMSSymbols[[#Headers],[Symbol]], 0)</f>
        <v>Solid storage (m=4)</v>
      </c>
      <c r="G15" s="25"/>
    </row>
    <row r="16" spans="1:13" ht="20.100000000000001" customHeight="1" x14ac:dyDescent="0.2">
      <c r="A16" s="5" t="str">
        <f>HYPERLINK("#'Input - Common farm inputs'!A1", "Common farm inputs")</f>
        <v>Common farm inputs</v>
      </c>
      <c r="D16" s="20" t="str" cm="1">
        <f t="array" ref="D16">Common_InputFunctions.Utility_DisplayArrayInTable(CommonLivestock_SourceData.SourceData_Livestock_Common_SymbolsMMS_Data(), Table_Data_MMSSymbols[[#Headers],[Symbol]], 0)</f>
        <v>5</v>
      </c>
      <c r="E16" s="20" t="str" cm="1">
        <f t="array" ref="E16">Common_InputFunctions.Utility_DisplayArrayInTable(CommonLivestock_SourceData.SourceData_Livestock_Common_SymbolsMMS_Data(), Table_Data_MMSSymbols[[#Headers],[Symbol]], 0)</f>
        <v>Drylot (feed pad)</v>
      </c>
      <c r="F16" s="20" t="str" cm="1">
        <f t="array" ref="F16">Common_InputFunctions.Utility_DisplayArrayInTable(CommonLivestock_SourceData.SourceData_Livestock_Common_SymbolsMMS_Data(), Table_Data_MMSSymbols[[#Headers],[Symbol]], 0)</f>
        <v>Drylot (feed pad) (m=5)</v>
      </c>
      <c r="G16" s="25"/>
    </row>
    <row r="17" spans="1:8" ht="20.100000000000001" customHeight="1" x14ac:dyDescent="0.2">
      <c r="A17" s="5" t="str">
        <f>HYPERLINK("#'Input - Crop pasture farm input'!A1", "Crop pasture farm input")</f>
        <v>Crop pasture farm input</v>
      </c>
      <c r="D17" s="20" t="str" cm="1">
        <f t="array" ref="D17">Common_InputFunctions.Utility_DisplayArrayInTable(CommonLivestock_SourceData.SourceData_Livestock_Common_SymbolsMMS_Data(), Table_Data_MMSSymbols[[#Headers],[Symbol]], 0)</f>
        <v>6</v>
      </c>
      <c r="E17" s="20" t="str" cm="1">
        <f t="array" ref="E17">Common_InputFunctions.Utility_DisplayArrayInTable(CommonLivestock_SourceData.SourceData_Livestock_Common_SymbolsMMS_Data(), Table_Data_MMSSymbols[[#Headers],[Symbol]], 0)</f>
        <v>Composting (passive windrow)</v>
      </c>
      <c r="F17" s="20" t="str" cm="1">
        <f t="array" ref="F17">Common_InputFunctions.Utility_DisplayArrayInTable(CommonLivestock_SourceData.SourceData_Livestock_Common_SymbolsMMS_Data(), Table_Data_MMSSymbols[[#Headers],[Symbol]], 0)</f>
        <v>Composting (passive windrow) (m=6)</v>
      </c>
      <c r="G17" s="25"/>
    </row>
    <row r="18" spans="1:8" ht="20.100000000000001" customHeight="1" x14ac:dyDescent="0.2">
      <c r="A18" s="5" t="str">
        <f>HYPERLINK("#'Input - Freight'!A1", "Freight")</f>
        <v>Freight</v>
      </c>
      <c r="D18" s="20" t="str" cm="1">
        <f t="array" ref="D18">Common_InputFunctions.Utility_DisplayArrayInTable(CommonLivestock_SourceData.SourceData_Livestock_Common_SymbolsMMS_Data(), Table_Data_MMSSymbols[[#Headers],[Symbol]], 0)</f>
        <v>7</v>
      </c>
      <c r="E18" s="20" t="str" cm="1">
        <f t="array" ref="E18">Common_InputFunctions.Utility_DisplayArrayInTable(CommonLivestock_SourceData.SourceData_Livestock_Common_SymbolsMMS_Data(), Table_Data_MMSSymbols[[#Headers],[Symbol]], 0)</f>
        <v>Digester / covered lagoons</v>
      </c>
      <c r="F18" s="20" t="str" cm="1">
        <f t="array" ref="F18">Common_InputFunctions.Utility_DisplayArrayInTable(CommonLivestock_SourceData.SourceData_Livestock_Common_SymbolsMMS_Data(), Table_Data_MMSSymbols[[#Headers],[Symbol]], 0)</f>
        <v>Digester / covered lagoons (m=7)</v>
      </c>
      <c r="G18" s="25"/>
    </row>
    <row r="19" spans="1:8" ht="20.100000000000001" customHeight="1" x14ac:dyDescent="0.2">
      <c r="A19" s="5" t="str">
        <f>HYPERLINK("#'Input - Solid waste'!A1", "Solid waste")</f>
        <v>Solid waste</v>
      </c>
      <c r="D19" s="20" t="str" cm="1">
        <f t="array" ref="D19">Common_InputFunctions.Utility_DisplayArrayInTable(CommonLivestock_SourceData.SourceData_Livestock_Common_SymbolsMMS_Data(), Table_Data_MMSSymbols[[#Headers],[Symbol]], 0)</f>
        <v>8</v>
      </c>
      <c r="E19" s="20" t="str" cm="1">
        <f t="array" ref="E19">Common_InputFunctions.Utility_DisplayArrayInTable(CommonLivestock_SourceData.SourceData_Livestock_Common_SymbolsMMS_Data(), Table_Data_MMSSymbols[[#Headers],[Symbol]], 0)</f>
        <v>Deep litter</v>
      </c>
      <c r="F19" s="20" t="str" cm="1">
        <f t="array" ref="F19">Common_InputFunctions.Utility_DisplayArrayInTable(CommonLivestock_SourceData.SourceData_Livestock_Common_SymbolsMMS_Data(), Table_Data_MMSSymbols[[#Headers],[Symbol]], 0)</f>
        <v>Deep litter (m=8)</v>
      </c>
      <c r="G19" s="25"/>
    </row>
    <row r="20" spans="1:8" ht="20.100000000000001" customHeight="1" x14ac:dyDescent="0.2">
      <c r="A20" s="5" t="str">
        <f>HYPERLINK("#'Input - Data quality'!A1", "Data quality")</f>
        <v>Data quality</v>
      </c>
      <c r="D20" s="20" t="str" cm="1">
        <f t="array" ref="D20">Common_InputFunctions.Utility_DisplayArrayInTable(CommonLivestock_SourceData.SourceData_Livestock_Common_SymbolsMMS_Data(), Table_Data_MMSSymbols[[#Headers],[Symbol]], 0)</f>
        <v>9</v>
      </c>
      <c r="E20" s="20" t="str" cm="1">
        <f t="array" ref="E20">Common_InputFunctions.Utility_DisplayArrayInTable(CommonLivestock_SourceData.SourceData_Livestock_Common_SymbolsMMS_Data(), Table_Data_MMSSymbols[[#Headers],[Symbol]], 0)</f>
        <v>Pit storage</v>
      </c>
      <c r="F20" s="20" t="str" cm="1">
        <f t="array" ref="F20">Common_InputFunctions.Utility_DisplayArrayInTable(CommonLivestock_SourceData.SourceData_Livestock_Common_SymbolsMMS_Data(), Table_Data_MMSSymbols[[#Headers],[Symbol]], 0)</f>
        <v>Pit storage (m=9)</v>
      </c>
      <c r="G20" s="25"/>
    </row>
    <row r="21" spans="1:8" ht="20.100000000000001" customHeight="1" x14ac:dyDescent="0.2">
      <c r="A21"/>
      <c r="D21" s="20" t="str" cm="1">
        <f t="array" ref="D21">Common_InputFunctions.Utility_DisplayArrayInTable(CommonLivestock_SourceData.SourceData_Livestock_Common_SymbolsMMS_Data(), Table_Data_MMSSymbols[[#Headers],[Symbol]], 0)</f>
        <v>10</v>
      </c>
      <c r="E21" s="20" t="str" cm="1">
        <f t="array" ref="E21">Common_InputFunctions.Utility_DisplayArrayInTable(CommonLivestock_SourceData.SourceData_Livestock_Common_SymbolsMMS_Data(), Table_Data_MMSSymbols[[#Headers],[Symbol]], 0)</f>
        <v>Poultry manure with bedding</v>
      </c>
      <c r="F21" s="20" t="str" cm="1">
        <f t="array" ref="F21">Common_InputFunctions.Utility_DisplayArrayInTable(CommonLivestock_SourceData.SourceData_Livestock_Common_SymbolsMMS_Data(), Table_Data_MMSSymbols[[#Headers],[Symbol]], 0)</f>
        <v>Poultry manure with bedding (m=10)</v>
      </c>
      <c r="G21" s="25"/>
    </row>
    <row r="22" spans="1:8" ht="20.100000000000001" customHeight="1" x14ac:dyDescent="0.2">
      <c r="A22"/>
      <c r="D22" s="20" t="str" cm="1">
        <f t="array" ref="D22">Common_InputFunctions.Utility_DisplayArrayInTable(CommonLivestock_SourceData.SourceData_Livestock_Common_SymbolsMMS_Data(), Table_Data_MMSSymbols[[#Headers],[Symbol]], 0)</f>
        <v>11</v>
      </c>
      <c r="E22" s="20" t="str" cm="1">
        <f t="array" ref="E22">Common_InputFunctions.Utility_DisplayArrayInTable(CommonLivestock_SourceData.SourceData_Livestock_Common_SymbolsMMS_Data(), Table_Data_MMSSymbols[[#Headers],[Symbol]], 0)</f>
        <v>Poultry manure without bedding</v>
      </c>
      <c r="F22" s="20" t="str" cm="1">
        <f t="array" ref="F22">Common_InputFunctions.Utility_DisplayArrayInTable(CommonLivestock_SourceData.SourceData_Livestock_Common_SymbolsMMS_Data(), Table_Data_MMSSymbols[[#Headers],[Symbol]], 0)</f>
        <v>Poultry manure without bedding (m=11)</v>
      </c>
      <c r="G22" s="25"/>
    </row>
    <row r="23" spans="1:8" ht="20.100000000000001" customHeight="1" x14ac:dyDescent="0.2">
      <c r="A23" s="6" t="s">
        <v>2</v>
      </c>
      <c r="D23" s="20" t="str" cm="1">
        <f t="array" ref="D23">Common_InputFunctions.Utility_DisplayArrayInTable(CommonLivestock_SourceData.SourceData_Livestock_Common_SymbolsMMS_Data(), Table_Data_MMSSymbols[[#Headers],[Symbol]], 0)</f>
        <v>11a</v>
      </c>
      <c r="E23" s="20" t="str" cm="1">
        <f t="array" ref="E23">Common_InputFunctions.Utility_DisplayArrayInTable(CommonLivestock_SourceData.SourceData_Livestock_Common_SymbolsMMS_Data(), Table_Data_MMSSymbols[[#Headers],[Symbol]], 0)</f>
        <v>Belt manure removal</v>
      </c>
      <c r="F23" s="20" t="str" cm="1">
        <f t="array" ref="F23">Common_InputFunctions.Utility_DisplayArrayInTable(CommonLivestock_SourceData.SourceData_Livestock_Common_SymbolsMMS_Data(), Table_Data_MMSSymbols[[#Headers],[Symbol]], 0)</f>
        <v>Belt manure removal (m=11a)</v>
      </c>
      <c r="G23" s="25"/>
    </row>
    <row r="24" spans="1:8" ht="20.100000000000001" customHeight="1" x14ac:dyDescent="0.2">
      <c r="A24" s="5" t="str">
        <f>HYPERLINK("#'5.1.1.1-2 Inorganic fert N2O'!A1", "5.1.1.1-2 Inorganic fert N2O")</f>
        <v>5.1.1.1-2 Inorganic fert N2O</v>
      </c>
      <c r="D24" s="20" t="str" cm="1">
        <f t="array" ref="D24">Common_InputFunctions.Utility_DisplayArrayInTable(CommonLivestock_SourceData.SourceData_Livestock_Common_SymbolsMMS_Data(), Table_Data_MMSSymbols[[#Headers],[Symbol]], 0)</f>
        <v>11b</v>
      </c>
      <c r="E24" s="20" t="str" cm="1">
        <f t="array" ref="E24">Common_InputFunctions.Utility_DisplayArrayInTable(CommonLivestock_SourceData.SourceData_Livestock_Common_SymbolsMMS_Data(), Table_Data_MMSSymbols[[#Headers],[Symbol]], 0)</f>
        <v>Manure stored in house</v>
      </c>
      <c r="F24" s="20" t="str" cm="1">
        <f t="array" ref="F24">Common_InputFunctions.Utility_DisplayArrayInTable(CommonLivestock_SourceData.SourceData_Livestock_Common_SymbolsMMS_Data(), Table_Data_MMSSymbols[[#Headers],[Symbol]], 0)</f>
        <v>Manure stored in house (m=11b)</v>
      </c>
      <c r="G24" s="25"/>
    </row>
    <row r="25" spans="1:8" ht="20.100000000000001" customHeight="1" x14ac:dyDescent="0.2">
      <c r="A25" s="5" t="str">
        <f>HYPERLINK("#'5.1.1.3-4 Inorganic fert CO2'!A1", "5.1.1.3-4 Inorganic fert CO2")</f>
        <v>5.1.1.3-4 Inorganic fert CO2</v>
      </c>
      <c r="D25" s="20" t="str" cm="1">
        <f t="array" ref="D25">Common_InputFunctions.Utility_DisplayArrayInTable(CommonLivestock_SourceData.SourceData_Livestock_Common_SymbolsMMS_Data(), Table_Data_MMSSymbols[[#Headers],[Symbol]], 0)</f>
        <v>12</v>
      </c>
      <c r="E25" s="20" t="str" cm="1">
        <f t="array" ref="E25">Common_InputFunctions.Utility_DisplayArrayInTable(CommonLivestock_SourceData.SourceData_Livestock_Common_SymbolsMMS_Data(), Table_Data_MMSSymbols[[#Headers],[Symbol]], 0)</f>
        <v>Direct processing</v>
      </c>
      <c r="F25" s="20" t="str" cm="1">
        <f t="array" ref="F25">Common_InputFunctions.Utility_DisplayArrayInTable(CommonLivestock_SourceData.SourceData_Livestock_Common_SymbolsMMS_Data(), Table_Data_MMSSymbols[[#Headers],[Symbol]], 0)</f>
        <v>Direct processing (m=12)</v>
      </c>
      <c r="G25" s="25"/>
    </row>
    <row r="26" spans="1:8" ht="20.100000000000001" customHeight="1" x14ac:dyDescent="0.2">
      <c r="A26" s="5" t="str">
        <f>HYPERLINK("#'5.2.1.1-2 Organic Fert N2O'!A1", "5.2.1.1-2 Organic fert N2O")</f>
        <v>5.2.1.1-2 Organic fert N2O</v>
      </c>
      <c r="D26" s="20" t="str" cm="1">
        <f t="array" ref="D26">Common_InputFunctions.Utility_DisplayArrayInTable(CommonLivestock_SourceData.SourceData_Livestock_Common_SymbolsMMS_Data(), Table_Data_MMSSymbols[[#Headers],[Symbol]], 0)</f>
        <v>13</v>
      </c>
      <c r="E26" s="20" t="str" cm="1">
        <f t="array" ref="E26">Common_InputFunctions.Utility_DisplayArrayInTable(CommonLivestock_SourceData.SourceData_Livestock_Common_SymbolsMMS_Data(), Table_Data_MMSSymbols[[#Headers],[Symbol]], 0)</f>
        <v>Direct application</v>
      </c>
      <c r="F26" s="20" t="str" cm="1">
        <f t="array" ref="F26">Common_InputFunctions.Utility_DisplayArrayInTable(CommonLivestock_SourceData.SourceData_Livestock_Common_SymbolsMMS_Data(), Table_Data_MMSSymbols[[#Headers],[Symbol]], 0)</f>
        <v>Direct application (m=13)</v>
      </c>
      <c r="G26" s="25"/>
    </row>
    <row r="27" spans="1:8" ht="20.100000000000001" customHeight="1" x14ac:dyDescent="0.2">
      <c r="A27" s="5" t="str">
        <f>HYPERLINK("#'5.3.1.1-2 Lime CO2'!A1", "5.3.1.1-2 Lime CO2")</f>
        <v>5.3.1.1-2 Lime CO2</v>
      </c>
      <c r="D27" s="20" t="str" cm="1">
        <f t="array" ref="D27">Common_InputFunctions.Utility_DisplayArrayInTable(CommonLivestock_SourceData.SourceData_Livestock_Common_SymbolsMMS_Data(), Table_Data_MMSSymbols[[#Headers],[Symbol]], 0)</f>
        <v>14</v>
      </c>
      <c r="E27" s="20" t="str" cm="1">
        <f t="array" ref="E27">Common_InputFunctions.Utility_DisplayArrayInTable(CommonLivestock_SourceData.SourceData_Livestock_Common_SymbolsMMS_Data(), Table_Data_MMSSymbols[[#Headers],[Symbol]], 0)</f>
        <v>Pasture range and paddock</v>
      </c>
      <c r="F27" s="20" t="str" cm="1">
        <f t="array" ref="F27">Common_InputFunctions.Utility_DisplayArrayInTable(CommonLivestock_SourceData.SourceData_Livestock_Common_SymbolsMMS_Data(), Table_Data_MMSSymbols[[#Headers],[Symbol]], 0)</f>
        <v>Pasture range and paddock (m=14)</v>
      </c>
      <c r="G27" s="25"/>
    </row>
    <row r="28" spans="1:8" ht="20.100000000000001" customHeight="1" x14ac:dyDescent="0.2">
      <c r="A28" s="5" t="str">
        <f>HYPERLINK("#'5.4.1.1-4 Atmos deposition'!A1", "5.4.1.1-4 Atmos. deposition")</f>
        <v>5.4.1.1-4 Atmos. deposition</v>
      </c>
      <c r="G28" s="25"/>
      <c r="H28" s="25"/>
    </row>
    <row r="29" spans="1:8" ht="20.100000000000001" customHeight="1" x14ac:dyDescent="0.2">
      <c r="A29" s="5" t="str">
        <f>HYPERLINK("#'5.5.1.1-2 Leaching and runoff'!A1", "5.5.1.1-2 Leaching &amp; runoff")</f>
        <v>5.5.1.1-2 Leaching &amp; runoff</v>
      </c>
      <c r="D29" s="2" t="str" cm="1">
        <f t="array" ref="D29">CommonLivestock_SourceData.SourceData_Livestock_Product_BeefCattle_Title()</f>
        <v>Beef cattle products for scope 3</v>
      </c>
    </row>
    <row r="30" spans="1:8" ht="20.100000000000001" customHeight="1" x14ac:dyDescent="0.2">
      <c r="A30" s="5" t="str">
        <f>HYPERLINK("#'6.1.1.1-2 Crop residue N2O'!A1", "6.1.1.1-2 Crop residue N2O")</f>
        <v>6.1.1.1-2 Crop residue N2O</v>
      </c>
      <c r="D30" s="1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
      <c r="A31" s="5" t="str">
        <f>HYPERLINK("#'6.3.1.1-2 Leach runoff crop'!A1", "6.3.1.1-2 Leach &amp; runoff (crop)")</f>
        <v>6.3.1.1-2 Leach &amp; runoff (crop)</v>
      </c>
      <c r="D31" s="20" t="s">
        <v>130</v>
      </c>
      <c r="E31" s="20" t="s">
        <v>1023</v>
      </c>
      <c r="F31" s="1" t="s">
        <v>1024</v>
      </c>
    </row>
    <row r="32" spans="1:8" ht="20.100000000000001" customHeight="1" x14ac:dyDescent="0.2">
      <c r="A32" s="5" t="str">
        <f>HYPERLINK("#'8.1.1.1-2 Transport fuel'!A1", "8.1.1.1-2 Transport fuel")</f>
        <v>8.1.1.1-2 Transport fuel</v>
      </c>
      <c r="D32" s="20" t="str" cm="1">
        <f t="array" ref="D32">Common_InputFunctions.Utility_DisplayArrayInTable(CommonLivestock_SourceData.SourceData_Livestock_Product_BeefCattle_Data(),Table_SourceData_LivestockProduct_Beefcattle[[#Headers],[Product]],0)</f>
        <v>Cattle, for manufacturing beef</v>
      </c>
      <c r="E32" s="2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
      <c r="A33" s="5" t="str">
        <f>HYPERLINK("#'8.2.1.1-2 Stationary fuel'!A1", "8.2.1.1-2 Stationary fuel")</f>
        <v>8.2.1.1-2 Stationary fuel</v>
      </c>
      <c r="D33" s="1" t="str" cm="1">
        <f t="array" ref="D33">Common_InputFunctions.Utility_DisplayArrayInTable(CommonLivestock_SourceData.SourceData_Livestock_Product_BeefCattle_Data(),Table_SourceData_LivestockProduct_Beefcattle[[#Headers],[Product]],0)</f>
        <v>Cattle, for prime beef</v>
      </c>
      <c r="E33" s="2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
      <c r="A34" s="5" t="str">
        <f>HYPERLINK("#'10.1.1-2 Solid waste treatment'!A1", "10.1.1.1-2 Solid waste")</f>
        <v>10.1.1.1-2 Solid waste</v>
      </c>
      <c r="D34" s="1" t="str" cm="1">
        <f t="array" ref="D34">Common_InputFunctions.Utility_DisplayArrayInTable(CommonLivestock_SourceData.SourceData_Livestock_Product_BeefCattle_Data(),Table_SourceData_LivestockProduct_Beefcattle[[#Headers],[Product]],0)</f>
        <v>Cattle, weaners</v>
      </c>
      <c r="E34" s="2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
      <c r="A35" s="5" t="str">
        <f>HYPERLINK("#'14.1.1-2 Purchased electricity'!A1", "14.1.1-2 Purchased electricity")</f>
        <v>14.1.1-2 Purchased electricity</v>
      </c>
      <c r="D35" s="1" t="str" cm="1">
        <f t="array" ref="D35">Common_InputFunctions.Utility_DisplayArrayInTable(CommonLivestock_SourceData.SourceData_Livestock_Product_BeefCattle_Data(),Table_SourceData_LivestockProduct_Beefcattle[[#Headers],[Product]],0)</f>
        <v/>
      </c>
      <c r="E35" s="2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
      <c r="A36" s="5" t="str">
        <f>HYPERLINK("#'15 Scope 3'!A1", "15 Scope 3")</f>
        <v>15 Scope 3</v>
      </c>
      <c r="D36" s="1" t="str" cm="1">
        <f t="array" ref="D36">Common_InputFunctions.Utility_DisplayArrayInTable(CommonLivestock_SourceData.SourceData_Livestock_Product_BeefCattle_Data(),Table_SourceData_LivestockProduct_Beefcattle[[#Headers],[Product]],0)</f>
        <v/>
      </c>
      <c r="E36" s="2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
      <c r="A37"/>
      <c r="D37" s="1" t="str" cm="1">
        <f t="array" ref="D37">Common_InputFunctions.Utility_DisplayArrayInTable(CommonLivestock_SourceData.SourceData_Livestock_Product_BeefCattle_Data(),Table_SourceData_LivestockProduct_Beefcattle[[#Headers],[Product]],0)</f>
        <v/>
      </c>
      <c r="E37" s="2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
      <c r="A38"/>
      <c r="D38" s="1" t="str" cm="1">
        <f t="array" ref="D38">Common_InputFunctions.Utility_DisplayArrayInTable(CommonLivestock_SourceData.SourceData_Livestock_Product_BeefCattle_Data(),Table_SourceData_LivestockProduct_Beefcattle[[#Headers],[Product]],0)</f>
        <v/>
      </c>
      <c r="E38" s="2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
      <c r="A39" s="82" t="s">
        <v>1</v>
      </c>
      <c r="D39" s="1" t="str" cm="1">
        <f t="array" ref="D39">Common_InputFunctions.Utility_DisplayArrayInTable(CommonLivestock_SourceData.SourceData_Livestock_Product_BeefCattle_Data(),Table_SourceData_LivestockProduct_Beefcattle[[#Headers],[Product]],0)</f>
        <v/>
      </c>
      <c r="E39" s="2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
      <c r="A40" s="5" t="str">
        <f>HYPERLINK("#'Constants - Ag Residue'!A1", "Constants - Ag residue")</f>
        <v>Constants - Ag residue</v>
      </c>
    </row>
    <row r="41" spans="1:6" ht="20.100000000000001" customHeight="1" x14ac:dyDescent="0.2">
      <c r="A41" s="5" t="str">
        <f>HYPERLINK("#'Constants - Electricity'!A1", "Constants - Electricity")</f>
        <v>Constants - Electricity</v>
      </c>
      <c r="D41" s="2" t="str" cm="1">
        <f t="array" ref="D41">CommonLivestock_SourceData.SourceData_Livestock_Product_Sheep_Title()</f>
        <v>Sheep products for scope 3</v>
      </c>
    </row>
    <row r="42" spans="1:6" ht="20.100000000000001" customHeight="1" x14ac:dyDescent="0.2">
      <c r="A42" s="5" t="str">
        <f>HYPERLINK("#'Constants - Fertiliser'!A1", "Constants - Fertiliser")</f>
        <v>Constants - Fertiliser</v>
      </c>
      <c r="D42" s="1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
      <c r="A43" s="5" t="str">
        <f>HYPERLINK("#'Constants - Fuel'!A1", "Constants - Fuel")</f>
        <v>Constants - Fuel</v>
      </c>
      <c r="D43" s="20" t="s">
        <v>130</v>
      </c>
      <c r="E43" s="20" t="s">
        <v>1023</v>
      </c>
      <c r="F43" s="1" t="s">
        <v>1025</v>
      </c>
    </row>
    <row r="44" spans="1:6" ht="20.100000000000001" customHeight="1" x14ac:dyDescent="0.2">
      <c r="A44" s="5" t="str">
        <f>HYPERLINK("#'Constants - Scope 3'!A1", "Constants - Scope 3")</f>
        <v>Constants - Scope 3</v>
      </c>
      <c r="D44" s="20" t="str" cm="1">
        <f t="array" ref="D44">Common_InputFunctions.Utility_DisplayArrayInTable(CommonLivestock_SourceData.SourceData_Livestock_Product_Sheep_Data(),Table_SourceData_LivestockProduct_Sheep[[#Headers],[Product]],0)</f>
        <v>Sheep, for mutton</v>
      </c>
      <c r="E44" s="20" t="str" cm="1">
        <f t="array" ref="E44">Common_InputFunctions.Utility_DisplayArrayInTable(CommonLivestock_SourceData.SourceData_Livestock_Product_Sheep_Data(),Table_SourceData_LivestockProduct_Sheep[[#Headers],[Product]],0)</f>
        <v>Australia</v>
      </c>
    </row>
    <row r="45" spans="1:6" ht="20.100000000000001" customHeight="1" x14ac:dyDescent="0.2">
      <c r="A45" s="5" t="str">
        <f>HYPERLINK("#'Constants - Solid Waste'!A1", "Constants - Solid Waste")</f>
        <v>Constants - Solid Waste</v>
      </c>
      <c r="D45" s="20" t="str" cm="1">
        <f t="array" ref="D45">Common_InputFunctions.Utility_DisplayArrayInTable(CommonLivestock_SourceData.SourceData_Livestock_Product_Sheep_Data(),Table_SourceData_LivestockProduct_Sheep[[#Headers],[Product]],0)</f>
        <v>Sheep, for prime lamb</v>
      </c>
      <c r="E45" s="20" t="str" cm="1">
        <f t="array" ref="E45">Common_InputFunctions.Utility_DisplayArrayInTable(CommonLivestock_SourceData.SourceData_Livestock_Product_Sheep_Data(),Table_SourceData_LivestockProduct_Sheep[[#Headers],[Product]],0)</f>
        <v>NSW</v>
      </c>
    </row>
    <row r="46" spans="1:6" ht="20.100000000000001" customHeight="1" x14ac:dyDescent="0.2">
      <c r="A46" s="5" t="str">
        <f>HYPERLINK("#'Constants - Common'!A1", "Constants - Common")</f>
        <v>Constants - Common</v>
      </c>
      <c r="D46" s="20" t="str" cm="1">
        <f t="array" ref="D46">Common_InputFunctions.Utility_DisplayArrayInTable(CommonLivestock_SourceData.SourceData_Livestock_Product_Sheep_Data(),Table_SourceData_LivestockProduct_Sheep[[#Headers],[Product]],0)</f>
        <v/>
      </c>
      <c r="E46" s="20" t="str" cm="1">
        <f t="array" ref="E46">Common_InputFunctions.Utility_DisplayArrayInTable(CommonLivestock_SourceData.SourceData_Livestock_Product_Sheep_Data(),Table_SourceData_LivestockProduct_Sheep[[#Headers],[Product]],0)</f>
        <v>QLD</v>
      </c>
    </row>
    <row r="47" spans="1:6" ht="20.100000000000001" customHeight="1" x14ac:dyDescent="0.2">
      <c r="A47" s="83" t="str">
        <f>HYPERLINK("#'Constants - Common Livestock'!A1", "Constants - Common Livestock")</f>
        <v>Constants - Common Livestock</v>
      </c>
      <c r="D47" s="20" t="str" cm="1">
        <f t="array" ref="D47">Common_InputFunctions.Utility_DisplayArrayInTable(CommonLivestock_SourceData.SourceData_Livestock_Product_Sheep_Data(),Table_SourceData_LivestockProduct_Sheep[[#Headers],[Product]],0)</f>
        <v/>
      </c>
      <c r="E47" s="20" t="str" cm="1">
        <f t="array" ref="E47">Common_InputFunctions.Utility_DisplayArrayInTable(CommonLivestock_SourceData.SourceData_Livestock_Product_Sheep_Data(),Table_SourceData_LivestockProduct_Sheep[[#Headers],[Product]],0)</f>
        <v>SA</v>
      </c>
    </row>
    <row r="48" spans="1:6" ht="20.100000000000001" customHeight="1" x14ac:dyDescent="0.2">
      <c r="A48"/>
      <c r="D48" s="20" t="str" cm="1">
        <f t="array" ref="D48">Common_InputFunctions.Utility_DisplayArrayInTable(CommonLivestock_SourceData.SourceData_Livestock_Product_Sheep_Data(),Table_SourceData_LivestockProduct_Sheep[[#Headers],[Product]],0)</f>
        <v/>
      </c>
      <c r="E48" s="20" t="str" cm="1">
        <f t="array" ref="E48">Common_InputFunctions.Utility_DisplayArrayInTable(CommonLivestock_SourceData.SourceData_Livestock_Product_Sheep_Data(),Table_SourceData_LivestockProduct_Sheep[[#Headers],[Product]],0)</f>
        <v>TAS</v>
      </c>
    </row>
    <row r="49" spans="1:6" ht="20.100000000000001" customHeight="1" x14ac:dyDescent="0.2">
      <c r="A49"/>
      <c r="D49" s="20" t="str" cm="1">
        <f t="array" ref="D49">Common_InputFunctions.Utility_DisplayArrayInTable(CommonLivestock_SourceData.SourceData_Livestock_Product_Sheep_Data(),Table_SourceData_LivestockProduct_Sheep[[#Headers],[Product]],0)</f>
        <v/>
      </c>
      <c r="E49" s="20" t="str" cm="1">
        <f t="array" ref="E49">Common_InputFunctions.Utility_DisplayArrayInTable(CommonLivestock_SourceData.SourceData_Livestock_Product_Sheep_Data(),Table_SourceData_LivestockProduct_Sheep[[#Headers],[Product]],0)</f>
        <v>VIC</v>
      </c>
    </row>
    <row r="50" spans="1:6" ht="20.100000000000001" customHeight="1" x14ac:dyDescent="0.2">
      <c r="A50"/>
      <c r="D50" s="20" t="str" cm="1">
        <f t="array" ref="D50">Common_InputFunctions.Utility_DisplayArrayInTable(CommonLivestock_SourceData.SourceData_Livestock_Product_Sheep_Data(),Table_SourceData_LivestockProduct_Sheep[[#Headers],[Product]],0)</f>
        <v/>
      </c>
      <c r="E50" s="20" t="str" cm="1">
        <f t="array" ref="E50">Common_InputFunctions.Utility_DisplayArrayInTable(CommonLivestock_SourceData.SourceData_Livestock_Product_Sheep_Data(),Table_SourceData_LivestockProduct_Sheep[[#Headers],[Product]],0)</f>
        <v>WA</v>
      </c>
    </row>
    <row r="51" spans="1:6" ht="20.100000000000001" customHeight="1" x14ac:dyDescent="0.2">
      <c r="A51"/>
    </row>
    <row r="52" spans="1:6" ht="20.100000000000001" customHeight="1" x14ac:dyDescent="0.2">
      <c r="A52"/>
      <c r="D52" s="2" t="str" cm="1">
        <f t="array" ref="D52">CommonLivestock_SourceData.SourceData_Livestock_Product_Chickens_Title()</f>
        <v>Chickens products for scope 3</v>
      </c>
    </row>
    <row r="53" spans="1:6" ht="20.100000000000001" customHeight="1" x14ac:dyDescent="0.2">
      <c r="A53"/>
      <c r="D53" s="1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
      <c r="A54"/>
      <c r="D54" s="20" t="s">
        <v>130</v>
      </c>
      <c r="E54" s="20" t="s">
        <v>1023</v>
      </c>
      <c r="F54" s="1" t="s">
        <v>1026</v>
      </c>
    </row>
    <row r="55" spans="1:6" ht="20.100000000000001" customHeight="1" x14ac:dyDescent="0.2">
      <c r="A55"/>
      <c r="D55" s="20" t="str" cm="1">
        <f t="array" ref="D55">Common_InputFunctions.Utility_DisplayArrayInTable(CommonLivestock_SourceData.SourceData_Livestock_Product_Chickens_Data(),Table_SourceData_LivestockProduct_Chickens[[#Headers],[Product]],0)</f>
        <v>Chickens</v>
      </c>
      <c r="E55" s="2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
      <c r="A56"/>
    </row>
    <row r="57" spans="1:6" ht="20.100000000000001" customHeight="1" x14ac:dyDescent="0.2">
      <c r="A57"/>
      <c r="D57" s="2" t="str" cm="1">
        <f t="array" ref="D57">CommonLivestock_SourceData.SourceData_Livestock_Product_Dairycattle_Title()</f>
        <v>Dairy cattle products for scope 3</v>
      </c>
    </row>
    <row r="58" spans="1:6" ht="20.100000000000001" customHeight="1" x14ac:dyDescent="0.2">
      <c r="A58" s="81" t="str">
        <f>HYPERLINK("#A1", "▲ Back to top")</f>
        <v>▲ Back to top</v>
      </c>
      <c r="D58" s="1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
      <c r="A59"/>
      <c r="D59" s="20" t="s">
        <v>130</v>
      </c>
      <c r="E59" s="20" t="s">
        <v>1023</v>
      </c>
      <c r="F59" s="1" t="s">
        <v>1027</v>
      </c>
    </row>
    <row r="60" spans="1:6" ht="20.100000000000001" customHeight="1" x14ac:dyDescent="0.2">
      <c r="A60"/>
      <c r="D60" s="20" t="str" cm="1">
        <f t="array" ref="D60">Common_InputFunctions.Utility_DisplayArrayInTable(CommonLivestock_SourceData.SourceData_Livestock_Product_Dairycattle_Data(),Table_SourceData_LivestockProduct_Dairycattle[[#Headers],[Product]],0)</f>
        <v>Dairy cows</v>
      </c>
      <c r="E60" s="2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
      <c r="A61"/>
    </row>
    <row r="62" spans="1:6" ht="20.100000000000001" customHeight="1" x14ac:dyDescent="0.2">
      <c r="A62"/>
      <c r="D62" s="2" t="str" cm="1">
        <f t="array" ref="D62">CommonLivestock_SourceData.SourceData_Livestock_Product_Pigs_Title()</f>
        <v>Pigs products for scope 3</v>
      </c>
    </row>
    <row r="63" spans="1:6" ht="20.100000000000001" customHeight="1" x14ac:dyDescent="0.2">
      <c r="A63"/>
      <c r="D63" s="17" t="str" cm="1">
        <f t="array" ref="D63">CommonLivestock_SourceData.SourceData_Livestock_Product_Pigs_Source()</f>
        <v>Lifecycles. (2026). Greenhouse Gas Emission Intensities for Material Inputs to Australian Agriculture, Fisheries and Forestry. Version 48. doi 10.5281/zenodo.19656580</v>
      </c>
    </row>
    <row r="64" spans="1:6" ht="20.100000000000001" customHeight="1" x14ac:dyDescent="0.2">
      <c r="A64"/>
      <c r="D64" s="20" t="s">
        <v>130</v>
      </c>
      <c r="E64" s="20" t="s">
        <v>1023</v>
      </c>
      <c r="F64" s="1" t="s">
        <v>1028</v>
      </c>
    </row>
    <row r="65" spans="1:5" ht="20.100000000000001" customHeight="1" x14ac:dyDescent="0.2">
      <c r="A65"/>
      <c r="D65" s="20" t="str" cm="1">
        <f t="array" ref="D65">Common_InputFunctions.Utility_DisplayArrayInTable(CommonLivestock_SourceData.SourceData_Livestock_Product_Pigs_Data(),Table_SourceData_LivestockProduct_Pigs[[#Headers],[Product]],0)</f>
        <v>Pigs</v>
      </c>
      <c r="E65" s="20" t="str" cm="1">
        <f t="array" ref="E65">Common_InputFunctions.Utility_DisplayArrayInTable(CommonLivestock_SourceData.SourceData_Livestock_Product_Pigs_Data(),Table_SourceData_LivestockProduct_Pigs[[#Headers],[Product]],0)</f>
        <v>Australia</v>
      </c>
    </row>
    <row r="66" spans="1:5" ht="20.100000000000001" customHeight="1" x14ac:dyDescent="0.2">
      <c r="A66"/>
    </row>
    <row r="67" spans="1:5" ht="20.100000000000001" customHeight="1" x14ac:dyDescent="0.2">
      <c r="A67"/>
    </row>
    <row r="68" spans="1:5" ht="20.100000000000001" customHeight="1" x14ac:dyDescent="0.2">
      <c r="A68"/>
    </row>
    <row r="69" spans="1:5" ht="20.100000000000001" customHeight="1" x14ac:dyDescent="0.2">
      <c r="A69"/>
    </row>
    <row r="70" spans="1:5" ht="20.100000000000001" customHeight="1" x14ac:dyDescent="0.2">
      <c r="A70"/>
    </row>
    <row r="71" spans="1:5" ht="20.100000000000001" customHeight="1" x14ac:dyDescent="0.2">
      <c r="A71"/>
    </row>
    <row r="72" spans="1:5" ht="20.100000000000001" customHeight="1" x14ac:dyDescent="0.2">
      <c r="A72"/>
    </row>
    <row r="73" spans="1:5" ht="20.100000000000001" customHeight="1" x14ac:dyDescent="0.2">
      <c r="A73"/>
    </row>
    <row r="74" spans="1:5" ht="20.100000000000001" customHeight="1" x14ac:dyDescent="0.2">
      <c r="A74"/>
    </row>
    <row r="75" spans="1:5" ht="20.100000000000001" customHeight="1" x14ac:dyDescent="0.2">
      <c r="A75"/>
    </row>
    <row r="76" spans="1:5" ht="20.100000000000001" customHeight="1" x14ac:dyDescent="0.2">
      <c r="A76"/>
    </row>
    <row r="77" spans="1:5" ht="20.100000000000001" customHeight="1" x14ac:dyDescent="0.2">
      <c r="A77"/>
    </row>
    <row r="78" spans="1:5" ht="20.100000000000001" customHeight="1" x14ac:dyDescent="0.2">
      <c r="A78"/>
    </row>
    <row r="79" spans="1:5" ht="20.100000000000001" customHeight="1" x14ac:dyDescent="0.2">
      <c r="A79"/>
    </row>
    <row r="80" spans="1:5" ht="20.100000000000001" customHeight="1" x14ac:dyDescent="0.2">
      <c r="A80"/>
    </row>
    <row r="81" spans="1:1" ht="20.100000000000001" customHeight="1" x14ac:dyDescent="0.2">
      <c r="A81"/>
    </row>
    <row r="82" spans="1:1" ht="20.100000000000001" customHeight="1" x14ac:dyDescent="0.2">
      <c r="A82"/>
    </row>
    <row r="83" spans="1:1" ht="20.100000000000001" customHeight="1" x14ac:dyDescent="0.2">
      <c r="A83"/>
    </row>
    <row r="84" spans="1:1" ht="20.100000000000001" customHeight="1" x14ac:dyDescent="0.2">
      <c r="A84"/>
    </row>
    <row r="85" spans="1:1" ht="20.100000000000001" customHeight="1" x14ac:dyDescent="0.2">
      <c r="A85"/>
    </row>
    <row r="86" spans="1:1" ht="20.100000000000001" customHeight="1" x14ac:dyDescent="0.2">
      <c r="A86"/>
    </row>
    <row r="87" spans="1:1" ht="20.100000000000001" customHeight="1" x14ac:dyDescent="0.2">
      <c r="A87"/>
    </row>
    <row r="88" spans="1:1" ht="20.100000000000001" customHeight="1" x14ac:dyDescent="0.2">
      <c r="A88"/>
    </row>
    <row r="89" spans="1:1" ht="20.100000000000001" customHeight="1" x14ac:dyDescent="0.2">
      <c r="A89"/>
    </row>
    <row r="90" spans="1:1" ht="20.100000000000001" customHeight="1" x14ac:dyDescent="0.2">
      <c r="A90"/>
    </row>
    <row r="91" spans="1:1" ht="20.100000000000001" customHeight="1" x14ac:dyDescent="0.2">
      <c r="A91"/>
    </row>
    <row r="92" spans="1:1" ht="20.100000000000001" customHeight="1" x14ac:dyDescent="0.2">
      <c r="A92"/>
    </row>
    <row r="93" spans="1:1" ht="20.100000000000001" customHeight="1" x14ac:dyDescent="0.2">
      <c r="A93"/>
    </row>
    <row r="94" spans="1:1" ht="20.100000000000001" customHeight="1" x14ac:dyDescent="0.2">
      <c r="A94"/>
    </row>
    <row r="95" spans="1:1" ht="20.100000000000001" customHeight="1" x14ac:dyDescent="0.2">
      <c r="A95"/>
    </row>
    <row r="96" spans="1:1"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xADc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191</vt:i4>
      </vt:variant>
    </vt:vector>
  </HeadingPairs>
  <TitlesOfParts>
    <vt:vector size="227" baseType="lpstr">
      <vt:lpstr>Home</vt:lpstr>
      <vt:lpstr>Results - Activity period</vt:lpstr>
      <vt:lpstr>Results - Product EI</vt:lpstr>
      <vt:lpstr>Input - Enterprise</vt:lpstr>
      <vt:lpstr>Input - Site</vt:lpstr>
      <vt:lpstr>Input - Crop</vt:lpstr>
      <vt:lpstr>Input - Fert Prod System</vt:lpstr>
      <vt:lpstr>Input - Fertiliser</vt:lpstr>
      <vt:lpstr>Input - Fuel</vt:lpstr>
      <vt:lpstr>Input - Electricity</vt:lpstr>
      <vt:lpstr>Input - Common farm inputs</vt:lpstr>
      <vt:lpstr>Input - Crop pasture farm input</vt:lpstr>
      <vt:lpstr>Input - Freight</vt:lpstr>
      <vt:lpstr>Input - Solid waste</vt:lpstr>
      <vt:lpstr>5.1.1.1-2 Inorganic fert N2O</vt:lpstr>
      <vt:lpstr>5.1.1.3-4 Inorganic fert CO2</vt:lpstr>
      <vt:lpstr>5.2.1.1-2 Organic Fert N2O</vt:lpstr>
      <vt:lpstr>5.3.1.1-2 Lime CO2</vt:lpstr>
      <vt:lpstr>5.4.1.1-4 Atmos deposition</vt:lpstr>
      <vt:lpstr>5.5.1.1-2 Leaching and runoff</vt:lpstr>
      <vt:lpstr>6.1.1.1-2 Crop residue N2O</vt:lpstr>
      <vt:lpstr>6.3.1.1-2 Leach runoff crop</vt:lpstr>
      <vt:lpstr>8.1.1.1-2 Transport fuel</vt:lpstr>
      <vt:lpstr>8.2.1.1-2 Stationary fuel</vt:lpstr>
      <vt:lpstr>10.1.1-2 Solid waste treatment</vt:lpstr>
      <vt:lpstr>14.1.1-2 Purchased electricity</vt:lpstr>
      <vt:lpstr>15 Scope 3</vt:lpstr>
      <vt:lpstr>Constants - Ag Residue</vt:lpstr>
      <vt:lpstr>Constants - Electricity</vt:lpstr>
      <vt:lpstr>Constants - Fertiliser</vt:lpstr>
      <vt:lpstr>Constants - Fuel</vt:lpstr>
      <vt:lpstr>Constants - Scope 3</vt:lpstr>
      <vt:lpstr>Constants - Solid Waste</vt:lpstr>
      <vt:lpstr>Constants - Common</vt:lpstr>
      <vt:lpstr>Input - Data quality</vt:lpstr>
      <vt:lpstr>Constants - Common Livestock</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VEERG_6_1_1_1__1__NitrousOxideEmissionsFromCropResidues_Result_Method1</vt:lpstr>
      <vt:lpstr>VEERG_6_1_1_1__1__NitrousOxideEmissionsFromCropResidues_Result_Method2</vt:lpstr>
      <vt:lpstr>VEERG_6_1_1_1__2__MassOfNitrogenInCropResidues_Result_Method1</vt:lpstr>
      <vt:lpstr>VEERG_6_1_1_1__2__MassOfNitrogenInCropResidues_Result_Method2</vt:lpstr>
      <vt:lpstr>VEERG_6_1_1_2__1__FractionOfCropResidueRemovedBaled_Result</vt:lpstr>
      <vt:lpstr>VEERG_6_3_1_1__1__LeachingAndRunoffEmissionsCropAndPastureResidue_CropOnly_Result_Method1</vt:lpstr>
      <vt:lpstr>VEERG_6_3_1_1__1__LeachingAndRunoffEmissionsCropAndPastureResidue_CropOnly_Result_Method2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X_Cell_Crop_AreaUnderCropping</vt:lpstr>
      <vt:lpstr>X_Cell_Crop_AverageWeightPerBale</vt:lpstr>
      <vt:lpstr>X_Cell_Crop_AverageWeightPerRoundModule</vt:lpstr>
      <vt:lpstr>X_Cell_Crop_CottonSeedAmountPerRoundModule</vt:lpstr>
      <vt:lpstr>X_Cell_Crop_CottonseedYieldTotal</vt:lpstr>
      <vt:lpstr>X_Cell_Crop_CropPurpose</vt:lpstr>
      <vt:lpstr>X_Cell_Crop_CropType</vt:lpstr>
      <vt:lpstr>X_Cell_Crop_IrrigationMethod</vt:lpstr>
      <vt:lpstr>X_Cell_Crop_LintBalesPerRoundModule</vt:lpstr>
      <vt:lpstr>X_Cell_Crop_LintYieldTotal</vt:lpstr>
      <vt:lpstr>X_Cell_Crop_NumberOfBales</vt:lpstr>
      <vt:lpstr>X_Cell_Crop_PercentResidueBaled</vt:lpstr>
      <vt:lpstr>'6.1.1.1-2 Crop residue N2O'!X_Cell_Crop_PercentResidueBurned</vt:lpstr>
      <vt:lpstr>'6.3.1.1-2 Leach runoff crop'!X_Cell_Crop_PercentResidueBurned</vt:lpstr>
      <vt:lpstr>'Constants - Ag Residue'!X_Cell_Crop_PercentResidueBurned</vt:lpstr>
      <vt:lpstr>X_Cell_Crop_ResidueAfterHarvest</vt:lpstr>
      <vt:lpstr>X_Cell_Crop_ResidueToCropRatio</vt:lpstr>
      <vt:lpstr>X_Cell_Crop_RoundModulesPerHectare</vt:lpstr>
      <vt:lpstr>X_Cell_Crop_TotalProductionOfCrop</vt:lpstr>
      <vt:lpstr>X_Cell_Crop_TotalResidueBaled</vt:lpstr>
      <vt:lpstr>X_Cell_Crop_TotalResidueRemainingOnPaddocks</vt:lpstr>
      <vt:lpstr>X_Cell_Crop_TotalRoundModules</vt:lpstr>
      <vt:lpstr>X_Cell_Crop_TotalUnprocessedCottonYield</vt:lpstr>
      <vt:lpstr>X_Cell_Crop_TrashTotalProduced</vt:lpstr>
      <vt:lpstr>X_Cell_Crop_TurnoutRate</vt:lpstr>
      <vt:lpstr>X_Cell_Crop_WeightPerLintBale</vt:lpstr>
      <vt:lpstr>X_Cell_Crop_YieldPerHectare</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X_Cell_Enterprise_CottonLintYield</vt:lpstr>
      <vt:lpstr>X_Cell_Enterprise_CottonseedYield</vt:lpstr>
      <vt:lpstr>X_Cell_Enterprise_PercentCottonLintSold</vt:lpstr>
      <vt:lpstr>X_Cell_Enterprise_PercentCottonseedSold</vt:lpstr>
      <vt:lpstr>X_Cell_Enterprise_PercentIncomeFromCottonLint</vt:lpstr>
      <vt:lpstr>X_Cell_Enterprise_PercentIncomeFromCottonseed</vt:lpstr>
      <vt:lpstr>X_Cell_Enterprise_ProductionTimeframeEnd</vt:lpstr>
      <vt:lpstr>X_Cell_Enterprise_ProductionTimeframeStart</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2026-09-03T12:20:08Z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2026-09-02T18:44:14; rename=True resize=True rowheights=True scope=all</vt:lpwstr>
  </property>
</Properties>
</file>