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98809127-0553-497A-8803-A13E8C9F6E7D}" xr6:coauthVersionLast="47" xr6:coauthVersionMax="47" xr10:uidLastSave="{00000000-0000-0000-0000-000000000000}"/>
  <bookViews>
    <workbookView xWindow="1260" yWindow="1485" windowWidth="36330" windowHeight="19485" firstSheet="1" activeTab="1"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Feedlot" sheetId="82" r:id="rId6"/>
    <sheet name="Input - Livestock sales" sheetId="81" r:id="rId7"/>
    <sheet name="Input - Beef cattle purchases" sheetId="108" r:id="rId8"/>
    <sheet name="Input - Fuel" sheetId="92" r:id="rId9"/>
    <sheet name="Input - Electricity" sheetId="89" r:id="rId10"/>
    <sheet name="Input - Common farm inputs" sheetId="109" r:id="rId11"/>
    <sheet name="Input - Livestock farm Inputs" sheetId="110" r:id="rId12"/>
    <sheet name="Input - Freight" sheetId="111" r:id="rId13"/>
    <sheet name="Input - Solid waste" sheetId="105" r:id="rId14"/>
    <sheet name="Input - Manure sent off-site" sheetId="112" r:id="rId15"/>
    <sheet name="Input - Data quality" sheetId="78" r:id="rId16"/>
    <sheet name="3.1.1.1-2 Enteric Methane" sheetId="88" r:id="rId17"/>
    <sheet name="4.1.1.1-2 Methane" sheetId="83" r:id="rId18"/>
    <sheet name="4.1.1.3-4 Direct N20" sheetId="84" r:id="rId19"/>
    <sheet name="4.1.1.5-6 Atmos Deposition" sheetId="85" r:id="rId20"/>
    <sheet name="4.1.1.9 Manure applied to soils" sheetId="86" r:id="rId21"/>
    <sheet name="8.1.1.1-2 Transport fuel" sheetId="93" r:id="rId22"/>
    <sheet name="8.2.1.1-2 Stationary fuel" sheetId="94" r:id="rId23"/>
    <sheet name="10.1.1-2 Solid waste treatment" sheetId="106" r:id="rId24"/>
    <sheet name="14.1.1-2 Purchased electricity" sheetId="90" r:id="rId25"/>
    <sheet name="15 Scope 3" sheetId="113" r:id="rId26"/>
    <sheet name="Calcs - Manure sent off-site" sheetId="114" r:id="rId27"/>
    <sheet name="Constants - Feedlot" sheetId="87" r:id="rId28"/>
    <sheet name="Constants - Common livestock" sheetId="116" r:id="rId29"/>
    <sheet name="Constants - Electricity" sheetId="91" r:id="rId30"/>
    <sheet name="Constants - Fertiliser" sheetId="104" r:id="rId31"/>
    <sheet name="Constants - Fuel" sheetId="95" r:id="rId32"/>
    <sheet name="Constants - Scope 3" sheetId="115" r:id="rId33"/>
    <sheet name="Constants - Solid Waste" sheetId="107" r:id="rId34"/>
    <sheet name="Constants - Common" sheetId="79" r:id="rId35"/>
    <sheet name="Input - Fert Prod System" sheetId="96" r:id="rId36"/>
    <sheet name="Input - Fertiliser" sheetId="97" r:id="rId37"/>
    <sheet name="5.1.1.1-2 Inorganic fert N2O" sheetId="98" r:id="rId38"/>
    <sheet name="5.1.1.3-4 Inorganic fert CO2" sheetId="99" r:id="rId39"/>
    <sheet name="5.2.1.1-2 Organic Fert N2O" sheetId="100" r:id="rId40"/>
    <sheet name="5.3.1.1-2 Lime CO2" sheetId="101" r:id="rId41"/>
    <sheet name="5.4.1.1-4 Atmos deposition" sheetId="102" r:id="rId42"/>
    <sheet name="5.5.1.1-2 Leaching and runoff" sheetId="103" r:id="rId43"/>
    <sheet name="Acknowledgements" sheetId="117" r:id="rId44"/>
  </sheets>
  <definedNames>
    <definedName name="_Toc225350871" localSheetId="41">'5.4.1.1-4 Atmos deposition'!$C$1</definedName>
    <definedName name="_Toc225350871" localSheetId="42">'5.5.1.1-2 Leaching and runoff'!$C$1</definedName>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19">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37">_xlfn.LAMBDA(_xlpm.Month,_xlpm.LivestockClass, IFERROR(SUM(_xlfn._xlws.FILTER(#REF!, (#REF! &gt;= EOMONTH(_xlpm.Month, -1) + 1) * (#REF! &lt;= EOMONTH(_xlpm.Month, 0)) * (#REF! = _xlpm.LivestockClass))), 0))</definedName>
    <definedName name="CommonLivestock_InputFunctions.LivestockMovement_HeadAddedDuringMonth" localSheetId="38">_xlfn.LAMBDA(_xlpm.Month,_xlpm.LivestockClass, IFERROR(SUM(_xlfn._xlws.FILTER(#REF!, (#REF! &gt;= EOMONTH(_xlpm.Month, -1) + 1) * (#REF! &lt;= EOMONTH(_xlpm.Month, 0)) * (#REF! = _xlpm.LivestockClass))), 0))</definedName>
    <definedName name="CommonLivestock_InputFunctions.LivestockMovement_HeadAddedDuringMonth" localSheetId="39">_xlfn.LAMBDA(_xlpm.Month,_xlpm.LivestockClass, IFERROR(SUM(_xlfn._xlws.FILTER(#REF!, (#REF! &gt;= EOMONTH(_xlpm.Month, -1) + 1) * (#REF! &lt;= EOMONTH(_xlpm.Month, 0)) * (#REF! = _xlpm.LivestockClass))), 0))</definedName>
    <definedName name="CommonLivestock_InputFunctions.LivestockMovement_HeadAddedDuringMonth" localSheetId="40">_xlfn.LAMBDA(_xlpm.Month,_xlpm.LivestockClass, IFERROR(SUM(_xlfn._xlws.FILTER(#REF!, (#REF! &gt;= EOMONTH(_xlpm.Month, -1) + 1) * (#REF! &lt;= EOMONTH(_xlpm.Month, 0)) * (#REF! = _xlpm.LivestockClass))), 0))</definedName>
    <definedName name="CommonLivestock_InputFunctions.LivestockMovement_HeadAddedDuringMonth" localSheetId="41">_xlfn.LAMBDA(_xlpm.Month,_xlpm.LivestockClass, IFERROR(SUM(_xlfn._xlws.FILTER(#REF!, (#REF! &gt;= EOMONTH(_xlpm.Month, -1) + 1) * (#REF! &lt;= EOMONTH(_xlpm.Month, 0)) * (#REF! = _xlpm.LivestockClass))), 0))</definedName>
    <definedName name="CommonLivestock_InputFunctions.LivestockMovement_HeadAddedDuringMonth" localSheetId="42">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43">_xlfn.LAMBDA(_xlpm.Month,_xlpm.LivestockClass, IFERROR(SUM(_xlfn._xlws.FILTER(#REF!, (#REF! &gt;= EOMONTH(_xlpm.Month, -1) + 1) * (#REF! &lt;= EOMONTH(_xlpm.Month, 0)) * (#REF! = _xlpm.LivestockClass))), 0))</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 localSheetId="35">_xlfn.LAMBDA(_xlpm.Month,_xlpm.LivestockClass, IFERROR(SUM(_xlfn._xlws.FILTER(#REF!, (#REF! &gt;= EOMONTH(_xlpm.Month, -1) + 1) * (#REF! &lt;= EOMONTH(_xlpm.Month, 0)) * (#REF! = _xlpm.LivestockClass))), 0))</definedName>
    <definedName name="CommonLivestock_InputFunctions.LivestockMovement_HeadAddedDuringMonth" localSheetId="36">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19">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37">_xlfn.LAMBDA(_xlpm.Month,_xlpm.LivestockClass, IFERROR(SUM(_xlfn._xlws.FILTER(#REF!, (#REF! &gt;= EOMONTH(_xlpm.Month, -1) + 1) * (#REF! &lt;= EOMONTH(_xlpm.Month, 0)) * (#REF! = _xlpm.LivestockClass))), 0))</definedName>
    <definedName name="CommonLivestock_InputFunctions.LivestockMovement_HeadLostDuringMonth" localSheetId="38">_xlfn.LAMBDA(_xlpm.Month,_xlpm.LivestockClass, IFERROR(SUM(_xlfn._xlws.FILTER(#REF!, (#REF! &gt;= EOMONTH(_xlpm.Month, -1) + 1) * (#REF! &lt;= EOMONTH(_xlpm.Month, 0)) * (#REF! = _xlpm.LivestockClass))), 0))</definedName>
    <definedName name="CommonLivestock_InputFunctions.LivestockMovement_HeadLostDuringMonth" localSheetId="39">_xlfn.LAMBDA(_xlpm.Month,_xlpm.LivestockClass, IFERROR(SUM(_xlfn._xlws.FILTER(#REF!, (#REF! &gt;= EOMONTH(_xlpm.Month, -1) + 1) * (#REF! &lt;= EOMONTH(_xlpm.Month, 0)) * (#REF! = _xlpm.LivestockClass))), 0))</definedName>
    <definedName name="CommonLivestock_InputFunctions.LivestockMovement_HeadLostDuringMonth" localSheetId="40">_xlfn.LAMBDA(_xlpm.Month,_xlpm.LivestockClass, IFERROR(SUM(_xlfn._xlws.FILTER(#REF!, (#REF! &gt;= EOMONTH(_xlpm.Month, -1) + 1) * (#REF! &lt;= EOMONTH(_xlpm.Month, 0)) * (#REF! = _xlpm.LivestockClass))), 0))</definedName>
    <definedName name="CommonLivestock_InputFunctions.LivestockMovement_HeadLostDuringMonth" localSheetId="41">_xlfn.LAMBDA(_xlpm.Month,_xlpm.LivestockClass, IFERROR(SUM(_xlfn._xlws.FILTER(#REF!, (#REF! &gt;= EOMONTH(_xlpm.Month, -1) + 1) * (#REF! &lt;= EOMONTH(_xlpm.Month, 0)) * (#REF! = _xlpm.LivestockClass))), 0))</definedName>
    <definedName name="CommonLivestock_InputFunctions.LivestockMovement_HeadLostDuringMonth" localSheetId="42">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43">_xlfn.LAMBDA(_xlpm.Month,_xlpm.LivestockClass, IFERROR(SUM(_xlfn._xlws.FILTER(#REF!, (#REF! &gt;= EOMONTH(_xlpm.Month, -1) + 1) * (#REF! &lt;= EOMONTH(_xlpm.Month, 0)) * (#REF! = _xlpm.LivestockClass))), 0))</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 localSheetId="35">_xlfn.LAMBDA(_xlpm.Month,_xlpm.LivestockClass, IFERROR(SUM(_xlfn._xlws.FILTER(#REF!, (#REF! &gt;= EOMONTH(_xlpm.Month, -1) + 1) * (#REF! &lt;= EOMONTH(_xlpm.Month, 0)) * (#REF! = _xlpm.LivestockClass))), 0))</definedName>
    <definedName name="CommonLivestock_InputFunctions.LivestockMovement_HeadLostDuringMonth" localSheetId="36">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19">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37">_xlfn.LAMBDA(_xlpm.Month,_xlpm.LivestockClass, IFERROR(SUM(_xlfn._xlws.FILTER(#REF!, (#REF! &gt;= EOMONTH(_xlpm.Month, -1) + 1) * (#REF! &lt;= EOMONTH(_xlpm.Month, 0)) * (#REF! = _xlpm.LivestockClass))), 0))</definedName>
    <definedName name="CommonLivestock_InputFunctions.LivestockMovement_TotalLiveweightAddedDuringMonth" localSheetId="38">_xlfn.LAMBDA(_xlpm.Month,_xlpm.LivestockClass, IFERROR(SUM(_xlfn._xlws.FILTER(#REF!, (#REF! &gt;= EOMONTH(_xlpm.Month, -1) + 1) * (#REF! &lt;= EOMONTH(_xlpm.Month, 0)) * (#REF! = _xlpm.LivestockClass))), 0))</definedName>
    <definedName name="CommonLivestock_InputFunctions.LivestockMovement_TotalLiveweightAddedDuringMonth" localSheetId="39">_xlfn.LAMBDA(_xlpm.Month,_xlpm.LivestockClass, IFERROR(SUM(_xlfn._xlws.FILTER(#REF!, (#REF! &gt;= EOMONTH(_xlpm.Month, -1) + 1) * (#REF! &lt;= EOMONTH(_xlpm.Month, 0)) * (#REF! = _xlpm.LivestockClass))), 0))</definedName>
    <definedName name="CommonLivestock_InputFunctions.LivestockMovement_TotalLiveweightAddedDuringMonth" localSheetId="40">_xlfn.LAMBDA(_xlpm.Month,_xlpm.LivestockClass, IFERROR(SUM(_xlfn._xlws.FILTER(#REF!, (#REF! &gt;= EOMONTH(_xlpm.Month, -1) + 1) * (#REF! &lt;= EOMONTH(_xlpm.Month, 0)) * (#REF! = _xlpm.LivestockClass))), 0))</definedName>
    <definedName name="CommonLivestock_InputFunctions.LivestockMovement_TotalLiveweightAddedDuringMonth" localSheetId="41">_xlfn.LAMBDA(_xlpm.Month,_xlpm.LivestockClass, IFERROR(SUM(_xlfn._xlws.FILTER(#REF!, (#REF! &gt;= EOMONTH(_xlpm.Month, -1) + 1) * (#REF! &lt;= EOMONTH(_xlpm.Month, 0)) * (#REF! = _xlpm.LivestockClass))), 0))</definedName>
    <definedName name="CommonLivestock_InputFunctions.LivestockMovement_TotalLiveweightAddedDuringMonth" localSheetId="42">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43">_xlfn.LAMBDA(_xlpm.Month,_xlpm.LivestockClass, IFERROR(SUM(_xlfn._xlws.FILTER(#REF!, (#REF! &gt;= EOMONTH(_xlpm.Month, -1) + 1) * (#REF! &lt;= EOMONTH(_xlpm.Month, 0)) * (#REF! =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 localSheetId="35">_xlfn.LAMBDA(_xlpm.Month,_xlpm.LivestockClass, IFERROR(SUM(_xlfn._xlws.FILTER(#REF!, (#REF! &gt;= EOMONTH(_xlpm.Month, -1) + 1) * (#REF! &lt;= EOMONTH(_xlpm.Month, 0)) * (#REF! = _xlpm.LivestockClass))), 0))</definedName>
    <definedName name="CommonLivestock_InputFunctions.LivestockMovement_TotalLiveweightAddedDuringMonth" localSheetId="36">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19">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37">_xlfn.LAMBDA(_xlpm.Month,_xlpm.LivestockClass, IFERROR(SUM(_xlfn._xlws.FILTER(#REF!, (#REF! &gt;= EOMONTH(_xlpm.Month, -1) + 1) * (#REF! &lt;= EOMONTH(_xlpm.Month, 0)) * (#REF! = _xlpm.LivestockClass))), 0))</definedName>
    <definedName name="CommonLivestock_InputFunctions.LivestockMovement_TotalLiveweightGrownDuringMonth" localSheetId="38">_xlfn.LAMBDA(_xlpm.Month,_xlpm.LivestockClass, IFERROR(SUM(_xlfn._xlws.FILTER(#REF!, (#REF! &gt;= EOMONTH(_xlpm.Month, -1) + 1) * (#REF! &lt;= EOMONTH(_xlpm.Month, 0)) * (#REF! = _xlpm.LivestockClass))), 0))</definedName>
    <definedName name="CommonLivestock_InputFunctions.LivestockMovement_TotalLiveweightGrownDuringMonth" localSheetId="39">_xlfn.LAMBDA(_xlpm.Month,_xlpm.LivestockClass, IFERROR(SUM(_xlfn._xlws.FILTER(#REF!, (#REF! &gt;= EOMONTH(_xlpm.Month, -1) + 1) * (#REF! &lt;= EOMONTH(_xlpm.Month, 0)) * (#REF! = _xlpm.LivestockClass))), 0))</definedName>
    <definedName name="CommonLivestock_InputFunctions.LivestockMovement_TotalLiveweightGrownDuringMonth" localSheetId="40">_xlfn.LAMBDA(_xlpm.Month,_xlpm.LivestockClass, IFERROR(SUM(_xlfn._xlws.FILTER(#REF!, (#REF! &gt;= EOMONTH(_xlpm.Month, -1) + 1) * (#REF! &lt;= EOMONTH(_xlpm.Month, 0)) * (#REF! = _xlpm.LivestockClass))), 0))</definedName>
    <definedName name="CommonLivestock_InputFunctions.LivestockMovement_TotalLiveweightGrownDuringMonth" localSheetId="41">_xlfn.LAMBDA(_xlpm.Month,_xlpm.LivestockClass, IFERROR(SUM(_xlfn._xlws.FILTER(#REF!, (#REF! &gt;= EOMONTH(_xlpm.Month, -1) + 1) * (#REF! &lt;= EOMONTH(_xlpm.Month, 0)) * (#REF! = _xlpm.LivestockClass))), 0))</definedName>
    <definedName name="CommonLivestock_InputFunctions.LivestockMovement_TotalLiveweightGrownDuringMonth" localSheetId="42">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43">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 localSheetId="35">_xlfn.LAMBDA(_xlpm.Month,_xlpm.LivestockClass, IFERROR(SUM(_xlfn._xlws.FILTER(#REF!, (#REF! &gt;= EOMONTH(_xlpm.Month, -1) + 1) * (#REF! &lt;= EOMONTH(_xlpm.Month, 0)) * (#REF! = _xlpm.LivestockClass))), 0))</definedName>
    <definedName name="CommonLivestock_InputFunctions.LivestockMovement_TotalLiveweightGrownDuringMonth" localSheetId="36">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
  )</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
    _xlfn.MAKEARRAY(2, 4,
      _xlfn.LAMBDA(_xlpm.r,_xlpm.c,
        INDEX({"TM_jf","total mass of inorganic fertiliser type f applied to production system j","kg","Input";"FU_f","fraction of urea in fertiliser type f","kg urea/kg","Lookup"}, _xlpm.r, _xlpm.c)
      )
    )
  )</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_Site_EndDate">'Input - Site'!$E$13</definedName>
    <definedName name="Input_Site_FarmName">'Input - Site'!$E$7</definedName>
    <definedName name="Input_Site_ReportingEntityName">'Input - Site'!$E$8</definedName>
    <definedName name="Input_Site_StartDate">'Input - Site'!$E$12</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'4.1.1.3-4 Direct N20'!$D$82:$F$83</definedName>
    <definedName name="M1_Table_CP_j">'4.1.1.3-4 Direct N20'!$D$24:$F$25</definedName>
    <definedName name="M1_Table_DMD_j">'4.1.1.1-2 Methane'!$D$24:$F$25</definedName>
    <definedName name="M1_Table_E_CH4">'3.1.1.1-2 Enteric Methane'!$D$64:$F$65</definedName>
    <definedName name="M1_Table_E_CO2">'5.1.1.3-4 Inorganic fert CO2'!$D$57:$E$76</definedName>
    <definedName name="M1_Table_E_N2O">'5.1.1.1-2 Inorganic fert N2O'!$D$59:$E$78</definedName>
    <definedName name="M1_Table_E_N2O_dir">'4.1.1.3-4 Direct N20'!$D$205:$G$210</definedName>
    <definedName name="M1_Table_EE_j">'3.1.1.1-2 Enteric Methane'!$D$24:$F$25</definedName>
    <definedName name="M1_Table_I_j">'4.1.1.3-4 Direct N20'!$D$19:$F$20</definedName>
    <definedName name="M1_Table_I_j_Consumer_1">'4.1.1.1-2 Methane'!$D$19:$F$20</definedName>
    <definedName name="M1_Table_M_j">'3.1.1.1-2 Enteric Methane'!$D$34:$F$35</definedName>
    <definedName name="M1_Table_M_j_m_T">'4.1.1.1-2 Methane'!$D$149:$H$154</definedName>
    <definedName name="M1_Table_M_j_m_T2">'4.1.1.1-2 Methane'!$D$95:$G$98</definedName>
    <definedName name="M1_Table_M_j_m1_T3">'4.1.1.1-2 Methane'!$D$124:$G$125</definedName>
    <definedName name="M1_Table_M_j_m5_T1">'4.1.1.1-2 Methane'!$D$56:$G$57</definedName>
    <definedName name="M1_Table_MCF_i_m">'4.1.1.1-2 Methane'!$D$86:$F$89</definedName>
    <definedName name="M1_Table_MMS_ATMOS">'4.1.1.5-6 Atmos Deposition'!$D$39:$G$44</definedName>
    <definedName name="M1_Table_MN_j_m_T">'4.1.1.5-6 Atmos Deposition'!$D$22:$G$27</definedName>
    <definedName name="M1_Table_MN_j_m_T2">'4.1.1.3-4 Direct N20'!$O$173:$R$176</definedName>
    <definedName name="M1_Table_MN_j_m_T2_Consumer_1">'4.1.1.3-4 Direct N20'!$D$173:$G$176</definedName>
    <definedName name="M1_Table_MN_j_m_T23">'4.1.1.9 Manure applied to soils'!$D$21:$G$25</definedName>
    <definedName name="M1_Table_MN_j_m1_T3">'4.1.1.3-4 Direct N20'!$D$128:$G$129</definedName>
    <definedName name="M1_Table_MN_j_m5_T1">'4.1.1.3-4 Direct N20'!$D$105:$G$106</definedName>
    <definedName name="M1_Table_MNSoil_scope1">'4.1.1.9 Manure applied to soils'!$D$55:$G$59</definedName>
    <definedName name="M1_Table_MNSoil_scope3">'4.1.1.9 Manure applied to soils'!$D$81:$G$85</definedName>
    <definedName name="M1_Table_MNSoil_scope3_fert">'4.1.1.9 Manure applied to soils'!$D$105:$G$109</definedName>
    <definedName name="M1_Table_NDF_j">'3.1.1.1-2 Enteric Methane'!$D$29:$F$30</definedName>
    <definedName name="M1_Table_NE_j">'4.1.1.3-4 Direct N20'!$D$53:$F$54</definedName>
    <definedName name="M1_Table_NI_j">'4.1.1.3-4 Direct N20'!$D$29:$F$30</definedName>
    <definedName name="M1_Table_NR_j">'4.1.1.3-4 Direct N20'!$D$48:$F$49</definedName>
    <definedName name="M1_Table_NT_j_m_T2">'4.1.1.3-4 Direct N20'!$D$148:$F$149</definedName>
    <definedName name="M1_Table_VS_j">'4.1.1.1-2 Methane'!$D$29:$F$30</definedName>
    <definedName name="M2_Table_AE_j">'4.1.1.3-4 Direct N20'!$O$82:$Q$83</definedName>
    <definedName name="M2_Table_CP_j">'4.1.1.3-4 Direct N20'!$O$24:$Q$25</definedName>
    <definedName name="M2_Table_DMD_j">'4.1.1.1-2 Methane'!$M$24:$O$25</definedName>
    <definedName name="M2_Table_E_CH4">'3.1.1.1-2 Enteric Methane'!$M$64:$O$65</definedName>
    <definedName name="M2_Table_E_N2O_dir">'4.1.1.3-4 Direct N20'!$O$205:$R$210</definedName>
    <definedName name="M2_Table_EE_j">'3.1.1.1-2 Enteric Methane'!$M$24:$O$25</definedName>
    <definedName name="M2_Table_FertApplications">'5.1.1.1-2 Inorganic fert N2O'!$M$10:$W$25</definedName>
    <definedName name="M2_Table_I_j">'4.1.1.3-4 Direct N20'!$O$19:$Q$20</definedName>
    <definedName name="M2_Table_I_j_Consumer_1">'4.1.1.1-2 Methane'!$M$19:$O$20</definedName>
    <definedName name="M2_Table_M_j">'3.1.1.1-2 Enteric Methane'!$M$34:$O$35</definedName>
    <definedName name="M2_Table_M_j_m_T">'4.1.1.1-2 Methane'!$M$149:$Q$154</definedName>
    <definedName name="M2_Table_M_j_m_T2">'4.1.1.1-2 Methane'!$M$95:$P$98</definedName>
    <definedName name="M2_Table_M_j_m1_T3">'4.1.1.1-2 Methane'!$M$124:$P$125</definedName>
    <definedName name="M2_Table_M_j_m5_T1">'4.1.1.1-2 Methane'!$M$56:$P$57</definedName>
    <definedName name="M2_Table_MCF_i_m">'4.1.1.1-2 Methane'!$M$86:$O$89</definedName>
    <definedName name="M2_Table_MMS_ATMOS">'4.1.1.5-6 Atmos Deposition'!$M$39:$P$44</definedName>
    <definedName name="M2_Table_MN_j_m_T">'4.1.1.5-6 Atmos Deposition'!$M$22:$P$27</definedName>
    <definedName name="M2_Table_MN_j_m_T23">'4.1.1.9 Manure applied to soils'!$N$21:$Q$25</definedName>
    <definedName name="M2_Table_MN_j_m1_T3">'4.1.1.3-4 Direct N20'!$O$128:$R$129</definedName>
    <definedName name="M2_Table_MN_j_m5_T1">'4.1.1.3-4 Direct N20'!$O$105:$R$106</definedName>
    <definedName name="M2_Table_MNSoil_scope1">'4.1.1.9 Manure applied to soils'!$N$55:$Q$59</definedName>
    <definedName name="M2_Table_MNSoil_scope3">'4.1.1.9 Manure applied to soils'!$N$81:$Q$85</definedName>
    <definedName name="M2_Table_MNSoil_scope3_fert">'4.1.1.9 Manure applied to soils'!$N$105:$Q$109</definedName>
    <definedName name="M2_Table_NDF_j">'3.1.1.1-2 Enteric Methane'!$M$29:$O$30</definedName>
    <definedName name="M2_Table_NE_j">'4.1.1.3-4 Direct N20'!$O$53:$Q$54</definedName>
    <definedName name="M2_Table_NI_j">'4.1.1.3-4 Direct N20'!$O$29:$Q$30</definedName>
    <definedName name="M2_Table_NR_j">'4.1.1.3-4 Direct N20'!$O$48:$Q$49</definedName>
    <definedName name="M2_Table_NT_j_m_T2">'4.1.1.3-4 Direct N20'!$O$148:$Q$149</definedName>
    <definedName name="M2_Table_VS_j">'4.1.1.1-2 Methane'!$M$29:$O$30</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Enterprise'!$E$67</definedName>
    <definedName name="Result_EmissionsForWholeProductionCycle_Gross_Method1">'Input - Enterprise'!$E$54</definedName>
    <definedName name="Result_EmissionsForWholeProductionCycle_Gross_Method2">'Input - Enterprise'!$F$54</definedName>
    <definedName name="Result_EmissionsForWholeProductionCycle_Method1">'Input - Enterprise'!$E$54</definedName>
    <definedName name="Result_EmissionsForWholeProductionCycle_Method2">'Input - Enterprise'!$F$54</definedName>
    <definedName name="Result_EmissionsForWholeProductionCycle_Net_Method1">'Input - Enterprise'!$E$78</definedName>
    <definedName name="Result_EmissionsForWholeProductionCycle_Net_Method2">'Input - Enterprise'!$F$78</definedName>
    <definedName name="Result_Enterprise_Gross_Method1">'Results - Activity period'!$E$55</definedName>
    <definedName name="Result_Enterprise_Gross_Method2">'Results - Activity period'!$F$55</definedName>
    <definedName name="Result_Enterprise_Net_Method1">'Results - Activity period'!$E$56</definedName>
    <definedName name="Result_Enterprise_Net_Method2">'Results - Activity period'!$F$56</definedName>
    <definedName name="Result_Enterprise_Removals">'Results - Activity period'!$E$49</definedName>
    <definedName name="Result_Enterprise_Scope1_Method1">'Results - Activity period'!$H$20</definedName>
    <definedName name="Result_Enterprise_Scope1_Method2">'Results - Activity period'!$I$20</definedName>
    <definedName name="Result_Enterprise_Scope2_Method1">'Results - Activity period'!$H$27</definedName>
    <definedName name="Result_Enterprise_Scope2_Method2">'Results - Activity period'!$I$27</definedName>
    <definedName name="Result_Enterprise_Scope3_Method1">'Results - Activity period'!$H$44</definedName>
    <definedName name="Result_Enterprise_Scope3_Method2">'Results - Activity period'!$I$44</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nimalCharacteristics_Data">_xlfn.LAMBDA(
    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
      )
    )
  )</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
    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
      )
    )
  )</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Feedlot_AshContent_Data">'Constants - Feedlot'!$E$17</definedName>
    <definedName name="SourceData_Feedlot_MethaneEmissionsPotential_Data">'Constants - Feedlot'!$E$22</definedName>
    <definedName name="SourceData_Feedlot_MMSm1T3_Data">'Constants - Feedlot'!$E$12</definedName>
    <definedName name="SourceData_Feedlot_VSL_Data">'Constants - Feedlot'!$E$7</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D_j">'4.1.1.3-4 Direct N20'!$D$77:$F$78</definedName>
    <definedName name="Table_D_j_Consumer_1">'4.1.1.1-2 Methane'!$D$144:$F$145</definedName>
    <definedName name="Table_E_ad_inorganic">'5.4.1.1-4 Atmos deposition'!$D$58:$F$77</definedName>
    <definedName name="Table_E_ad_organic">'5.4.1.1-4 Atmos deposition'!$D$133:$F$136</definedName>
    <definedName name="Table_E_CH4">'4.1.1.1-2 Methane'!$M$163:$Q$168</definedName>
    <definedName name="Table_E_CH4_Consumer_1">'4.1.1.1-2 Methane'!$D$163:$H$168</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EF_j_m">'4.1.1.3-4 Direct N20'!$D$194:$E$198</definedName>
    <definedName name="Table_EF_j_m_T23">'4.1.1.9 Manure applied to soils'!$D$29:$E$34</definedName>
    <definedName name="Table_FracGASM_m_T23">'4.1.1.9 Manure applied to soils'!$D$38:$E$43</definedName>
    <definedName name="Table_FracGASM_m_T23_Consumer_1">'4.1.1.5-6 Atmos Deposition'!$D$31:$E$35</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j_m_T2">'4.1.1.3-4 Direct N20'!$D$166:$G$169</definedName>
    <definedName name="Table_MMS_j_m1_T3">'4.1.1.3-4 Direct N20'!$D$123:$G$124</definedName>
    <definedName name="Table_MMS_j_m5_T1">'4.1.1.3-4 Direct N20'!$D$100:$G$101</definedName>
    <definedName name="Table_MMS_m_T2">'4.1.1.1-2 Methane'!$D$79:$H$82</definedName>
    <definedName name="Table_MMS_m1_T3">'4.1.1.1-2 Methane'!$D$119:$G$120</definedName>
    <definedName name="Table_MMS_m5_T1">'4.1.1.1-2 Methane'!$D$51:$G$52</definedName>
    <definedName name="Table_MN_j_f">'5.1.1.1-2 Inorganic fert N2O'!$D$18:$G$37</definedName>
    <definedName name="Table_MNSoil_j_f">'5.2.1.1-2 Organic Fert N2O'!$D$19:$I$22</definedName>
    <definedName name="Table_MU_j_f">'5.1.1.3-4 Inorganic fert CO2'!$D$18:$G$37</definedName>
    <definedName name="Table_N_j">'4.1.1.3-4 Direct N20'!$D$72:$F$73</definedName>
    <definedName name="Table_N_j_Consumer_1">'4.1.1.1-2 Methane'!$D$158:$F$159</definedName>
    <definedName name="Table_PF">'4.1.1.9 Manure applied to soils'!$D$47:$E$51</definedName>
    <definedName name="Table_PF_fert">'4.1.1.9 Manure applied to soils'!$D$97:$E$101</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1_1_1__1_TotalAnnualMethaneFromEntericFermentation_Result_Method1">'3.1.1.1-2 Enteric Methane'!$E$67</definedName>
    <definedName name="VEERG_3_1_1_1__1_TotalAnnualMethaneFromEntericFermentation_Result_Method2">'3.1.1.1-2 Enteric Methane'!$N$67</definedName>
    <definedName name="VEERG_4_1_1_1__1_TotalAnnualMethaneEmissions_Result_Method1">'4.1.1.1-2 Methane'!$E$171</definedName>
    <definedName name="VEERG_4_1_1_1__1_TotalAnnualMethaneEmissions_Result_Method2">'4.1.1.1-2 Methane'!$N$171</definedName>
    <definedName name="VEERG_4_1_1_3__1_TotalAnnualDirectNitrousOxideEmissions_Result_Method1">'4.1.1.3-4 Direct N20'!$E$212</definedName>
    <definedName name="VEERG_4_1_1_3__1_TotalAnnualDirectNitrousOxideEmissions_Result_Method2">'4.1.1.3-4 Direct N20'!$P$212</definedName>
    <definedName name="VEERG_4_1_1_5__1_TotalAnnualAtmosphericDepositionEmissions_Result_Method1">'4.1.1.5-6 Atmos Deposition'!$E$65</definedName>
    <definedName name="VEERG_4_1_1_5__1_TotalAnnualAtmosphericDepositionEmissions_Result_Method2">'4.1.1.5-6 Atmos Deposition'!$N$65</definedName>
    <definedName name="VEERG_4_1_1_9__1_MassOfNitrogenAppliedToSoilsScope1_Result_Method1">'4.1.1.9 Manure applied to soils'!$E$61</definedName>
    <definedName name="VEERG_4_1_1_9__1_MassOfNitrogenAppliedToSoilsScope1_Result_Method2">'4.1.1.9 Manure applied to soils'!$O$61</definedName>
    <definedName name="VEERG_4_1_1_9__2_MassOfNitrogenAppliedToSoilsScope3_Result_Method1">'4.1.1.9 Manure applied to soils'!$E$87</definedName>
    <definedName name="VEERG_4_1_1_9__2_MassOfNitrogenAppliedToSoilsScope3_Result_Method2">'4.1.1.9 Manure applied to soils'!$O$87</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LiveweightSold">'Input - Enterprise'!$E$22</definedName>
    <definedName name="X_Cell_Enterprise_ManureProduced">'Input - Enterprise'!$E$23</definedName>
    <definedName name="X_Cell_Enterprise_PercentIncomeFromLiveweightSold">'Input - Enterprise'!$E$27</definedName>
    <definedName name="X_Cell_Enterprise_PercentIncomeFromManureSold">'Input - Enterprise'!$E$28</definedName>
    <definedName name="X_Cell_Enterprise_PercentManureFertiliserOwnFarm">'Input - Enterprise'!$E$25</definedName>
    <definedName name="X_Cell_Enterprise_PercentManureSold">'Input - Enterprise'!$E$24</definedName>
    <definedName name="X_Cell_Enterprise_ProductionTimeframeEnd">'Input - Enterprise'!$E$19</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eedlot_GrazingIrrigationMethod">'Input - Feedlot'!$E$46</definedName>
    <definedName name="X_Cell_Feedlot_GrazingProductionSystem">'Input - Feedlot'!$E$45</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Feedlot_HerdMovement">'Input - Feedlot'!$D$7:$G$9</definedName>
    <definedName name="X_Table_Feedlot_Intake_Method1">'Input - Feedlot'!$D$13:$G$19</definedName>
    <definedName name="X_Table_Feedlot_Intake_Method2">'Input - Feedlot'!$D$21:$G$27</definedName>
    <definedName name="X_Table_Feedlot_MMS_Stage1">'Input - Feedlot'!$D$31:$G$32</definedName>
    <definedName name="X_Table_Feedlot_MMS_Stage2">'Input - Feedlot'!$D$34:$G$38</definedName>
    <definedName name="X_Table_Feedlot_MMS_Stage2_Destinations">'Input - Feedlot'!$I$34:$K$38</definedName>
    <definedName name="X_Table_Feedlot_MMS_Stage3">'Input - Feedlot'!$D$40:$G$42</definedName>
    <definedName name="X_Table_Feedlot_MMS_Stage3_Destinations">'Input - Feedlot'!$I$40:$K$42</definedName>
    <definedName name="X_Table_Result_ActivityPeriodEmissions_RowsToCols">'Results - Activity period'!$D$26:$F$31</definedName>
    <definedName name="X_Table_Result_CarbonRemovalsFromPlantings_RowsToCols">'Results - Activity period'!$D$36:$E$42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5" i="117" l="1"/>
  <c r="A54" i="117"/>
  <c r="A53" i="117"/>
  <c r="A52" i="117"/>
  <c r="A51" i="117"/>
  <c r="A50" i="117"/>
  <c r="A49" i="117"/>
  <c r="A48" i="117"/>
  <c r="A47" i="117"/>
  <c r="A43" i="117"/>
  <c r="A42" i="117"/>
  <c r="A41" i="117"/>
  <c r="A40" i="117"/>
  <c r="A39" i="117"/>
  <c r="A38" i="117"/>
  <c r="A37" i="117"/>
  <c r="A36" i="117"/>
  <c r="A35" i="117"/>
  <c r="A34" i="117"/>
  <c r="A33" i="117"/>
  <c r="A32" i="117"/>
  <c r="A31" i="117"/>
  <c r="A30" i="117"/>
  <c r="A29" i="117"/>
  <c r="A28" i="117"/>
  <c r="A27" i="117"/>
  <c r="A23" i="117"/>
  <c r="A22" i="117"/>
  <c r="A21" i="117"/>
  <c r="A20" i="117"/>
  <c r="A19" i="117"/>
  <c r="A18" i="117"/>
  <c r="A17" i="117"/>
  <c r="A16" i="117"/>
  <c r="A15" i="117"/>
  <c r="A14" i="117"/>
  <c r="A13" i="117"/>
  <c r="A12" i="117"/>
  <c r="A11" i="117"/>
  <c r="A10" i="117"/>
  <c r="A9" i="117"/>
  <c r="A5" i="117"/>
  <c r="A4" i="117"/>
  <c r="A3" i="117"/>
  <c r="A96" i="103"/>
  <c r="A66" i="103"/>
  <c r="A55" i="103"/>
  <c r="A54" i="103"/>
  <c r="A53" i="103"/>
  <c r="A52" i="103"/>
  <c r="A51" i="103"/>
  <c r="A50" i="103"/>
  <c r="A49" i="103"/>
  <c r="A48" i="103"/>
  <c r="A47" i="103"/>
  <c r="A43" i="103"/>
  <c r="A42" i="103"/>
  <c r="A41" i="103"/>
  <c r="A40" i="103"/>
  <c r="A39" i="103"/>
  <c r="A38" i="103"/>
  <c r="A37" i="103"/>
  <c r="A36" i="103"/>
  <c r="A35" i="103"/>
  <c r="A34" i="103"/>
  <c r="A33" i="103"/>
  <c r="A32" i="103"/>
  <c r="A31" i="103"/>
  <c r="A30" i="103"/>
  <c r="A29" i="103"/>
  <c r="A28" i="103"/>
  <c r="A27" i="103"/>
  <c r="A23" i="103"/>
  <c r="A22" i="103"/>
  <c r="A21" i="103"/>
  <c r="A20" i="103"/>
  <c r="A19" i="103"/>
  <c r="A18" i="103"/>
  <c r="A17" i="103"/>
  <c r="A16" i="103"/>
  <c r="A15" i="103"/>
  <c r="A14" i="103"/>
  <c r="A13" i="103"/>
  <c r="A12" i="103"/>
  <c r="A11" i="103"/>
  <c r="A10" i="103"/>
  <c r="A9" i="103"/>
  <c r="A5" i="103"/>
  <c r="A4" i="103"/>
  <c r="A3" i="103"/>
  <c r="A126" i="102"/>
  <c r="A96" i="102"/>
  <c r="A66" i="102"/>
  <c r="A55" i="102"/>
  <c r="A54" i="102"/>
  <c r="A53" i="102"/>
  <c r="A52" i="102"/>
  <c r="A51" i="102"/>
  <c r="A50" i="102"/>
  <c r="A49" i="102"/>
  <c r="A48" i="102"/>
  <c r="A47" i="102"/>
  <c r="A43" i="102"/>
  <c r="A42" i="102"/>
  <c r="A41" i="102"/>
  <c r="A40" i="102"/>
  <c r="A39" i="102"/>
  <c r="A38" i="102"/>
  <c r="A37" i="102"/>
  <c r="A36" i="102"/>
  <c r="A35" i="102"/>
  <c r="A34" i="102"/>
  <c r="A33" i="102"/>
  <c r="A32" i="102"/>
  <c r="A31" i="102"/>
  <c r="A30" i="102"/>
  <c r="A29" i="102"/>
  <c r="A28" i="102"/>
  <c r="A27" i="102"/>
  <c r="A23" i="102"/>
  <c r="A22" i="102"/>
  <c r="A21" i="102"/>
  <c r="A20" i="102"/>
  <c r="A19" i="102"/>
  <c r="A18" i="102"/>
  <c r="A17" i="102"/>
  <c r="A16" i="102"/>
  <c r="A15" i="102"/>
  <c r="A14" i="102"/>
  <c r="A13" i="102"/>
  <c r="A12" i="102"/>
  <c r="A11" i="102"/>
  <c r="A10" i="102"/>
  <c r="A9" i="102"/>
  <c r="A5" i="102"/>
  <c r="A4" i="102"/>
  <c r="A3" i="102"/>
  <c r="A55" i="101"/>
  <c r="A54" i="101"/>
  <c r="A53" i="101"/>
  <c r="A52" i="101"/>
  <c r="A51" i="101"/>
  <c r="A50" i="101"/>
  <c r="A49" i="101"/>
  <c r="A48" i="101"/>
  <c r="A47" i="101"/>
  <c r="A43" i="101"/>
  <c r="A42" i="101"/>
  <c r="A41" i="101"/>
  <c r="A40" i="101"/>
  <c r="A39" i="101"/>
  <c r="A38" i="101"/>
  <c r="A37" i="101"/>
  <c r="A36" i="101"/>
  <c r="A35" i="101"/>
  <c r="A34" i="101"/>
  <c r="A33" i="101"/>
  <c r="A32" i="101"/>
  <c r="A31" i="101"/>
  <c r="A30" i="101"/>
  <c r="A29" i="101"/>
  <c r="A28" i="101"/>
  <c r="A27" i="101"/>
  <c r="A23" i="101"/>
  <c r="A22" i="101"/>
  <c r="A21" i="101"/>
  <c r="A20" i="101"/>
  <c r="A19" i="101"/>
  <c r="A18" i="101"/>
  <c r="A17" i="101"/>
  <c r="A16" i="101"/>
  <c r="A15" i="101"/>
  <c r="A14" i="101"/>
  <c r="A13" i="101"/>
  <c r="A12" i="101"/>
  <c r="A11" i="101"/>
  <c r="A10" i="101"/>
  <c r="A9" i="101"/>
  <c r="A5" i="101"/>
  <c r="A4" i="101"/>
  <c r="A3" i="101"/>
  <c r="A55" i="100"/>
  <c r="A54" i="100"/>
  <c r="A53" i="100"/>
  <c r="A52" i="100"/>
  <c r="A51" i="100"/>
  <c r="A50" i="100"/>
  <c r="A49" i="100"/>
  <c r="A48" i="100"/>
  <c r="A47" i="100"/>
  <c r="A43" i="100"/>
  <c r="A42" i="100"/>
  <c r="A41" i="100"/>
  <c r="A40" i="100"/>
  <c r="A39" i="100"/>
  <c r="A38" i="100"/>
  <c r="A37" i="100"/>
  <c r="A36" i="100"/>
  <c r="A35" i="100"/>
  <c r="A34" i="100"/>
  <c r="A33" i="100"/>
  <c r="A32" i="100"/>
  <c r="A31" i="100"/>
  <c r="A30" i="100"/>
  <c r="A29" i="100"/>
  <c r="A28" i="100"/>
  <c r="A27" i="100"/>
  <c r="A23" i="100"/>
  <c r="A22" i="100"/>
  <c r="A21" i="100"/>
  <c r="A20" i="100"/>
  <c r="A19" i="100"/>
  <c r="A18" i="100"/>
  <c r="A17" i="100"/>
  <c r="A16" i="100"/>
  <c r="A15" i="100"/>
  <c r="A14" i="100"/>
  <c r="A13" i="100"/>
  <c r="A12" i="100"/>
  <c r="A11" i="100"/>
  <c r="A10" i="100"/>
  <c r="A9" i="100"/>
  <c r="A5" i="100"/>
  <c r="A4" i="100"/>
  <c r="A3" i="100"/>
  <c r="A66" i="99"/>
  <c r="A55" i="99"/>
  <c r="A54" i="99"/>
  <c r="A53" i="99"/>
  <c r="A52" i="99"/>
  <c r="A51" i="99"/>
  <c r="A50" i="99"/>
  <c r="A49" i="99"/>
  <c r="A48" i="99"/>
  <c r="A47" i="99"/>
  <c r="A43" i="99"/>
  <c r="A42" i="99"/>
  <c r="A41" i="99"/>
  <c r="A40" i="99"/>
  <c r="A39" i="99"/>
  <c r="A38" i="99"/>
  <c r="A37" i="99"/>
  <c r="A36" i="99"/>
  <c r="A35" i="99"/>
  <c r="A34" i="99"/>
  <c r="A33" i="99"/>
  <c r="A32" i="99"/>
  <c r="A31" i="99"/>
  <c r="A30" i="99"/>
  <c r="A29" i="99"/>
  <c r="A28" i="99"/>
  <c r="A27" i="99"/>
  <c r="A23" i="99"/>
  <c r="A22" i="99"/>
  <c r="A21" i="99"/>
  <c r="A20" i="99"/>
  <c r="A19" i="99"/>
  <c r="A18" i="99"/>
  <c r="A17" i="99"/>
  <c r="A16" i="99"/>
  <c r="A15" i="99"/>
  <c r="A14" i="99"/>
  <c r="A13" i="99"/>
  <c r="A12" i="99"/>
  <c r="A11" i="99"/>
  <c r="A10" i="99"/>
  <c r="A9" i="99"/>
  <c r="A5" i="99"/>
  <c r="A4" i="99"/>
  <c r="A3" i="99"/>
  <c r="A96" i="98"/>
  <c r="A66" i="98"/>
  <c r="A55" i="98"/>
  <c r="A54" i="98"/>
  <c r="A53" i="98"/>
  <c r="A52" i="98"/>
  <c r="A51" i="98"/>
  <c r="A50" i="98"/>
  <c r="A49" i="98"/>
  <c r="A48" i="98"/>
  <c r="A47" i="98"/>
  <c r="A43" i="98"/>
  <c r="A42" i="98"/>
  <c r="A41" i="98"/>
  <c r="A40" i="98"/>
  <c r="A39" i="98"/>
  <c r="A38" i="98"/>
  <c r="A37" i="98"/>
  <c r="A36" i="98"/>
  <c r="A35" i="98"/>
  <c r="A34" i="98"/>
  <c r="A33" i="98"/>
  <c r="A32" i="98"/>
  <c r="A31" i="98"/>
  <c r="A30" i="98"/>
  <c r="A29" i="98"/>
  <c r="A28" i="98"/>
  <c r="A27" i="98"/>
  <c r="A23" i="98"/>
  <c r="A22" i="98"/>
  <c r="A21" i="98"/>
  <c r="A20" i="98"/>
  <c r="A19" i="98"/>
  <c r="A18" i="98"/>
  <c r="A17" i="98"/>
  <c r="A16" i="98"/>
  <c r="A15" i="98"/>
  <c r="A14" i="98"/>
  <c r="A13" i="98"/>
  <c r="A12" i="98"/>
  <c r="A11" i="98"/>
  <c r="A10" i="98"/>
  <c r="A9" i="98"/>
  <c r="A5" i="98"/>
  <c r="A4" i="98"/>
  <c r="A3" i="98"/>
  <c r="A55" i="97"/>
  <c r="A54" i="97"/>
  <c r="A53" i="97"/>
  <c r="A52" i="97"/>
  <c r="A51" i="97"/>
  <c r="A50" i="97"/>
  <c r="A49" i="97"/>
  <c r="A48" i="97"/>
  <c r="A47" i="97"/>
  <c r="A43" i="97"/>
  <c r="A42" i="97"/>
  <c r="A41" i="97"/>
  <c r="A40" i="97"/>
  <c r="A39" i="97"/>
  <c r="A38" i="97"/>
  <c r="A37" i="97"/>
  <c r="A36" i="97"/>
  <c r="A35" i="97"/>
  <c r="A34" i="97"/>
  <c r="A33" i="97"/>
  <c r="A32" i="97"/>
  <c r="A31" i="97"/>
  <c r="A30" i="97"/>
  <c r="A29" i="97"/>
  <c r="A28" i="97"/>
  <c r="A27" i="97"/>
  <c r="A23" i="97"/>
  <c r="A22" i="97"/>
  <c r="A21" i="97"/>
  <c r="A20" i="97"/>
  <c r="A19" i="97"/>
  <c r="A18" i="97"/>
  <c r="A17" i="97"/>
  <c r="A16" i="97"/>
  <c r="A15" i="97"/>
  <c r="A14" i="97"/>
  <c r="A13" i="97"/>
  <c r="A12" i="97"/>
  <c r="A11" i="97"/>
  <c r="A10" i="97"/>
  <c r="A9" i="97"/>
  <c r="A5" i="97"/>
  <c r="A4" i="97"/>
  <c r="A3" i="97"/>
  <c r="A55" i="96"/>
  <c r="A54" i="96"/>
  <c r="A53" i="96"/>
  <c r="A52" i="96"/>
  <c r="A51" i="96"/>
  <c r="A50" i="96"/>
  <c r="A49" i="96"/>
  <c r="A48" i="96"/>
  <c r="A47" i="96"/>
  <c r="A43" i="96"/>
  <c r="A42" i="96"/>
  <c r="A41" i="96"/>
  <c r="A40" i="96"/>
  <c r="A39" i="96"/>
  <c r="A38" i="96"/>
  <c r="A37" i="96"/>
  <c r="A36" i="96"/>
  <c r="A35" i="96"/>
  <c r="A34" i="96"/>
  <c r="A33" i="96"/>
  <c r="A32" i="96"/>
  <c r="A31" i="96"/>
  <c r="A30" i="96"/>
  <c r="A29" i="96"/>
  <c r="A28" i="96"/>
  <c r="A27" i="96"/>
  <c r="A23" i="96"/>
  <c r="A22" i="96"/>
  <c r="A21" i="96"/>
  <c r="A20" i="96"/>
  <c r="A19" i="96"/>
  <c r="A18" i="96"/>
  <c r="A17" i="96"/>
  <c r="A16" i="96"/>
  <c r="A15" i="96"/>
  <c r="A14" i="96"/>
  <c r="A13" i="96"/>
  <c r="A12" i="96"/>
  <c r="A11" i="96"/>
  <c r="A10" i="96"/>
  <c r="A9" i="96"/>
  <c r="A5" i="96"/>
  <c r="A4" i="96"/>
  <c r="A3" i="96"/>
  <c r="A276" i="79"/>
  <c r="A246" i="79"/>
  <c r="A216" i="79"/>
  <c r="A186" i="79"/>
  <c r="A156" i="79"/>
  <c r="A126" i="79"/>
  <c r="A96" i="79"/>
  <c r="A66" i="79"/>
  <c r="A55" i="79"/>
  <c r="A54" i="79"/>
  <c r="A53" i="79"/>
  <c r="A52" i="79"/>
  <c r="A51" i="79"/>
  <c r="A50" i="79"/>
  <c r="A49" i="79"/>
  <c r="A48" i="79"/>
  <c r="A47" i="79"/>
  <c r="A43" i="79"/>
  <c r="A42" i="79"/>
  <c r="A41" i="79"/>
  <c r="A40" i="79"/>
  <c r="A39" i="79"/>
  <c r="A38" i="79"/>
  <c r="A37" i="79"/>
  <c r="A36" i="79"/>
  <c r="A35" i="79"/>
  <c r="A34" i="79"/>
  <c r="A33" i="79"/>
  <c r="A32" i="79"/>
  <c r="A31" i="79"/>
  <c r="A30" i="79"/>
  <c r="A29" i="79"/>
  <c r="A28" i="79"/>
  <c r="A27" i="79"/>
  <c r="A23" i="79"/>
  <c r="A22" i="79"/>
  <c r="A21" i="79"/>
  <c r="A20" i="79"/>
  <c r="A19" i="79"/>
  <c r="A18" i="79"/>
  <c r="A17" i="79"/>
  <c r="A16" i="79"/>
  <c r="A15" i="79"/>
  <c r="A14" i="79"/>
  <c r="A13" i="79"/>
  <c r="A12" i="79"/>
  <c r="A11" i="79"/>
  <c r="A10" i="79"/>
  <c r="A9" i="79"/>
  <c r="A5" i="79"/>
  <c r="A4" i="79"/>
  <c r="A3" i="79"/>
  <c r="A66" i="107"/>
  <c r="A55" i="107"/>
  <c r="A54" i="107"/>
  <c r="A53" i="107"/>
  <c r="A52" i="107"/>
  <c r="A51" i="107"/>
  <c r="A50" i="107"/>
  <c r="A49" i="107"/>
  <c r="A48" i="107"/>
  <c r="A47" i="107"/>
  <c r="A43" i="107"/>
  <c r="A42" i="107"/>
  <c r="A41" i="107"/>
  <c r="A40" i="107"/>
  <c r="A39" i="107"/>
  <c r="A38" i="107"/>
  <c r="A37" i="107"/>
  <c r="A36" i="107"/>
  <c r="A35" i="107"/>
  <c r="A34" i="107"/>
  <c r="A33" i="107"/>
  <c r="A32" i="107"/>
  <c r="A31" i="107"/>
  <c r="A30" i="107"/>
  <c r="A29" i="107"/>
  <c r="A28" i="107"/>
  <c r="A27" i="107"/>
  <c r="A23" i="107"/>
  <c r="A22" i="107"/>
  <c r="A21" i="107"/>
  <c r="A20" i="107"/>
  <c r="A19" i="107"/>
  <c r="A18" i="107"/>
  <c r="A17" i="107"/>
  <c r="A16" i="107"/>
  <c r="A15" i="107"/>
  <c r="A14" i="107"/>
  <c r="A13" i="107"/>
  <c r="A12" i="107"/>
  <c r="A11" i="107"/>
  <c r="A10" i="107"/>
  <c r="A9" i="107"/>
  <c r="A5" i="107"/>
  <c r="A4" i="107"/>
  <c r="A3" i="107"/>
  <c r="A246" i="115"/>
  <c r="A216" i="115"/>
  <c r="A186" i="115"/>
  <c r="A156" i="115"/>
  <c r="A126" i="115"/>
  <c r="A96" i="115"/>
  <c r="A66" i="115"/>
  <c r="A55" i="115"/>
  <c r="A54" i="115"/>
  <c r="A53" i="115"/>
  <c r="A52" i="115"/>
  <c r="A51" i="115"/>
  <c r="A50" i="115"/>
  <c r="A49" i="115"/>
  <c r="A48" i="115"/>
  <c r="A47" i="115"/>
  <c r="A43" i="115"/>
  <c r="A42" i="115"/>
  <c r="A41" i="115"/>
  <c r="A40" i="115"/>
  <c r="A39" i="115"/>
  <c r="A38" i="115"/>
  <c r="A37" i="115"/>
  <c r="A36" i="115"/>
  <c r="A35" i="115"/>
  <c r="A34" i="115"/>
  <c r="A33" i="115"/>
  <c r="A32" i="115"/>
  <c r="A31" i="115"/>
  <c r="A30" i="115"/>
  <c r="A29" i="115"/>
  <c r="A28" i="115"/>
  <c r="A27" i="115"/>
  <c r="A23" i="115"/>
  <c r="A22" i="115"/>
  <c r="A21" i="115"/>
  <c r="A20" i="115"/>
  <c r="A19" i="115"/>
  <c r="A18" i="115"/>
  <c r="A17" i="115"/>
  <c r="A16" i="115"/>
  <c r="A15" i="115"/>
  <c r="A14" i="115"/>
  <c r="A13" i="115"/>
  <c r="A12" i="115"/>
  <c r="A11" i="115"/>
  <c r="A10" i="115"/>
  <c r="A9" i="115"/>
  <c r="A5" i="115"/>
  <c r="A4" i="115"/>
  <c r="A3" i="115"/>
  <c r="A156" i="95"/>
  <c r="A126" i="95"/>
  <c r="A96" i="95"/>
  <c r="A66" i="95"/>
  <c r="A55" i="95"/>
  <c r="A54" i="95"/>
  <c r="A53" i="95"/>
  <c r="A52" i="95"/>
  <c r="A51" i="95"/>
  <c r="A50" i="95"/>
  <c r="A49" i="95"/>
  <c r="A48" i="95"/>
  <c r="A47" i="95"/>
  <c r="A43" i="95"/>
  <c r="A42" i="95"/>
  <c r="A41" i="95"/>
  <c r="A40" i="95"/>
  <c r="A39" i="95"/>
  <c r="A38" i="95"/>
  <c r="A37" i="95"/>
  <c r="A36" i="95"/>
  <c r="A35" i="95"/>
  <c r="A34" i="95"/>
  <c r="A33" i="95"/>
  <c r="A32" i="95"/>
  <c r="A31" i="95"/>
  <c r="A30" i="95"/>
  <c r="A29" i="95"/>
  <c r="A28" i="95"/>
  <c r="A27" i="95"/>
  <c r="A23" i="95"/>
  <c r="A22" i="95"/>
  <c r="A21" i="95"/>
  <c r="A20" i="95"/>
  <c r="A19" i="95"/>
  <c r="A18" i="95"/>
  <c r="A17" i="95"/>
  <c r="A16" i="95"/>
  <c r="A15" i="95"/>
  <c r="A14" i="95"/>
  <c r="A13" i="95"/>
  <c r="A12" i="95"/>
  <c r="A11" i="95"/>
  <c r="A10" i="95"/>
  <c r="A9" i="95"/>
  <c r="A5" i="95"/>
  <c r="A4" i="95"/>
  <c r="A3" i="95"/>
  <c r="A216" i="104"/>
  <c r="A186" i="104"/>
  <c r="A156" i="104"/>
  <c r="A126" i="104"/>
  <c r="A96" i="104"/>
  <c r="A66" i="104"/>
  <c r="A55" i="104"/>
  <c r="A54" i="104"/>
  <c r="A53" i="104"/>
  <c r="A52" i="104"/>
  <c r="A51" i="104"/>
  <c r="A50" i="104"/>
  <c r="A49" i="104"/>
  <c r="A48" i="104"/>
  <c r="A47" i="104"/>
  <c r="A43" i="104"/>
  <c r="A42" i="104"/>
  <c r="A41" i="104"/>
  <c r="A40" i="104"/>
  <c r="A39" i="104"/>
  <c r="A38" i="104"/>
  <c r="A37" i="104"/>
  <c r="A36" i="104"/>
  <c r="A35" i="104"/>
  <c r="A34" i="104"/>
  <c r="A33" i="104"/>
  <c r="A32" i="104"/>
  <c r="A31" i="104"/>
  <c r="A30" i="104"/>
  <c r="A29" i="104"/>
  <c r="A28" i="104"/>
  <c r="A27" i="104"/>
  <c r="A23" i="104"/>
  <c r="A22" i="104"/>
  <c r="A21" i="104"/>
  <c r="A20" i="104"/>
  <c r="A19" i="104"/>
  <c r="A18" i="104"/>
  <c r="A17" i="104"/>
  <c r="A16" i="104"/>
  <c r="A15" i="104"/>
  <c r="A14" i="104"/>
  <c r="A13" i="104"/>
  <c r="A12" i="104"/>
  <c r="A11" i="104"/>
  <c r="A10" i="104"/>
  <c r="A9" i="104"/>
  <c r="A5" i="104"/>
  <c r="A4" i="104"/>
  <c r="A3" i="104"/>
  <c r="A55" i="91"/>
  <c r="A54" i="91"/>
  <c r="A53" i="91"/>
  <c r="A52" i="91"/>
  <c r="A51" i="91"/>
  <c r="A50" i="91"/>
  <c r="A49" i="91"/>
  <c r="A48" i="91"/>
  <c r="A47" i="91"/>
  <c r="A43" i="91"/>
  <c r="A42" i="91"/>
  <c r="A41" i="91"/>
  <c r="A40" i="91"/>
  <c r="A39" i="91"/>
  <c r="A38" i="91"/>
  <c r="A37" i="91"/>
  <c r="A36" i="91"/>
  <c r="A35" i="91"/>
  <c r="A34" i="91"/>
  <c r="A33" i="91"/>
  <c r="A32" i="91"/>
  <c r="A31" i="91"/>
  <c r="A30" i="91"/>
  <c r="A29" i="91"/>
  <c r="A28" i="91"/>
  <c r="A27" i="91"/>
  <c r="A23" i="91"/>
  <c r="A22" i="91"/>
  <c r="A21" i="91"/>
  <c r="A20" i="91"/>
  <c r="A19" i="91"/>
  <c r="A18" i="91"/>
  <c r="A17" i="91"/>
  <c r="A16" i="91"/>
  <c r="A15" i="91"/>
  <c r="A14" i="91"/>
  <c r="A13" i="91"/>
  <c r="A12" i="91"/>
  <c r="A11" i="91"/>
  <c r="A10" i="91"/>
  <c r="A9" i="91"/>
  <c r="A5" i="91"/>
  <c r="A4" i="91"/>
  <c r="A3" i="91"/>
  <c r="A55" i="116"/>
  <c r="A54" i="116"/>
  <c r="A53" i="116"/>
  <c r="A52" i="116"/>
  <c r="A51" i="116"/>
  <c r="A50" i="116"/>
  <c r="A49" i="116"/>
  <c r="A48" i="116"/>
  <c r="A47" i="116"/>
  <c r="A43" i="116"/>
  <c r="A42" i="116"/>
  <c r="A41" i="116"/>
  <c r="A40" i="116"/>
  <c r="A39" i="116"/>
  <c r="A38" i="116"/>
  <c r="A37" i="116"/>
  <c r="A36" i="116"/>
  <c r="A35" i="116"/>
  <c r="A34" i="116"/>
  <c r="A33" i="116"/>
  <c r="A32" i="116"/>
  <c r="A31" i="116"/>
  <c r="A30" i="116"/>
  <c r="A29" i="116"/>
  <c r="A28" i="116"/>
  <c r="A27" i="116"/>
  <c r="A23" i="116"/>
  <c r="A22" i="116"/>
  <c r="A21" i="116"/>
  <c r="A20" i="116"/>
  <c r="A19" i="116"/>
  <c r="A18" i="116"/>
  <c r="A17" i="116"/>
  <c r="A16" i="116"/>
  <c r="A15" i="116"/>
  <c r="A14" i="116"/>
  <c r="A13" i="116"/>
  <c r="A12" i="116"/>
  <c r="A11" i="116"/>
  <c r="A10" i="116"/>
  <c r="A9" i="116"/>
  <c r="A5" i="116"/>
  <c r="A4" i="116"/>
  <c r="A3" i="116"/>
  <c r="A96" i="87"/>
  <c r="A66" i="87"/>
  <c r="A55" i="87"/>
  <c r="A54" i="87"/>
  <c r="A53" i="87"/>
  <c r="A52" i="87"/>
  <c r="A51" i="87"/>
  <c r="A50" i="87"/>
  <c r="A49" i="87"/>
  <c r="A48" i="87"/>
  <c r="A47" i="87"/>
  <c r="A43" i="87"/>
  <c r="A42" i="87"/>
  <c r="A41" i="87"/>
  <c r="A40" i="87"/>
  <c r="A39" i="87"/>
  <c r="A38" i="87"/>
  <c r="A37" i="87"/>
  <c r="A36" i="87"/>
  <c r="A35" i="87"/>
  <c r="A34" i="87"/>
  <c r="A33" i="87"/>
  <c r="A32" i="87"/>
  <c r="A31" i="87"/>
  <c r="A30" i="87"/>
  <c r="A29" i="87"/>
  <c r="A28" i="87"/>
  <c r="A27" i="87"/>
  <c r="A23" i="87"/>
  <c r="A22" i="87"/>
  <c r="A21" i="87"/>
  <c r="A20" i="87"/>
  <c r="A19" i="87"/>
  <c r="A18" i="87"/>
  <c r="A17" i="87"/>
  <c r="A16" i="87"/>
  <c r="A15" i="87"/>
  <c r="A14" i="87"/>
  <c r="A13" i="87"/>
  <c r="A12" i="87"/>
  <c r="A11" i="87"/>
  <c r="A10" i="87"/>
  <c r="A9" i="87"/>
  <c r="A5" i="87"/>
  <c r="A4" i="87"/>
  <c r="A3" i="87"/>
  <c r="A66" i="114"/>
  <c r="A55" i="114"/>
  <c r="A54" i="114"/>
  <c r="A53" i="114"/>
  <c r="A52" i="114"/>
  <c r="A51" i="114"/>
  <c r="A50" i="114"/>
  <c r="A49" i="114"/>
  <c r="A48" i="114"/>
  <c r="A47" i="114"/>
  <c r="A43" i="114"/>
  <c r="A42" i="114"/>
  <c r="A41" i="114"/>
  <c r="A40" i="114"/>
  <c r="A39" i="114"/>
  <c r="A38" i="114"/>
  <c r="A37" i="114"/>
  <c r="A36" i="114"/>
  <c r="A35" i="114"/>
  <c r="A34" i="114"/>
  <c r="A33" i="114"/>
  <c r="A32" i="114"/>
  <c r="A31" i="114"/>
  <c r="A30" i="114"/>
  <c r="A29" i="114"/>
  <c r="A28" i="114"/>
  <c r="A27" i="114"/>
  <c r="A23" i="114"/>
  <c r="A22" i="114"/>
  <c r="A21" i="114"/>
  <c r="A20" i="114"/>
  <c r="A19" i="114"/>
  <c r="A18" i="114"/>
  <c r="A17" i="114"/>
  <c r="A16" i="114"/>
  <c r="A15" i="114"/>
  <c r="A14" i="114"/>
  <c r="A13" i="114"/>
  <c r="A12" i="114"/>
  <c r="A11" i="114"/>
  <c r="A10" i="114"/>
  <c r="A9" i="114"/>
  <c r="A5" i="114"/>
  <c r="A4" i="114"/>
  <c r="A3" i="114"/>
  <c r="A636" i="113"/>
  <c r="A606" i="113"/>
  <c r="A576" i="113"/>
  <c r="A546" i="113"/>
  <c r="A516" i="113"/>
  <c r="A486" i="113"/>
  <c r="A456" i="113"/>
  <c r="A426" i="113"/>
  <c r="A396" i="113"/>
  <c r="A366" i="113"/>
  <c r="A336" i="113"/>
  <c r="A306" i="113"/>
  <c r="A276" i="113"/>
  <c r="A246" i="113"/>
  <c r="A216" i="113"/>
  <c r="A186" i="113"/>
  <c r="A156" i="113"/>
  <c r="A126" i="113"/>
  <c r="A96" i="113"/>
  <c r="A66" i="113"/>
  <c r="A55" i="113"/>
  <c r="A54" i="113"/>
  <c r="A53" i="113"/>
  <c r="A52" i="113"/>
  <c r="A51" i="113"/>
  <c r="A50" i="113"/>
  <c r="A49" i="113"/>
  <c r="A48" i="113"/>
  <c r="A47" i="113"/>
  <c r="A43" i="113"/>
  <c r="A42" i="113"/>
  <c r="A41" i="113"/>
  <c r="A40" i="113"/>
  <c r="A39" i="113"/>
  <c r="A38" i="113"/>
  <c r="A37" i="113"/>
  <c r="A36" i="113"/>
  <c r="A35" i="113"/>
  <c r="A34" i="113"/>
  <c r="A33" i="113"/>
  <c r="A32" i="113"/>
  <c r="A31" i="113"/>
  <c r="A30" i="113"/>
  <c r="A29" i="113"/>
  <c r="A28" i="113"/>
  <c r="A27" i="113"/>
  <c r="A23" i="113"/>
  <c r="A22" i="113"/>
  <c r="A21" i="113"/>
  <c r="A20" i="113"/>
  <c r="A19" i="113"/>
  <c r="A18" i="113"/>
  <c r="A17" i="113"/>
  <c r="A16" i="113"/>
  <c r="A15" i="113"/>
  <c r="A14" i="113"/>
  <c r="A13" i="113"/>
  <c r="A12" i="113"/>
  <c r="A11" i="113"/>
  <c r="A10" i="113"/>
  <c r="A9" i="113"/>
  <c r="A5" i="113"/>
  <c r="A4" i="113"/>
  <c r="A3" i="113"/>
  <c r="A55" i="90"/>
  <c r="A54" i="90"/>
  <c r="A53" i="90"/>
  <c r="A52" i="90"/>
  <c r="A51" i="90"/>
  <c r="A50" i="90"/>
  <c r="A49" i="90"/>
  <c r="A48" i="90"/>
  <c r="A47" i="90"/>
  <c r="A43" i="90"/>
  <c r="A42" i="90"/>
  <c r="A41" i="90"/>
  <c r="A40" i="90"/>
  <c r="A39" i="90"/>
  <c r="A38" i="90"/>
  <c r="A37" i="90"/>
  <c r="A36" i="90"/>
  <c r="A35" i="90"/>
  <c r="A34" i="90"/>
  <c r="A33" i="90"/>
  <c r="A32" i="90"/>
  <c r="A31" i="90"/>
  <c r="A30" i="90"/>
  <c r="A29" i="90"/>
  <c r="A28" i="90"/>
  <c r="A27" i="90"/>
  <c r="A23" i="90"/>
  <c r="A22" i="90"/>
  <c r="A21" i="90"/>
  <c r="A20" i="90"/>
  <c r="A19" i="90"/>
  <c r="A18" i="90"/>
  <c r="A17" i="90"/>
  <c r="A16" i="90"/>
  <c r="A15" i="90"/>
  <c r="A14" i="90"/>
  <c r="A13" i="90"/>
  <c r="A12" i="90"/>
  <c r="A11" i="90"/>
  <c r="A10" i="90"/>
  <c r="A9" i="90"/>
  <c r="A5" i="90"/>
  <c r="A4" i="90"/>
  <c r="A3" i="90"/>
  <c r="A186" i="106"/>
  <c r="A156" i="106"/>
  <c r="A126" i="106"/>
  <c r="A96" i="106"/>
  <c r="A66" i="106"/>
  <c r="A55" i="106"/>
  <c r="A54" i="106"/>
  <c r="A53" i="106"/>
  <c r="A52" i="106"/>
  <c r="A51" i="106"/>
  <c r="A50" i="106"/>
  <c r="A49" i="106"/>
  <c r="A48" i="106"/>
  <c r="A47" i="106"/>
  <c r="A43" i="106"/>
  <c r="A42" i="106"/>
  <c r="A41" i="106"/>
  <c r="A40" i="106"/>
  <c r="A39" i="106"/>
  <c r="A38" i="106"/>
  <c r="A37" i="106"/>
  <c r="A36" i="106"/>
  <c r="A35" i="106"/>
  <c r="A34" i="106"/>
  <c r="A33" i="106"/>
  <c r="A32" i="106"/>
  <c r="A31" i="106"/>
  <c r="A30" i="106"/>
  <c r="A29" i="106"/>
  <c r="A28" i="106"/>
  <c r="A27" i="106"/>
  <c r="A23" i="106"/>
  <c r="A22" i="106"/>
  <c r="A21" i="106"/>
  <c r="A20" i="106"/>
  <c r="A19" i="106"/>
  <c r="A18" i="106"/>
  <c r="A17" i="106"/>
  <c r="A16" i="106"/>
  <c r="A15" i="106"/>
  <c r="A14" i="106"/>
  <c r="A13" i="106"/>
  <c r="A12" i="106"/>
  <c r="A11" i="106"/>
  <c r="A10" i="106"/>
  <c r="A9" i="106"/>
  <c r="A5" i="106"/>
  <c r="A4" i="106"/>
  <c r="A3" i="106"/>
  <c r="A55" i="94"/>
  <c r="A54" i="94"/>
  <c r="A53" i="94"/>
  <c r="A52" i="94"/>
  <c r="A51" i="94"/>
  <c r="A50" i="94"/>
  <c r="A49" i="94"/>
  <c r="A48" i="94"/>
  <c r="A47" i="94"/>
  <c r="A43" i="94"/>
  <c r="A42" i="94"/>
  <c r="A41" i="94"/>
  <c r="A40" i="94"/>
  <c r="A39" i="94"/>
  <c r="A38" i="94"/>
  <c r="A37" i="94"/>
  <c r="A36" i="94"/>
  <c r="A35" i="94"/>
  <c r="A34" i="94"/>
  <c r="A33" i="94"/>
  <c r="A32" i="94"/>
  <c r="A31" i="94"/>
  <c r="A30" i="94"/>
  <c r="A29" i="94"/>
  <c r="A28" i="94"/>
  <c r="A27" i="94"/>
  <c r="A23" i="94"/>
  <c r="A22" i="94"/>
  <c r="A21" i="94"/>
  <c r="A20" i="94"/>
  <c r="A19" i="94"/>
  <c r="A18" i="94"/>
  <c r="A17" i="94"/>
  <c r="A16" i="94"/>
  <c r="A15" i="94"/>
  <c r="A14" i="94"/>
  <c r="A13" i="94"/>
  <c r="A12" i="94"/>
  <c r="A11" i="94"/>
  <c r="A10" i="94"/>
  <c r="A9" i="94"/>
  <c r="A5" i="94"/>
  <c r="A4" i="94"/>
  <c r="A3" i="94"/>
  <c r="A66" i="93"/>
  <c r="A55" i="93"/>
  <c r="A54" i="93"/>
  <c r="A53" i="93"/>
  <c r="A52" i="93"/>
  <c r="A51" i="93"/>
  <c r="A50" i="93"/>
  <c r="A49" i="93"/>
  <c r="A48" i="93"/>
  <c r="A47" i="93"/>
  <c r="A43" i="93"/>
  <c r="A42" i="93"/>
  <c r="A41" i="93"/>
  <c r="A40" i="93"/>
  <c r="A39" i="93"/>
  <c r="A38" i="93"/>
  <c r="A37" i="93"/>
  <c r="A36" i="93"/>
  <c r="A35" i="93"/>
  <c r="A34" i="93"/>
  <c r="A33" i="93"/>
  <c r="A32" i="93"/>
  <c r="A31" i="93"/>
  <c r="A30" i="93"/>
  <c r="A29" i="93"/>
  <c r="A28" i="93"/>
  <c r="A27" i="93"/>
  <c r="A23" i="93"/>
  <c r="A22" i="93"/>
  <c r="A21" i="93"/>
  <c r="A20" i="93"/>
  <c r="A19" i="93"/>
  <c r="A18" i="93"/>
  <c r="A17" i="93"/>
  <c r="A16" i="93"/>
  <c r="A15" i="93"/>
  <c r="A14" i="93"/>
  <c r="A13" i="93"/>
  <c r="A12" i="93"/>
  <c r="A11" i="93"/>
  <c r="A10" i="93"/>
  <c r="A9" i="93"/>
  <c r="A5" i="93"/>
  <c r="A4" i="93"/>
  <c r="A3" i="93"/>
  <c r="A96" i="86"/>
  <c r="A66" i="86"/>
  <c r="A55" i="86"/>
  <c r="A54" i="86"/>
  <c r="A53" i="86"/>
  <c r="A52" i="86"/>
  <c r="A51" i="86"/>
  <c r="A50" i="86"/>
  <c r="A49" i="86"/>
  <c r="A48" i="86"/>
  <c r="A47" i="86"/>
  <c r="A43" i="86"/>
  <c r="A42" i="86"/>
  <c r="A41" i="86"/>
  <c r="A40" i="86"/>
  <c r="A39" i="86"/>
  <c r="A38" i="86"/>
  <c r="A37" i="86"/>
  <c r="A36" i="86"/>
  <c r="A35" i="86"/>
  <c r="A34" i="86"/>
  <c r="A33" i="86"/>
  <c r="A32" i="86"/>
  <c r="A31" i="86"/>
  <c r="A30" i="86"/>
  <c r="A29" i="86"/>
  <c r="A28" i="86"/>
  <c r="A27" i="86"/>
  <c r="A23" i="86"/>
  <c r="A22" i="86"/>
  <c r="A21" i="86"/>
  <c r="A20" i="86"/>
  <c r="A19" i="86"/>
  <c r="A18" i="86"/>
  <c r="A17" i="86"/>
  <c r="A16" i="86"/>
  <c r="A15" i="86"/>
  <c r="A14" i="86"/>
  <c r="A13" i="86"/>
  <c r="A12" i="86"/>
  <c r="A11" i="86"/>
  <c r="A10" i="86"/>
  <c r="A9" i="86"/>
  <c r="A5" i="86"/>
  <c r="A4" i="86"/>
  <c r="A3" i="86"/>
  <c r="A66" i="85"/>
  <c r="A55" i="85"/>
  <c r="A54" i="85"/>
  <c r="A53" i="85"/>
  <c r="A52" i="85"/>
  <c r="A51" i="85"/>
  <c r="A50" i="85"/>
  <c r="A49" i="85"/>
  <c r="A48" i="85"/>
  <c r="A47" i="85"/>
  <c r="A43" i="85"/>
  <c r="A42" i="85"/>
  <c r="A41" i="85"/>
  <c r="A40" i="85"/>
  <c r="A39" i="85"/>
  <c r="A38" i="85"/>
  <c r="A37" i="85"/>
  <c r="A36" i="85"/>
  <c r="A35" i="85"/>
  <c r="A34" i="85"/>
  <c r="A33" i="85"/>
  <c r="A32" i="85"/>
  <c r="A31" i="85"/>
  <c r="A30" i="85"/>
  <c r="A29" i="85"/>
  <c r="A28" i="85"/>
  <c r="A27" i="85"/>
  <c r="A23" i="85"/>
  <c r="A22" i="85"/>
  <c r="A21" i="85"/>
  <c r="A20" i="85"/>
  <c r="A19" i="85"/>
  <c r="A18" i="85"/>
  <c r="A17" i="85"/>
  <c r="A16" i="85"/>
  <c r="A15" i="85"/>
  <c r="A14" i="85"/>
  <c r="A13" i="85"/>
  <c r="A12" i="85"/>
  <c r="A11" i="85"/>
  <c r="A10" i="85"/>
  <c r="A9" i="85"/>
  <c r="A5" i="85"/>
  <c r="A4" i="85"/>
  <c r="A3" i="85"/>
  <c r="A216" i="84"/>
  <c r="A186" i="84"/>
  <c r="A156" i="84"/>
  <c r="A126" i="84"/>
  <c r="A96" i="84"/>
  <c r="A66" i="84"/>
  <c r="A55" i="84"/>
  <c r="A54" i="84"/>
  <c r="A53" i="84"/>
  <c r="A52" i="84"/>
  <c r="A51" i="84"/>
  <c r="A50" i="84"/>
  <c r="A49" i="84"/>
  <c r="A48" i="84"/>
  <c r="A47" i="84"/>
  <c r="A43" i="84"/>
  <c r="A42" i="84"/>
  <c r="A41" i="84"/>
  <c r="A40" i="84"/>
  <c r="A39" i="84"/>
  <c r="A38" i="84"/>
  <c r="A37" i="84"/>
  <c r="A36" i="84"/>
  <c r="A35" i="84"/>
  <c r="A34" i="84"/>
  <c r="A33" i="84"/>
  <c r="A32" i="84"/>
  <c r="A31" i="84"/>
  <c r="A30" i="84"/>
  <c r="A29" i="84"/>
  <c r="A28" i="84"/>
  <c r="A27" i="84"/>
  <c r="A23" i="84"/>
  <c r="A22" i="84"/>
  <c r="A21" i="84"/>
  <c r="A20" i="84"/>
  <c r="A19" i="84"/>
  <c r="A18" i="84"/>
  <c r="A17" i="84"/>
  <c r="A16" i="84"/>
  <c r="A15" i="84"/>
  <c r="A14" i="84"/>
  <c r="A13" i="84"/>
  <c r="A12" i="84"/>
  <c r="A11" i="84"/>
  <c r="A10" i="84"/>
  <c r="A9" i="84"/>
  <c r="A5" i="84"/>
  <c r="A4" i="84"/>
  <c r="A3" i="84"/>
  <c r="A156" i="83"/>
  <c r="A126" i="83"/>
  <c r="A96" i="83"/>
  <c r="A66" i="83"/>
  <c r="A55" i="83"/>
  <c r="A54" i="83"/>
  <c r="A53" i="83"/>
  <c r="A52" i="83"/>
  <c r="A51" i="83"/>
  <c r="A50" i="83"/>
  <c r="A49" i="83"/>
  <c r="A48" i="83"/>
  <c r="A47" i="83"/>
  <c r="A43" i="83"/>
  <c r="A42" i="83"/>
  <c r="A41" i="83"/>
  <c r="A40" i="83"/>
  <c r="A39" i="83"/>
  <c r="A38" i="83"/>
  <c r="A37" i="83"/>
  <c r="A36" i="83"/>
  <c r="A35" i="83"/>
  <c r="A34" i="83"/>
  <c r="A33" i="83"/>
  <c r="A32" i="83"/>
  <c r="A31" i="83"/>
  <c r="A30" i="83"/>
  <c r="A29" i="83"/>
  <c r="A28" i="83"/>
  <c r="A27" i="83"/>
  <c r="A23" i="83"/>
  <c r="A22" i="83"/>
  <c r="A21" i="83"/>
  <c r="A20" i="83"/>
  <c r="A19" i="83"/>
  <c r="A18" i="83"/>
  <c r="A17" i="83"/>
  <c r="A16" i="83"/>
  <c r="A15" i="83"/>
  <c r="A14" i="83"/>
  <c r="A13" i="83"/>
  <c r="A12" i="83"/>
  <c r="A11" i="83"/>
  <c r="A10" i="83"/>
  <c r="A9" i="83"/>
  <c r="A5" i="83"/>
  <c r="A4" i="83"/>
  <c r="A3" i="83"/>
  <c r="A66" i="88"/>
  <c r="A55" i="88"/>
  <c r="A54" i="88"/>
  <c r="A53" i="88"/>
  <c r="A52" i="88"/>
  <c r="A51" i="88"/>
  <c r="A50" i="88"/>
  <c r="A49" i="88"/>
  <c r="A48" i="88"/>
  <c r="A47" i="88"/>
  <c r="A43" i="88"/>
  <c r="A42" i="88"/>
  <c r="A41" i="88"/>
  <c r="A40" i="88"/>
  <c r="A39" i="88"/>
  <c r="A38" i="88"/>
  <c r="A37" i="88"/>
  <c r="A36" i="88"/>
  <c r="A35" i="88"/>
  <c r="A34" i="88"/>
  <c r="A33" i="88"/>
  <c r="A32" i="88"/>
  <c r="A31" i="88"/>
  <c r="A30" i="88"/>
  <c r="A29" i="88"/>
  <c r="A28" i="88"/>
  <c r="A27" i="88"/>
  <c r="A23" i="88"/>
  <c r="A22" i="88"/>
  <c r="A21" i="88"/>
  <c r="A20" i="88"/>
  <c r="A19" i="88"/>
  <c r="A18" i="88"/>
  <c r="A17" i="88"/>
  <c r="A16" i="88"/>
  <c r="A15" i="88"/>
  <c r="A14" i="88"/>
  <c r="A13" i="88"/>
  <c r="A12" i="88"/>
  <c r="A11" i="88"/>
  <c r="A10" i="88"/>
  <c r="A9" i="88"/>
  <c r="A5" i="88"/>
  <c r="A4" i="88"/>
  <c r="A3" i="88"/>
  <c r="A55" i="78"/>
  <c r="A54" i="78"/>
  <c r="A53" i="78"/>
  <c r="A52" i="78"/>
  <c r="A51" i="78"/>
  <c r="A50" i="78"/>
  <c r="A49" i="78"/>
  <c r="A48" i="78"/>
  <c r="A47" i="78"/>
  <c r="A43" i="78"/>
  <c r="A42" i="78"/>
  <c r="A41" i="78"/>
  <c r="A40" i="78"/>
  <c r="A39" i="78"/>
  <c r="A38" i="78"/>
  <c r="A37" i="78"/>
  <c r="A36" i="78"/>
  <c r="A35" i="78"/>
  <c r="A34" i="78"/>
  <c r="A33" i="78"/>
  <c r="A32" i="78"/>
  <c r="A31" i="78"/>
  <c r="A30" i="78"/>
  <c r="A29" i="78"/>
  <c r="A28" i="78"/>
  <c r="A27" i="78"/>
  <c r="A23" i="78"/>
  <c r="A22" i="78"/>
  <c r="A21" i="78"/>
  <c r="A20" i="78"/>
  <c r="A19" i="78"/>
  <c r="A18" i="78"/>
  <c r="A17" i="78"/>
  <c r="A16" i="78"/>
  <c r="A15" i="78"/>
  <c r="A14" i="78"/>
  <c r="A13" i="78"/>
  <c r="A12" i="78"/>
  <c r="A11" i="78"/>
  <c r="A10" i="78"/>
  <c r="A9" i="78"/>
  <c r="A5" i="78"/>
  <c r="A4" i="78"/>
  <c r="A3" i="78"/>
  <c r="A55" i="112"/>
  <c r="A54" i="112"/>
  <c r="A53" i="112"/>
  <c r="A52" i="112"/>
  <c r="A51" i="112"/>
  <c r="A50" i="112"/>
  <c r="A49" i="112"/>
  <c r="A48" i="112"/>
  <c r="A47" i="112"/>
  <c r="A43" i="112"/>
  <c r="A42" i="112"/>
  <c r="A41" i="112"/>
  <c r="A40" i="112"/>
  <c r="A39" i="112"/>
  <c r="A38" i="112"/>
  <c r="A37" i="112"/>
  <c r="A36" i="112"/>
  <c r="A35" i="112"/>
  <c r="A34" i="112"/>
  <c r="A33" i="112"/>
  <c r="A32" i="112"/>
  <c r="A31" i="112"/>
  <c r="A30" i="112"/>
  <c r="A29" i="112"/>
  <c r="A28" i="112"/>
  <c r="A27" i="112"/>
  <c r="A23" i="112"/>
  <c r="A22" i="112"/>
  <c r="A21" i="112"/>
  <c r="A20" i="112"/>
  <c r="A19" i="112"/>
  <c r="A18" i="112"/>
  <c r="A17" i="112"/>
  <c r="A16" i="112"/>
  <c r="A15" i="112"/>
  <c r="A14" i="112"/>
  <c r="A13" i="112"/>
  <c r="A12" i="112"/>
  <c r="A11" i="112"/>
  <c r="A10" i="112"/>
  <c r="A9" i="112"/>
  <c r="A5" i="112"/>
  <c r="A4" i="112"/>
  <c r="A3" i="112"/>
  <c r="A55" i="105"/>
  <c r="A54" i="105"/>
  <c r="A53" i="105"/>
  <c r="A52" i="105"/>
  <c r="A51" i="105"/>
  <c r="A50" i="105"/>
  <c r="A49" i="105"/>
  <c r="A48" i="105"/>
  <c r="A47" i="105"/>
  <c r="A43" i="105"/>
  <c r="A42" i="105"/>
  <c r="A41" i="105"/>
  <c r="A40" i="105"/>
  <c r="A39" i="105"/>
  <c r="A38" i="105"/>
  <c r="A37" i="105"/>
  <c r="A36" i="105"/>
  <c r="A35" i="105"/>
  <c r="A34" i="105"/>
  <c r="A33" i="105"/>
  <c r="A32" i="105"/>
  <c r="A31" i="105"/>
  <c r="A30" i="105"/>
  <c r="A29" i="105"/>
  <c r="A28" i="105"/>
  <c r="A27" i="105"/>
  <c r="A23" i="105"/>
  <c r="A22" i="105"/>
  <c r="A21" i="105"/>
  <c r="A20" i="105"/>
  <c r="A19" i="105"/>
  <c r="A18" i="105"/>
  <c r="A17" i="105"/>
  <c r="A16" i="105"/>
  <c r="A15" i="105"/>
  <c r="A14" i="105"/>
  <c r="A13" i="105"/>
  <c r="A12" i="105"/>
  <c r="A11" i="105"/>
  <c r="A10" i="105"/>
  <c r="A9" i="105"/>
  <c r="A5" i="105"/>
  <c r="A4" i="105"/>
  <c r="A3" i="105"/>
  <c r="A55" i="111"/>
  <c r="A54" i="111"/>
  <c r="A53" i="111"/>
  <c r="A52" i="111"/>
  <c r="A51" i="111"/>
  <c r="A50" i="111"/>
  <c r="A49" i="111"/>
  <c r="A48" i="111"/>
  <c r="A47" i="111"/>
  <c r="A43" i="111"/>
  <c r="A42" i="111"/>
  <c r="A41" i="111"/>
  <c r="A40" i="111"/>
  <c r="A39" i="111"/>
  <c r="A38" i="111"/>
  <c r="A37" i="111"/>
  <c r="A36" i="111"/>
  <c r="A35" i="111"/>
  <c r="A34" i="111"/>
  <c r="A33" i="111"/>
  <c r="A32" i="111"/>
  <c r="A31" i="111"/>
  <c r="A30" i="111"/>
  <c r="A29" i="111"/>
  <c r="A28" i="111"/>
  <c r="A27" i="111"/>
  <c r="A23" i="111"/>
  <c r="A22" i="111"/>
  <c r="A21" i="111"/>
  <c r="A20" i="111"/>
  <c r="A19" i="111"/>
  <c r="A18" i="111"/>
  <c r="A17" i="111"/>
  <c r="A16" i="111"/>
  <c r="A15" i="111"/>
  <c r="A14" i="111"/>
  <c r="A13" i="111"/>
  <c r="A12" i="111"/>
  <c r="A11" i="111"/>
  <c r="A10" i="111"/>
  <c r="A9" i="111"/>
  <c r="A5" i="111"/>
  <c r="A4" i="111"/>
  <c r="A3" i="111"/>
  <c r="A55" i="110"/>
  <c r="A54" i="110"/>
  <c r="A53" i="110"/>
  <c r="A52" i="110"/>
  <c r="A51" i="110"/>
  <c r="A50" i="110"/>
  <c r="A49" i="110"/>
  <c r="A48" i="110"/>
  <c r="A47" i="110"/>
  <c r="A43" i="110"/>
  <c r="A42" i="110"/>
  <c r="A41" i="110"/>
  <c r="A40" i="110"/>
  <c r="A39" i="110"/>
  <c r="A38" i="110"/>
  <c r="A37" i="110"/>
  <c r="A36" i="110"/>
  <c r="A35" i="110"/>
  <c r="A34" i="110"/>
  <c r="A33" i="110"/>
  <c r="A32" i="110"/>
  <c r="A31" i="110"/>
  <c r="A30" i="110"/>
  <c r="A29" i="110"/>
  <c r="A28" i="110"/>
  <c r="A27" i="110"/>
  <c r="A23" i="110"/>
  <c r="A22" i="110"/>
  <c r="A21" i="110"/>
  <c r="A20" i="110"/>
  <c r="A19" i="110"/>
  <c r="A18" i="110"/>
  <c r="A17" i="110"/>
  <c r="A16" i="110"/>
  <c r="A15" i="110"/>
  <c r="A14" i="110"/>
  <c r="A13" i="110"/>
  <c r="A12" i="110"/>
  <c r="A11" i="110"/>
  <c r="A10" i="110"/>
  <c r="A9" i="110"/>
  <c r="A5" i="110"/>
  <c r="A4" i="110"/>
  <c r="A3" i="110"/>
  <c r="A55" i="109"/>
  <c r="A54" i="109"/>
  <c r="A53" i="109"/>
  <c r="A52" i="109"/>
  <c r="A51" i="109"/>
  <c r="A50" i="109"/>
  <c r="A49" i="109"/>
  <c r="A48" i="109"/>
  <c r="A47" i="109"/>
  <c r="A43" i="109"/>
  <c r="A42" i="109"/>
  <c r="A41" i="109"/>
  <c r="A40" i="109"/>
  <c r="A39" i="109"/>
  <c r="A38" i="109"/>
  <c r="A37" i="109"/>
  <c r="A36" i="109"/>
  <c r="A35" i="109"/>
  <c r="A34" i="109"/>
  <c r="A33" i="109"/>
  <c r="A32" i="109"/>
  <c r="A31" i="109"/>
  <c r="A30" i="109"/>
  <c r="A29" i="109"/>
  <c r="A28" i="109"/>
  <c r="A27" i="109"/>
  <c r="A23" i="109"/>
  <c r="A22" i="109"/>
  <c r="A21" i="109"/>
  <c r="A20" i="109"/>
  <c r="A19" i="109"/>
  <c r="A18" i="109"/>
  <c r="A17" i="109"/>
  <c r="A16" i="109"/>
  <c r="A15" i="109"/>
  <c r="A14" i="109"/>
  <c r="A13" i="109"/>
  <c r="A12" i="109"/>
  <c r="A11" i="109"/>
  <c r="A10" i="109"/>
  <c r="A9" i="109"/>
  <c r="A5" i="109"/>
  <c r="A4" i="109"/>
  <c r="A3" i="109"/>
  <c r="A55" i="89"/>
  <c r="A54" i="89"/>
  <c r="A53" i="89"/>
  <c r="A52" i="89"/>
  <c r="A51" i="89"/>
  <c r="A50" i="89"/>
  <c r="A49" i="89"/>
  <c r="A48" i="89"/>
  <c r="A47" i="89"/>
  <c r="A43" i="89"/>
  <c r="A42" i="89"/>
  <c r="A41" i="89"/>
  <c r="A40" i="89"/>
  <c r="A39" i="89"/>
  <c r="A38" i="89"/>
  <c r="A37" i="89"/>
  <c r="A36" i="89"/>
  <c r="A35" i="89"/>
  <c r="A34" i="89"/>
  <c r="A33" i="89"/>
  <c r="A32" i="89"/>
  <c r="A31" i="89"/>
  <c r="A30" i="89"/>
  <c r="A29" i="89"/>
  <c r="A28" i="89"/>
  <c r="A27" i="89"/>
  <c r="A23" i="89"/>
  <c r="A22" i="89"/>
  <c r="A21" i="89"/>
  <c r="A20" i="89"/>
  <c r="A19" i="89"/>
  <c r="A18" i="89"/>
  <c r="A17" i="89"/>
  <c r="A16" i="89"/>
  <c r="A15" i="89"/>
  <c r="A14" i="89"/>
  <c r="A13" i="89"/>
  <c r="A12" i="89"/>
  <c r="A11" i="89"/>
  <c r="A10" i="89"/>
  <c r="A9" i="89"/>
  <c r="A5" i="89"/>
  <c r="A4" i="89"/>
  <c r="A3" i="89"/>
  <c r="A55" i="92"/>
  <c r="A54" i="92"/>
  <c r="A53" i="92"/>
  <c r="A52" i="92"/>
  <c r="A51" i="92"/>
  <c r="A50" i="92"/>
  <c r="A49" i="92"/>
  <c r="A48" i="92"/>
  <c r="A47" i="92"/>
  <c r="A43" i="92"/>
  <c r="A42" i="92"/>
  <c r="A41" i="92"/>
  <c r="A40" i="92"/>
  <c r="A39" i="92"/>
  <c r="A38" i="92"/>
  <c r="A37" i="92"/>
  <c r="A36" i="92"/>
  <c r="A35" i="92"/>
  <c r="A34" i="92"/>
  <c r="A33" i="92"/>
  <c r="A32" i="92"/>
  <c r="A31" i="92"/>
  <c r="A30" i="92"/>
  <c r="A29" i="92"/>
  <c r="A28" i="92"/>
  <c r="A27" i="92"/>
  <c r="A23" i="92"/>
  <c r="A22" i="92"/>
  <c r="A21" i="92"/>
  <c r="A20" i="92"/>
  <c r="A19" i="92"/>
  <c r="A18" i="92"/>
  <c r="A17" i="92"/>
  <c r="A16" i="92"/>
  <c r="A15" i="92"/>
  <c r="A14" i="92"/>
  <c r="A13" i="92"/>
  <c r="A12" i="92"/>
  <c r="A11" i="92"/>
  <c r="A10" i="92"/>
  <c r="A9" i="92"/>
  <c r="A5" i="92"/>
  <c r="A4" i="92"/>
  <c r="A3" i="92"/>
  <c r="A55" i="108"/>
  <c r="A54" i="108"/>
  <c r="A53" i="108"/>
  <c r="A52" i="108"/>
  <c r="A51" i="108"/>
  <c r="A50" i="108"/>
  <c r="A49" i="108"/>
  <c r="A48" i="108"/>
  <c r="A47" i="108"/>
  <c r="A43" i="108"/>
  <c r="A42" i="108"/>
  <c r="A41" i="108"/>
  <c r="A40" i="108"/>
  <c r="A39" i="108"/>
  <c r="A38" i="108"/>
  <c r="A37" i="108"/>
  <c r="A36" i="108"/>
  <c r="A35" i="108"/>
  <c r="A34" i="108"/>
  <c r="A33" i="108"/>
  <c r="A32" i="108"/>
  <c r="A31" i="108"/>
  <c r="A30" i="108"/>
  <c r="A29" i="108"/>
  <c r="A28" i="108"/>
  <c r="A27" i="108"/>
  <c r="A23" i="108"/>
  <c r="A22" i="108"/>
  <c r="A21" i="108"/>
  <c r="A20" i="108"/>
  <c r="A19" i="108"/>
  <c r="A18" i="108"/>
  <c r="A17" i="108"/>
  <c r="A16" i="108"/>
  <c r="A15" i="108"/>
  <c r="A14" i="108"/>
  <c r="A13" i="108"/>
  <c r="A12" i="108"/>
  <c r="A11" i="108"/>
  <c r="A10" i="108"/>
  <c r="A9" i="108"/>
  <c r="A5" i="108"/>
  <c r="A4" i="108"/>
  <c r="A3" i="108"/>
  <c r="A55" i="81"/>
  <c r="A54" i="81"/>
  <c r="A53" i="81"/>
  <c r="A52" i="81"/>
  <c r="A51" i="81"/>
  <c r="A50" i="81"/>
  <c r="A49" i="81"/>
  <c r="A48" i="81"/>
  <c r="A47" i="81"/>
  <c r="A43" i="81"/>
  <c r="A42" i="81"/>
  <c r="A41" i="81"/>
  <c r="A40" i="81"/>
  <c r="A39" i="81"/>
  <c r="A38" i="81"/>
  <c r="A37" i="81"/>
  <c r="A36" i="81"/>
  <c r="A35" i="81"/>
  <c r="A34" i="81"/>
  <c r="A33" i="81"/>
  <c r="A32" i="81"/>
  <c r="A31" i="81"/>
  <c r="A30" i="81"/>
  <c r="A29" i="81"/>
  <c r="A28" i="81"/>
  <c r="A27" i="81"/>
  <c r="A23" i="81"/>
  <c r="A22" i="81"/>
  <c r="A21" i="81"/>
  <c r="A20" i="81"/>
  <c r="A19" i="81"/>
  <c r="A18" i="81"/>
  <c r="A17" i="81"/>
  <c r="A16" i="81"/>
  <c r="A15" i="81"/>
  <c r="A14" i="81"/>
  <c r="A13" i="81"/>
  <c r="A12" i="81"/>
  <c r="A11" i="81"/>
  <c r="A10" i="81"/>
  <c r="A9" i="81"/>
  <c r="A5" i="81"/>
  <c r="A4" i="81"/>
  <c r="A3" i="81"/>
  <c r="A55" i="82"/>
  <c r="A54" i="82"/>
  <c r="A53" i="82"/>
  <c r="A52" i="82"/>
  <c r="A51" i="82"/>
  <c r="A50" i="82"/>
  <c r="A49" i="82"/>
  <c r="A48" i="82"/>
  <c r="A47" i="82"/>
  <c r="A43" i="82"/>
  <c r="A42" i="82"/>
  <c r="A41" i="82"/>
  <c r="A40" i="82"/>
  <c r="A39" i="82"/>
  <c r="A38" i="82"/>
  <c r="A37" i="82"/>
  <c r="A36" i="82"/>
  <c r="A35" i="82"/>
  <c r="A34" i="82"/>
  <c r="A33" i="82"/>
  <c r="A32" i="82"/>
  <c r="A31" i="82"/>
  <c r="A30" i="82"/>
  <c r="A29" i="82"/>
  <c r="A28" i="82"/>
  <c r="A27" i="82"/>
  <c r="A23" i="82"/>
  <c r="A22" i="82"/>
  <c r="A21" i="82"/>
  <c r="A20" i="82"/>
  <c r="A19" i="82"/>
  <c r="A18" i="82"/>
  <c r="A17" i="82"/>
  <c r="A16" i="82"/>
  <c r="A15" i="82"/>
  <c r="A14" i="82"/>
  <c r="A13" i="82"/>
  <c r="A12" i="82"/>
  <c r="A11" i="82"/>
  <c r="A10" i="82"/>
  <c r="A9" i="82"/>
  <c r="A5" i="82"/>
  <c r="A4" i="82"/>
  <c r="A3" i="82"/>
  <c r="A55" i="75"/>
  <c r="A54" i="75"/>
  <c r="A53" i="75"/>
  <c r="A52" i="75"/>
  <c r="A51" i="75"/>
  <c r="A50" i="75"/>
  <c r="A49" i="75"/>
  <c r="A48" i="75"/>
  <c r="A47" i="75"/>
  <c r="A43" i="75"/>
  <c r="A42" i="75"/>
  <c r="A41" i="75"/>
  <c r="A40" i="75"/>
  <c r="A39" i="75"/>
  <c r="A38" i="75"/>
  <c r="A37" i="75"/>
  <c r="A36" i="75"/>
  <c r="A35" i="75"/>
  <c r="A34" i="75"/>
  <c r="A33" i="75"/>
  <c r="A32" i="75"/>
  <c r="A31" i="75"/>
  <c r="A30" i="75"/>
  <c r="A29" i="75"/>
  <c r="A28" i="75"/>
  <c r="A27" i="75"/>
  <c r="A23" i="75"/>
  <c r="A22" i="75"/>
  <c r="A21" i="75"/>
  <c r="A20" i="75"/>
  <c r="A19" i="75"/>
  <c r="A18" i="75"/>
  <c r="A17" i="75"/>
  <c r="A16" i="75"/>
  <c r="A15" i="75"/>
  <c r="A14" i="75"/>
  <c r="A13" i="75"/>
  <c r="A12" i="75"/>
  <c r="A11" i="75"/>
  <c r="A10" i="75"/>
  <c r="A9" i="75"/>
  <c r="A5" i="75"/>
  <c r="A4" i="75"/>
  <c r="A3" i="75"/>
  <c r="A66" i="72"/>
  <c r="A55" i="72"/>
  <c r="A54" i="72"/>
  <c r="A53" i="72"/>
  <c r="A52" i="72"/>
  <c r="A51" i="72"/>
  <c r="A50" i="72"/>
  <c r="A49" i="72"/>
  <c r="A48" i="72"/>
  <c r="A47" i="72"/>
  <c r="A43" i="72"/>
  <c r="A42" i="72"/>
  <c r="A41" i="72"/>
  <c r="A40" i="72"/>
  <c r="A39" i="72"/>
  <c r="A38" i="72"/>
  <c r="A37" i="72"/>
  <c r="A36" i="72"/>
  <c r="A35" i="72"/>
  <c r="A34" i="72"/>
  <c r="A33" i="72"/>
  <c r="A32" i="72"/>
  <c r="A31" i="72"/>
  <c r="A30" i="72"/>
  <c r="A29" i="72"/>
  <c r="A28" i="72"/>
  <c r="A27" i="72"/>
  <c r="A23" i="72"/>
  <c r="A22" i="72"/>
  <c r="A21" i="72"/>
  <c r="A20" i="72"/>
  <c r="A19" i="72"/>
  <c r="A18" i="72"/>
  <c r="A17" i="72"/>
  <c r="A16" i="72"/>
  <c r="A15" i="72"/>
  <c r="A14" i="72"/>
  <c r="A13" i="72"/>
  <c r="A12" i="72"/>
  <c r="A11" i="72"/>
  <c r="A10" i="72"/>
  <c r="A9" i="72"/>
  <c r="A5" i="72"/>
  <c r="A4" i="72"/>
  <c r="A3" i="72"/>
  <c r="A55" i="80"/>
  <c r="A54" i="80"/>
  <c r="A53" i="80"/>
  <c r="A52" i="80"/>
  <c r="A51" i="80"/>
  <c r="A50" i="80"/>
  <c r="A49" i="80"/>
  <c r="A48" i="80"/>
  <c r="A47" i="80"/>
  <c r="A43" i="80"/>
  <c r="A42" i="80"/>
  <c r="A41" i="80"/>
  <c r="A40" i="80"/>
  <c r="A39" i="80"/>
  <c r="A38" i="80"/>
  <c r="A37" i="80"/>
  <c r="A36" i="80"/>
  <c r="A35" i="80"/>
  <c r="A34" i="80"/>
  <c r="A33" i="80"/>
  <c r="A32" i="80"/>
  <c r="A31" i="80"/>
  <c r="A30" i="80"/>
  <c r="A29" i="80"/>
  <c r="A28" i="80"/>
  <c r="A27" i="80"/>
  <c r="A23" i="80"/>
  <c r="A22" i="80"/>
  <c r="A21" i="80"/>
  <c r="A20" i="80"/>
  <c r="A19" i="80"/>
  <c r="A18" i="80"/>
  <c r="A17" i="80"/>
  <c r="A16" i="80"/>
  <c r="A15" i="80"/>
  <c r="A14" i="80"/>
  <c r="A13" i="80"/>
  <c r="A12" i="80"/>
  <c r="A11" i="80"/>
  <c r="A10" i="80"/>
  <c r="A9" i="80"/>
  <c r="A5" i="80"/>
  <c r="A4" i="80"/>
  <c r="A3" i="80"/>
  <c r="A55" i="13"/>
  <c r="A54" i="13"/>
  <c r="A53" i="13"/>
  <c r="A52" i="13"/>
  <c r="A51" i="13"/>
  <c r="A50" i="13"/>
  <c r="A49" i="13"/>
  <c r="A48" i="13"/>
  <c r="A47" i="13"/>
  <c r="A43" i="13"/>
  <c r="A42" i="13"/>
  <c r="A41" i="13"/>
  <c r="A40" i="13"/>
  <c r="A39" i="13"/>
  <c r="A38" i="13"/>
  <c r="A37" i="13"/>
  <c r="A36" i="13"/>
  <c r="A35" i="13"/>
  <c r="A34" i="13"/>
  <c r="A33" i="13"/>
  <c r="A32" i="13"/>
  <c r="A31" i="13"/>
  <c r="A30" i="13"/>
  <c r="A29" i="13"/>
  <c r="A28" i="13"/>
  <c r="A27" i="13"/>
  <c r="A23" i="13"/>
  <c r="A22" i="13"/>
  <c r="A21" i="13"/>
  <c r="A20" i="13"/>
  <c r="A19" i="13"/>
  <c r="A18" i="13"/>
  <c r="A17" i="13"/>
  <c r="A16" i="13"/>
  <c r="A15" i="13"/>
  <c r="A14" i="13"/>
  <c r="A13" i="13"/>
  <c r="A12" i="13"/>
  <c r="A11" i="13"/>
  <c r="A10" i="13"/>
  <c r="A9" i="13"/>
  <c r="A5" i="13"/>
  <c r="A4" i="13"/>
  <c r="A3" i="13"/>
  <c r="A55" i="71"/>
  <c r="A54" i="71"/>
  <c r="A53" i="71"/>
  <c r="A52" i="71"/>
  <c r="A51" i="71"/>
  <c r="A50" i="71"/>
  <c r="A49" i="71"/>
  <c r="A48" i="71"/>
  <c r="A47" i="71"/>
  <c r="A43" i="71"/>
  <c r="A42" i="71"/>
  <c r="A41" i="71"/>
  <c r="A40" i="71"/>
  <c r="A39" i="71"/>
  <c r="A38" i="71"/>
  <c r="A37" i="71"/>
  <c r="A36" i="71"/>
  <c r="A35" i="71"/>
  <c r="A34" i="71"/>
  <c r="A33" i="71"/>
  <c r="A32" i="71"/>
  <c r="A31" i="71"/>
  <c r="A30" i="71"/>
  <c r="A29" i="71"/>
  <c r="A28" i="71"/>
  <c r="A27" i="71"/>
  <c r="A23" i="71"/>
  <c r="A22" i="71"/>
  <c r="A21" i="71"/>
  <c r="A20" i="71"/>
  <c r="A19" i="71"/>
  <c r="A18" i="71"/>
  <c r="A17" i="71"/>
  <c r="A16" i="71"/>
  <c r="A15" i="71"/>
  <c r="A14" i="71"/>
  <c r="A13" i="71"/>
  <c r="A12" i="71"/>
  <c r="A11" i="71"/>
  <c r="A10" i="71"/>
  <c r="A9" i="71"/>
  <c r="A5" i="71"/>
  <c r="A4" i="71"/>
  <c r="A3" i="71"/>
  <c r="D75" i="103"/>
  <c r="D74" i="103"/>
  <c r="D73" i="103"/>
  <c r="D72" i="103"/>
  <c r="D71" i="103"/>
  <c r="D70" i="103"/>
  <c r="D69" i="103"/>
  <c r="D68" i="103"/>
  <c r="D134" i="102" a="1"/>
  <c r="D134" i="102" s="1"/>
  <c r="D102" i="102" a="1"/>
  <c r="D102" i="102" s="1"/>
  <c r="G25" i="101" a="1"/>
  <c r="G25" i="101" s="1"/>
  <c r="F25" i="101" a="1"/>
  <c r="F25" i="101" s="1"/>
  <c r="D25" i="101" a="1"/>
  <c r="D25" i="101" s="1"/>
  <c r="H20" i="100" a="1"/>
  <c r="H20" i="100" s="1"/>
  <c r="E20" i="100" a="1"/>
  <c r="E20" i="100" s="1"/>
  <c r="D20" i="100" a="1"/>
  <c r="D20" i="100" s="1"/>
  <c r="N21" i="98" a="1"/>
  <c r="N21" i="98" s="1"/>
  <c r="N11" i="98" a="1"/>
  <c r="N11" i="98" s="1"/>
  <c r="E32" i="87"/>
  <c r="F642" i="113" a="1"/>
  <c r="F642" i="113" s="1"/>
  <c r="E642" i="113" a="1"/>
  <c r="E642" i="113" s="1"/>
  <c r="D642" i="113" a="1"/>
  <c r="D642" i="113" s="1"/>
  <c r="F624" i="113" a="1"/>
  <c r="F624" i="113" s="1"/>
  <c r="E624" i="113" a="1"/>
  <c r="E624" i="113" s="1"/>
  <c r="D624" i="113" a="1"/>
  <c r="D624" i="113" s="1"/>
  <c r="F505" i="113" a="1"/>
  <c r="F505" i="113" s="1"/>
  <c r="E505" i="113" a="1"/>
  <c r="E505" i="113" s="1"/>
  <c r="D505" i="113" a="1"/>
  <c r="D505" i="113" s="1"/>
  <c r="F463" i="113" a="1"/>
  <c r="F463" i="113" s="1"/>
  <c r="J463" i="113" s="1" a="1"/>
  <c r="J463" i="113" s="1"/>
  <c r="E463" i="113" a="1"/>
  <c r="E463" i="113" s="1"/>
  <c r="D463" i="113" a="1"/>
  <c r="D463" i="113" s="1"/>
  <c r="F445" i="113" a="1"/>
  <c r="F445" i="113" s="1"/>
  <c r="J445" i="113" s="1" a="1"/>
  <c r="J445" i="113" s="1"/>
  <c r="E445" i="113" a="1"/>
  <c r="E445" i="113" s="1"/>
  <c r="D445" i="113" a="1"/>
  <c r="D445" i="113" s="1"/>
  <c r="G382" i="113" a="1"/>
  <c r="G382" i="113" s="1"/>
  <c r="G351" i="113" a="1"/>
  <c r="G351" i="113" s="1"/>
  <c r="F351" i="113" a="1"/>
  <c r="F351" i="113" s="1"/>
  <c r="K351" i="113" s="1" a="1"/>
  <c r="K351" i="113" s="1"/>
  <c r="E351" i="113" a="1"/>
  <c r="E351" i="113" s="1"/>
  <c r="D351" i="113" a="1"/>
  <c r="D351" i="113" s="1"/>
  <c r="D320" i="113" a="1"/>
  <c r="D320" i="113" s="1"/>
  <c r="AD252" i="113" a="1"/>
  <c r="AD252" i="113" s="1"/>
  <c r="AC252" i="113" a="1"/>
  <c r="AC252" i="113" s="1"/>
  <c r="Z252" i="113" a="1"/>
  <c r="Z252" i="113" s="1"/>
  <c r="Y252" i="113" a="1"/>
  <c r="Y252" i="113" s="1"/>
  <c r="V252" i="113" a="1"/>
  <c r="V252" i="113" s="1"/>
  <c r="U252" i="113" a="1"/>
  <c r="U252" i="113" s="1"/>
  <c r="R252" i="113" a="1"/>
  <c r="R252" i="113" s="1"/>
  <c r="Q252" i="113" a="1"/>
  <c r="P252" i="113" a="1"/>
  <c r="O252" i="113" a="1"/>
  <c r="O252" i="113" s="1"/>
  <c r="D252" i="113" a="1"/>
  <c r="D252" i="113" s="1"/>
  <c r="D236" i="113" a="1"/>
  <c r="D236" i="113" s="1"/>
  <c r="F149" i="113" a="1"/>
  <c r="F149" i="113" s="1"/>
  <c r="AA120" i="113" a="1"/>
  <c r="AA120" i="113" s="1"/>
  <c r="Z120" i="113" a="1"/>
  <c r="Z120" i="113" s="1"/>
  <c r="Y120" i="113" a="1"/>
  <c r="Y120" i="113" s="1"/>
  <c r="W120" i="113" a="1"/>
  <c r="W120" i="113" s="1"/>
  <c r="V120" i="113" a="1"/>
  <c r="V120" i="113" s="1"/>
  <c r="U120" i="113" a="1"/>
  <c r="U120" i="113" s="1"/>
  <c r="S120" i="113" a="1"/>
  <c r="S120" i="113" s="1"/>
  <c r="R120" i="113" a="1"/>
  <c r="R120" i="113" s="1"/>
  <c r="Q120" i="113" a="1"/>
  <c r="Q120" i="113" s="1"/>
  <c r="O120" i="113" a="1"/>
  <c r="O120" i="113" s="1"/>
  <c r="N120" i="113" a="1"/>
  <c r="N120" i="113" s="1"/>
  <c r="M120" i="113" a="1"/>
  <c r="M120" i="113" s="1"/>
  <c r="E120" i="113" a="1"/>
  <c r="E120" i="113" s="1"/>
  <c r="D120" i="113" a="1"/>
  <c r="D120" i="113" s="1"/>
  <c r="K23" i="113" a="1"/>
  <c r="K23" i="113" s="1"/>
  <c r="H23" i="113" a="1"/>
  <c r="H23" i="113" s="1"/>
  <c r="G23" i="113" a="1"/>
  <c r="G23" i="113" s="1"/>
  <c r="F23" i="113" a="1"/>
  <c r="F23" i="113" s="1"/>
  <c r="E23" i="113" a="1"/>
  <c r="E23" i="113" s="1"/>
  <c r="D23" i="113" a="1"/>
  <c r="D23" i="113" s="1"/>
  <c r="D32" i="94"/>
  <c r="D25" i="94"/>
  <c r="M39" i="93" a="1"/>
  <c r="M39" i="93" s="1"/>
  <c r="F39" i="93"/>
  <c r="D37" i="93"/>
  <c r="D34" i="93"/>
  <c r="D33" i="93"/>
  <c r="D25" i="93"/>
  <c r="I62" i="85"/>
  <c r="I61" i="85"/>
  <c r="J21" i="92" a="1"/>
  <c r="J21" i="92" s="1"/>
  <c r="G21" i="92" a="1"/>
  <c r="G21" i="92" s="1"/>
  <c r="J20" i="92" a="1"/>
  <c r="J20" i="92" s="1"/>
  <c r="G20" i="92" a="1"/>
  <c r="G20" i="92" s="1"/>
  <c r="J19" i="92" a="1"/>
  <c r="J19" i="92" s="1"/>
  <c r="G19" i="92" a="1"/>
  <c r="G19" i="92" s="1"/>
  <c r="J18" i="92" a="1"/>
  <c r="J18" i="92" s="1"/>
  <c r="G18" i="92" a="1"/>
  <c r="G18" i="92" s="1"/>
  <c r="J17" i="92" a="1"/>
  <c r="J17" i="92" s="1"/>
  <c r="G17" i="92" a="1"/>
  <c r="G17" i="92" s="1"/>
  <c r="F27" i="116" a="1"/>
  <c r="F27" i="116" s="1"/>
  <c r="E27" i="116" a="1"/>
  <c r="E27" i="116" s="1"/>
  <c r="D27" i="116" a="1"/>
  <c r="D27" i="116" s="1"/>
  <c r="F26" i="116" a="1"/>
  <c r="F26" i="116" s="1"/>
  <c r="E31" i="87" s="1"/>
  <c r="E26" i="116" a="1"/>
  <c r="E26" i="116" s="1"/>
  <c r="D31" i="87" s="1"/>
  <c r="D26" i="116" a="1"/>
  <c r="D26" i="116" s="1"/>
  <c r="F25" i="116" a="1"/>
  <c r="F25" i="116" s="1"/>
  <c r="E25" i="116" a="1"/>
  <c r="E25" i="116" s="1"/>
  <c r="D25" i="116" a="1"/>
  <c r="D25" i="116" s="1"/>
  <c r="F24" i="116" a="1"/>
  <c r="F24" i="116" s="1"/>
  <c r="E24" i="116" a="1"/>
  <c r="E24" i="116" s="1"/>
  <c r="D24" i="116" a="1"/>
  <c r="D24" i="116" s="1"/>
  <c r="F23" i="116" a="1"/>
  <c r="F23" i="116" s="1"/>
  <c r="E23" i="116" a="1"/>
  <c r="E23" i="116" s="1"/>
  <c r="D23" i="116" a="1"/>
  <c r="D23" i="116" s="1"/>
  <c r="F22" i="116" a="1"/>
  <c r="F22" i="116" s="1"/>
  <c r="E22" i="116" a="1"/>
  <c r="E22" i="116" s="1"/>
  <c r="D22" i="116" a="1"/>
  <c r="D22" i="116" s="1"/>
  <c r="F21" i="116" a="1"/>
  <c r="F21" i="116" s="1"/>
  <c r="E21" i="116" a="1"/>
  <c r="E21" i="116" s="1"/>
  <c r="D21" i="116" a="1"/>
  <c r="D21" i="116" s="1"/>
  <c r="F20" i="116" a="1"/>
  <c r="F20" i="116" s="1"/>
  <c r="E20" i="116" a="1"/>
  <c r="E20" i="116" s="1"/>
  <c r="D20" i="116" a="1"/>
  <c r="D20" i="116" s="1"/>
  <c r="F19" i="116" a="1"/>
  <c r="F19" i="116" s="1"/>
  <c r="E19" i="116" a="1"/>
  <c r="E19" i="116" s="1"/>
  <c r="D19" i="116" a="1"/>
  <c r="D19" i="116" s="1"/>
  <c r="F18" i="116" a="1"/>
  <c r="F18" i="116" s="1"/>
  <c r="E18" i="116" a="1"/>
  <c r="E18" i="116" s="1"/>
  <c r="D18" i="116" a="1"/>
  <c r="D18" i="116" s="1"/>
  <c r="F17" i="116" a="1"/>
  <c r="F17" i="116" s="1"/>
  <c r="E30" i="87" s="1"/>
  <c r="E17" i="116" a="1"/>
  <c r="E17" i="116" s="1"/>
  <c r="D30" i="87" s="1"/>
  <c r="D37" i="82" s="1"/>
  <c r="D17" i="116" a="1"/>
  <c r="D17" i="116" s="1"/>
  <c r="F16" i="116" a="1"/>
  <c r="F16" i="116" s="1"/>
  <c r="E28" i="87" s="1"/>
  <c r="E16" i="116" a="1"/>
  <c r="E16" i="116" s="1"/>
  <c r="D28" i="87" s="1"/>
  <c r="D16" i="116" a="1"/>
  <c r="D16" i="116" s="1"/>
  <c r="F15" i="116" a="1"/>
  <c r="F15" i="116" s="1"/>
  <c r="E29" i="87" s="1"/>
  <c r="E15" i="116" a="1"/>
  <c r="E15" i="116" s="1"/>
  <c r="D29" i="87" s="1"/>
  <c r="D36" i="82" s="1"/>
  <c r="D15" i="116" a="1"/>
  <c r="D15" i="116" s="1"/>
  <c r="F14" i="116" a="1"/>
  <c r="F14" i="116" s="1"/>
  <c r="E14" i="116" a="1"/>
  <c r="E14" i="116" s="1"/>
  <c r="D14" i="116"/>
  <c r="D14" i="116" a="1"/>
  <c r="F13" i="116" a="1"/>
  <c r="F13" i="116" s="1"/>
  <c r="E13" i="116" a="1"/>
  <c r="E13" i="116" s="1"/>
  <c r="D13" i="116" a="1"/>
  <c r="D13" i="116" s="1"/>
  <c r="F12" i="116" a="1"/>
  <c r="F12" i="116" s="1"/>
  <c r="E12" i="116" a="1"/>
  <c r="E12" i="116" s="1"/>
  <c r="D12" i="116" a="1"/>
  <c r="D12" i="116" s="1"/>
  <c r="F11" i="116" a="1"/>
  <c r="F11" i="116" s="1"/>
  <c r="E11" i="116" a="1"/>
  <c r="E11" i="116" s="1"/>
  <c r="D11" i="116" a="1"/>
  <c r="D11" i="116" s="1"/>
  <c r="F10" i="116" a="1"/>
  <c r="F10" i="116" s="1"/>
  <c r="E10" i="116" a="1"/>
  <c r="E10" i="116" s="1"/>
  <c r="D32" i="87" s="1"/>
  <c r="D42" i="82" s="1"/>
  <c r="D10" i="116" a="1"/>
  <c r="D10" i="116" s="1"/>
  <c r="D8" i="116" a="1"/>
  <c r="D8" i="116" s="1"/>
  <c r="D7" i="116" a="1"/>
  <c r="D7" i="116" s="1"/>
  <c r="D6" i="116" a="1"/>
  <c r="D6" i="116" s="1"/>
  <c r="I247" i="115" a="1"/>
  <c r="I247" i="115" s="1"/>
  <c r="H247" i="115" a="1"/>
  <c r="H247" i="115" s="1"/>
  <c r="G247" i="115" a="1"/>
  <c r="G247" i="115" s="1"/>
  <c r="F247" i="115" a="1"/>
  <c r="F247" i="115" s="1"/>
  <c r="E247" i="115" a="1"/>
  <c r="E247" i="115" s="1"/>
  <c r="F150" i="113" s="1" a="1"/>
  <c r="F150" i="113" s="1"/>
  <c r="D247" i="115" a="1"/>
  <c r="D247" i="115" s="1"/>
  <c r="I246" i="115" a="1"/>
  <c r="I246" i="115" s="1"/>
  <c r="H246" i="115" a="1"/>
  <c r="H246" i="115" s="1"/>
  <c r="G246" i="115" a="1"/>
  <c r="G246" i="115" s="1"/>
  <c r="F246" i="115" a="1"/>
  <c r="F246" i="115" s="1"/>
  <c r="E246" i="115" a="1"/>
  <c r="E246" i="115" s="1"/>
  <c r="D246" i="115" a="1"/>
  <c r="D246" i="115" s="1"/>
  <c r="I245" i="115" a="1"/>
  <c r="I245" i="115" s="1"/>
  <c r="H245" i="115" a="1"/>
  <c r="H245" i="115" s="1"/>
  <c r="G245" i="115" a="1"/>
  <c r="G245" i="115" s="1"/>
  <c r="F245" i="115" a="1"/>
  <c r="F245" i="115" s="1"/>
  <c r="E245" i="115" a="1"/>
  <c r="E245" i="115" s="1"/>
  <c r="F151" i="113" s="1" a="1"/>
  <c r="F151" i="113" s="1"/>
  <c r="D245" i="115" a="1"/>
  <c r="D245" i="115" s="1"/>
  <c r="I244" i="115" a="1"/>
  <c r="I244" i="115" s="1"/>
  <c r="H244" i="115" a="1"/>
  <c r="H244" i="115" s="1"/>
  <c r="G244" i="115" a="1"/>
  <c r="G244" i="115" s="1"/>
  <c r="F244" i="115" a="1"/>
  <c r="F244" i="115" s="1"/>
  <c r="E244" i="115" a="1"/>
  <c r="E244" i="115" s="1"/>
  <c r="D244" i="115" a="1"/>
  <c r="D244" i="115" s="1"/>
  <c r="I243" i="115" a="1"/>
  <c r="I243" i="115" s="1"/>
  <c r="H243" i="115" a="1"/>
  <c r="H243" i="115" s="1"/>
  <c r="G243" i="115" a="1"/>
  <c r="G243" i="115" s="1"/>
  <c r="F243" i="115" a="1"/>
  <c r="F243" i="115" s="1"/>
  <c r="M243" i="115" s="1"/>
  <c r="E243" i="115" a="1"/>
  <c r="E243" i="115" s="1"/>
  <c r="L243" i="115" s="1"/>
  <c r="D243" i="115" a="1"/>
  <c r="D243" i="115" s="1"/>
  <c r="I242" i="115" a="1"/>
  <c r="I242" i="115" s="1"/>
  <c r="H242" i="115" a="1"/>
  <c r="H242" i="115" s="1"/>
  <c r="G242" i="115" a="1"/>
  <c r="G242" i="115" s="1"/>
  <c r="F242" i="115" a="1"/>
  <c r="F242" i="115" s="1"/>
  <c r="M242" i="115" s="1"/>
  <c r="E242" i="115" a="1"/>
  <c r="E242" i="115" s="1"/>
  <c r="L242" i="115" s="1"/>
  <c r="N241" i="115" s="1"/>
  <c r="D242" i="115" a="1"/>
  <c r="D242" i="115" s="1"/>
  <c r="I237" i="115" a="1"/>
  <c r="I237" i="115" s="1"/>
  <c r="H237" i="115" a="1"/>
  <c r="H237" i="115" s="1"/>
  <c r="G237" i="115" a="1"/>
  <c r="G237" i="115" s="1"/>
  <c r="F237" i="115" a="1"/>
  <c r="F237" i="115" s="1"/>
  <c r="E237" i="115" a="1"/>
  <c r="E237" i="115" s="1"/>
  <c r="D237" i="115" a="1"/>
  <c r="D237" i="115" s="1"/>
  <c r="I236" i="115" a="1"/>
  <c r="I236" i="115" s="1"/>
  <c r="H236" i="115" a="1"/>
  <c r="H236" i="115" s="1"/>
  <c r="G236" i="115" a="1"/>
  <c r="G236" i="115" s="1"/>
  <c r="F236" i="115" a="1"/>
  <c r="F236" i="115" s="1"/>
  <c r="E236" i="115" a="1"/>
  <c r="E236" i="115" s="1"/>
  <c r="D236" i="115" a="1"/>
  <c r="D236" i="115" s="1"/>
  <c r="I235" i="115" a="1"/>
  <c r="I235" i="115" s="1"/>
  <c r="H235" i="115" a="1"/>
  <c r="H235" i="115" s="1"/>
  <c r="G235" i="115" a="1"/>
  <c r="G235" i="115" s="1"/>
  <c r="F235" i="115" a="1"/>
  <c r="F235" i="115" s="1"/>
  <c r="E235" i="115" a="1"/>
  <c r="E235" i="115" s="1"/>
  <c r="D235" i="115" a="1"/>
  <c r="D235" i="115" s="1"/>
  <c r="I231" i="115" a="1"/>
  <c r="I231" i="115" s="1"/>
  <c r="H231" i="115" a="1"/>
  <c r="H231" i="115" s="1"/>
  <c r="G231" i="115" a="1"/>
  <c r="G231" i="115" s="1"/>
  <c r="F231" i="115" a="1"/>
  <c r="F231" i="115" s="1"/>
  <c r="E231" i="115" a="1"/>
  <c r="E231" i="115" s="1"/>
  <c r="D231" i="115" a="1"/>
  <c r="D231" i="115" s="1"/>
  <c r="I230" i="115" a="1"/>
  <c r="I230" i="115" s="1"/>
  <c r="H230" i="115" a="1"/>
  <c r="H230" i="115" s="1"/>
  <c r="G230" i="115" a="1"/>
  <c r="G230" i="115" s="1"/>
  <c r="F230" i="115" a="1"/>
  <c r="F230" i="115" s="1"/>
  <c r="E230" i="115" a="1"/>
  <c r="E230" i="115" s="1"/>
  <c r="D230" i="115" a="1"/>
  <c r="D230" i="115" s="1"/>
  <c r="I229" i="115" a="1"/>
  <c r="I229" i="115" s="1"/>
  <c r="H229" i="115" a="1"/>
  <c r="H229" i="115" s="1"/>
  <c r="G229" i="115" a="1"/>
  <c r="G229" i="115" s="1"/>
  <c r="F229" i="115" a="1"/>
  <c r="F229" i="115" s="1"/>
  <c r="E229" i="115" a="1"/>
  <c r="E229" i="115" s="1"/>
  <c r="D229" i="115" a="1"/>
  <c r="D229" i="115" s="1"/>
  <c r="I228" i="115" a="1"/>
  <c r="I228" i="115" s="1"/>
  <c r="H228" i="115" a="1"/>
  <c r="H228" i="115" s="1"/>
  <c r="G228" i="115" a="1"/>
  <c r="G228" i="115" s="1"/>
  <c r="F228" i="115" a="1"/>
  <c r="F228" i="115" s="1"/>
  <c r="E228" i="115" a="1"/>
  <c r="E228" i="115" s="1"/>
  <c r="D228" i="115" a="1"/>
  <c r="D228" i="115" s="1"/>
  <c r="I227" i="115" a="1"/>
  <c r="I227" i="115" s="1"/>
  <c r="H227" i="115" a="1"/>
  <c r="H227" i="115" s="1"/>
  <c r="G227" i="115" a="1"/>
  <c r="G227" i="115" s="1"/>
  <c r="F227" i="115" a="1"/>
  <c r="F227" i="115" s="1"/>
  <c r="E227" i="115" a="1"/>
  <c r="E227" i="115" s="1"/>
  <c r="D227" i="115" a="1"/>
  <c r="D227" i="115" s="1"/>
  <c r="I226" i="115" a="1"/>
  <c r="I226" i="115" s="1"/>
  <c r="H226" i="115" a="1"/>
  <c r="H226" i="115" s="1"/>
  <c r="G226" i="115" a="1"/>
  <c r="G226" i="115" s="1"/>
  <c r="F226" i="115" a="1"/>
  <c r="F226" i="115" s="1"/>
  <c r="E226" i="115" a="1"/>
  <c r="E226" i="115" s="1"/>
  <c r="D226" i="115" a="1"/>
  <c r="D226" i="115" s="1"/>
  <c r="I225" i="115" a="1"/>
  <c r="I225" i="115" s="1"/>
  <c r="H225" i="115" a="1"/>
  <c r="H225" i="115" s="1"/>
  <c r="G225" i="115" a="1"/>
  <c r="G225" i="115" s="1"/>
  <c r="F225" i="115" a="1"/>
  <c r="F225" i="115" s="1"/>
  <c r="E225" i="115" a="1"/>
  <c r="E225" i="115" s="1"/>
  <c r="D225" i="115" a="1"/>
  <c r="D225" i="115" s="1"/>
  <c r="I224" i="115" a="1"/>
  <c r="I224" i="115" s="1"/>
  <c r="H224" i="115" a="1"/>
  <c r="H224" i="115" s="1"/>
  <c r="G224" i="115" a="1"/>
  <c r="G224" i="115" s="1"/>
  <c r="F224" i="115" a="1"/>
  <c r="F224" i="115" s="1"/>
  <c r="E224" i="115" a="1"/>
  <c r="E224" i="115" s="1"/>
  <c r="D224" i="115" a="1"/>
  <c r="D224" i="115" s="1"/>
  <c r="I223" i="115" a="1"/>
  <c r="I223" i="115" s="1"/>
  <c r="H223" i="115" a="1"/>
  <c r="H223" i="115" s="1"/>
  <c r="G223" i="115" a="1"/>
  <c r="G223" i="115" s="1"/>
  <c r="F223" i="115" a="1"/>
  <c r="F223" i="115" s="1"/>
  <c r="E223" i="115" a="1"/>
  <c r="E223" i="115" s="1"/>
  <c r="D223" i="115" a="1"/>
  <c r="D223" i="115" s="1"/>
  <c r="I222" i="115" a="1"/>
  <c r="I222" i="115" s="1"/>
  <c r="H222" i="115" a="1"/>
  <c r="H222" i="115" s="1"/>
  <c r="G222" i="115" a="1"/>
  <c r="G222" i="115" s="1"/>
  <c r="F222" i="115" a="1"/>
  <c r="F222" i="115" s="1"/>
  <c r="E222" i="115" a="1"/>
  <c r="E222" i="115" s="1"/>
  <c r="D222" i="115" a="1"/>
  <c r="D222" i="115" s="1"/>
  <c r="I221" i="115" a="1"/>
  <c r="I221" i="115" s="1"/>
  <c r="H221" i="115" a="1"/>
  <c r="H221" i="115" s="1"/>
  <c r="G221" i="115" a="1"/>
  <c r="G221" i="115" s="1"/>
  <c r="F221" i="115" a="1"/>
  <c r="F221" i="115" s="1"/>
  <c r="E221" i="115" a="1"/>
  <c r="E221" i="115" s="1"/>
  <c r="D221" i="115" a="1"/>
  <c r="D221" i="115" s="1"/>
  <c r="I220" i="115" a="1"/>
  <c r="I220" i="115" s="1"/>
  <c r="H220" i="115" a="1"/>
  <c r="H220" i="115" s="1"/>
  <c r="G220" i="115" a="1"/>
  <c r="G220" i="115" s="1"/>
  <c r="F220" i="115" a="1"/>
  <c r="F220" i="115" s="1"/>
  <c r="E220" i="115" a="1"/>
  <c r="E220" i="115" s="1"/>
  <c r="D285" i="113" s="1" a="1"/>
  <c r="D220" i="115" a="1"/>
  <c r="D220" i="115" s="1"/>
  <c r="I216" i="115" a="1"/>
  <c r="I216" i="115" s="1"/>
  <c r="H216" i="115" a="1"/>
  <c r="H216" i="115" s="1"/>
  <c r="G216" i="115" a="1"/>
  <c r="G216" i="115" s="1"/>
  <c r="F216" i="115" a="1"/>
  <c r="F216" i="115" s="1"/>
  <c r="E216" i="115" a="1"/>
  <c r="E216" i="115" s="1"/>
  <c r="D216" i="115" a="1"/>
  <c r="D216" i="115" s="1"/>
  <c r="I215" i="115" a="1"/>
  <c r="I215" i="115" s="1"/>
  <c r="H215" i="115" a="1"/>
  <c r="H215" i="115" s="1"/>
  <c r="G215" i="115" a="1"/>
  <c r="G215" i="115" s="1"/>
  <c r="F215" i="115" a="1"/>
  <c r="F215" i="115" s="1"/>
  <c r="E215" i="115" a="1"/>
  <c r="E215" i="115" s="1"/>
  <c r="D215" i="115" a="1"/>
  <c r="D215" i="115" s="1"/>
  <c r="I214" i="115" a="1"/>
  <c r="I214" i="115" s="1"/>
  <c r="H214" i="115" a="1"/>
  <c r="H214" i="115" s="1"/>
  <c r="G214" i="115" a="1"/>
  <c r="G214" i="115" s="1"/>
  <c r="F214" i="115" a="1"/>
  <c r="F214" i="115" s="1"/>
  <c r="E214" i="115" a="1"/>
  <c r="E214" i="115" s="1"/>
  <c r="D214" i="115" a="1"/>
  <c r="D214" i="115" s="1"/>
  <c r="I213" i="115" a="1"/>
  <c r="I213" i="115" s="1"/>
  <c r="H213" i="115" a="1"/>
  <c r="H213" i="115" s="1"/>
  <c r="G213" i="115" a="1"/>
  <c r="G213" i="115" s="1"/>
  <c r="F213" i="115" a="1"/>
  <c r="F213" i="115" s="1"/>
  <c r="E213" i="115" a="1"/>
  <c r="E213" i="115" s="1"/>
  <c r="G384" i="113" s="1" a="1"/>
  <c r="G384" i="113" s="1"/>
  <c r="D213" i="115" a="1"/>
  <c r="D213" i="115" s="1"/>
  <c r="I209" i="115" a="1"/>
  <c r="I209" i="115" s="1"/>
  <c r="H209" i="115" a="1"/>
  <c r="H209" i="115" s="1"/>
  <c r="G209" i="115" a="1"/>
  <c r="G209" i="115" s="1"/>
  <c r="F209" i="115" a="1"/>
  <c r="F209" i="115" s="1"/>
  <c r="E209" i="115" a="1"/>
  <c r="E209" i="115" s="1"/>
  <c r="D209" i="115" a="1"/>
  <c r="D209" i="115" s="1"/>
  <c r="I208" i="115" a="1"/>
  <c r="I208" i="115" s="1"/>
  <c r="H208" i="115" a="1"/>
  <c r="H208" i="115" s="1"/>
  <c r="G208" i="115" a="1"/>
  <c r="G208" i="115" s="1"/>
  <c r="F208" i="115" a="1"/>
  <c r="F208" i="115" s="1"/>
  <c r="E208" i="115" a="1"/>
  <c r="E208" i="115" s="1"/>
  <c r="D208" i="115" a="1"/>
  <c r="D208" i="115" s="1"/>
  <c r="I207" i="115" a="1"/>
  <c r="I207" i="115" s="1"/>
  <c r="H207" i="115" a="1"/>
  <c r="H207" i="115" s="1"/>
  <c r="G207" i="115" a="1"/>
  <c r="G207" i="115" s="1"/>
  <c r="F207" i="115" a="1"/>
  <c r="F207" i="115" s="1"/>
  <c r="E207" i="115"/>
  <c r="E207" i="115" a="1"/>
  <c r="D207" i="115" a="1"/>
  <c r="D207" i="115" s="1"/>
  <c r="I206" i="115" a="1"/>
  <c r="I206" i="115" s="1"/>
  <c r="H206" i="115" a="1"/>
  <c r="H206" i="115" s="1"/>
  <c r="G206" i="115" a="1"/>
  <c r="G206" i="115" s="1"/>
  <c r="F206" i="115" a="1"/>
  <c r="F206" i="115" s="1"/>
  <c r="E206" i="115" a="1"/>
  <c r="E206" i="115" s="1"/>
  <c r="D206" i="115" a="1"/>
  <c r="D206" i="115" s="1"/>
  <c r="I205" i="115" a="1"/>
  <c r="I205" i="115" s="1"/>
  <c r="H205" i="115" a="1"/>
  <c r="H205" i="115" s="1"/>
  <c r="G205" i="115" a="1"/>
  <c r="G205" i="115" s="1"/>
  <c r="F205" i="115" a="1"/>
  <c r="F205" i="115" s="1"/>
  <c r="E205" i="115" a="1"/>
  <c r="E205" i="115" s="1"/>
  <c r="D205" i="115" a="1"/>
  <c r="D205" i="115" s="1"/>
  <c r="I204" i="115" a="1"/>
  <c r="I204" i="115" s="1"/>
  <c r="H204" i="115" a="1"/>
  <c r="H204" i="115" s="1"/>
  <c r="G204" i="115" a="1"/>
  <c r="G204" i="115" s="1"/>
  <c r="F204" i="115" a="1"/>
  <c r="F204" i="115" s="1"/>
  <c r="E204" i="115" a="1"/>
  <c r="E204" i="115" s="1"/>
  <c r="D204" i="115" a="1"/>
  <c r="D204" i="115" s="1"/>
  <c r="I203" i="115" a="1"/>
  <c r="I203" i="115" s="1"/>
  <c r="H203" i="115" a="1"/>
  <c r="H203" i="115" s="1"/>
  <c r="G203" i="115" a="1"/>
  <c r="G203" i="115" s="1"/>
  <c r="F203" i="115" a="1"/>
  <c r="F203" i="115" s="1"/>
  <c r="E203" i="115" a="1"/>
  <c r="E203" i="115" s="1"/>
  <c r="D203" i="115" a="1"/>
  <c r="D203" i="115" s="1"/>
  <c r="I202" i="115" a="1"/>
  <c r="I202" i="115" s="1"/>
  <c r="H202" i="115" a="1"/>
  <c r="H202" i="115" s="1"/>
  <c r="G202" i="115" a="1"/>
  <c r="G202" i="115" s="1"/>
  <c r="F202" i="115" a="1"/>
  <c r="F202" i="115" s="1"/>
  <c r="E202" i="115" a="1"/>
  <c r="E202" i="115" s="1"/>
  <c r="D202" i="115" a="1"/>
  <c r="D202" i="115" s="1"/>
  <c r="M198" i="115" a="1"/>
  <c r="M198" i="115" s="1"/>
  <c r="L198" i="115" a="1"/>
  <c r="L198" i="115" s="1"/>
  <c r="K198" i="115" a="1"/>
  <c r="K198" i="115" s="1"/>
  <c r="F198" i="115" a="1"/>
  <c r="F198" i="115" s="1"/>
  <c r="E198" i="115" a="1"/>
  <c r="E198" i="115" s="1"/>
  <c r="D198" i="115" a="1"/>
  <c r="D198" i="115" s="1"/>
  <c r="M197" i="115" a="1"/>
  <c r="M197" i="115" s="1"/>
  <c r="L197" i="115" a="1"/>
  <c r="L197" i="115" s="1"/>
  <c r="K197" i="115" a="1"/>
  <c r="K197" i="115" s="1"/>
  <c r="F197" i="115" a="1"/>
  <c r="F197" i="115" s="1"/>
  <c r="E197" i="115" a="1"/>
  <c r="E197" i="115" s="1"/>
  <c r="D197" i="115" a="1"/>
  <c r="D197" i="115" s="1"/>
  <c r="M196" i="115" a="1"/>
  <c r="M196" i="115" s="1"/>
  <c r="L196" i="115" a="1"/>
  <c r="L196" i="115" s="1"/>
  <c r="K196" i="115" a="1"/>
  <c r="K196" i="115" s="1"/>
  <c r="F196" i="115" a="1"/>
  <c r="F196" i="115" s="1"/>
  <c r="E196" i="115" a="1"/>
  <c r="E196" i="115" s="1"/>
  <c r="D196" i="115" a="1"/>
  <c r="D196" i="115" s="1"/>
  <c r="M195" i="115" a="1"/>
  <c r="M195" i="115" s="1"/>
  <c r="L195" i="115" a="1"/>
  <c r="L195" i="115" s="1"/>
  <c r="K195" i="115" a="1"/>
  <c r="K195" i="115" s="1"/>
  <c r="F195" i="115" a="1"/>
  <c r="F195" i="115" s="1"/>
  <c r="E195" i="115" a="1"/>
  <c r="E195" i="115" s="1"/>
  <c r="D195" i="115" a="1"/>
  <c r="D195" i="115" s="1"/>
  <c r="M194" i="115" a="1"/>
  <c r="M194" i="115" s="1"/>
  <c r="L194" i="115" a="1"/>
  <c r="L194" i="115" s="1"/>
  <c r="K194" i="115" a="1"/>
  <c r="K194" i="115" s="1"/>
  <c r="F194" i="115" a="1"/>
  <c r="F194" i="115" s="1"/>
  <c r="E194" i="115" a="1"/>
  <c r="E194" i="115" s="1"/>
  <c r="D194" i="115" a="1"/>
  <c r="D194" i="115" s="1"/>
  <c r="M193" i="115" a="1"/>
  <c r="M193" i="115" s="1"/>
  <c r="L193" i="115" a="1"/>
  <c r="L193" i="115" s="1"/>
  <c r="K193" i="115" a="1"/>
  <c r="K193" i="115" s="1"/>
  <c r="F193" i="115" a="1"/>
  <c r="F193" i="115" s="1"/>
  <c r="E193" i="115" a="1"/>
  <c r="E193" i="115" s="1"/>
  <c r="D193" i="115" a="1"/>
  <c r="D193" i="115" s="1"/>
  <c r="M192" i="115" a="1"/>
  <c r="M192" i="115" s="1"/>
  <c r="L192" i="115" a="1"/>
  <c r="L192" i="115" s="1"/>
  <c r="K192" i="115" a="1"/>
  <c r="K192" i="115" s="1"/>
  <c r="F192" i="115" a="1"/>
  <c r="F192" i="115" s="1"/>
  <c r="E192" i="115" a="1"/>
  <c r="E192" i="115" s="1"/>
  <c r="D192" i="115" a="1"/>
  <c r="D192" i="115" s="1"/>
  <c r="M191" i="115" a="1"/>
  <c r="M191" i="115" s="1"/>
  <c r="L191" i="115" a="1"/>
  <c r="L191" i="115" s="1"/>
  <c r="K191" i="115" a="1"/>
  <c r="K191" i="115" s="1"/>
  <c r="F191" i="115" a="1"/>
  <c r="F191" i="115" s="1"/>
  <c r="E191" i="115" a="1"/>
  <c r="E191" i="115" s="1"/>
  <c r="D191" i="115" a="1"/>
  <c r="D191" i="115" s="1"/>
  <c r="M190" i="115" a="1"/>
  <c r="M190" i="115" s="1"/>
  <c r="L190" i="115" a="1"/>
  <c r="L190" i="115" s="1"/>
  <c r="K190" i="115" a="1"/>
  <c r="K190" i="115" s="1"/>
  <c r="F190" i="115" a="1"/>
  <c r="F190" i="115" s="1"/>
  <c r="E190" i="115" a="1"/>
  <c r="E190" i="115" s="1"/>
  <c r="D190" i="115" a="1"/>
  <c r="D190" i="115" s="1"/>
  <c r="M189" i="115" a="1"/>
  <c r="M189" i="115" s="1"/>
  <c r="L189" i="115" a="1"/>
  <c r="L189" i="115" s="1"/>
  <c r="K189" i="115" a="1"/>
  <c r="K189" i="115" s="1"/>
  <c r="F189" i="115" a="1"/>
  <c r="F189" i="115" s="1"/>
  <c r="E189" i="115" a="1"/>
  <c r="E189" i="115" s="1"/>
  <c r="D189" i="115" a="1"/>
  <c r="D189" i="115" s="1"/>
  <c r="M188" i="115"/>
  <c r="M188" i="115" a="1"/>
  <c r="L188" i="115" a="1"/>
  <c r="L188" i="115" s="1"/>
  <c r="K188" i="115" a="1"/>
  <c r="K188" i="115" s="1"/>
  <c r="F188" i="115" a="1"/>
  <c r="F188" i="115" s="1"/>
  <c r="E188" i="115" a="1"/>
  <c r="E188" i="115" s="1"/>
  <c r="D188" i="115" a="1"/>
  <c r="D188" i="115" s="1"/>
  <c r="M187" i="115" a="1"/>
  <c r="M187" i="115" s="1"/>
  <c r="L187" i="115" a="1"/>
  <c r="L187" i="115" s="1"/>
  <c r="K187" i="115" a="1"/>
  <c r="K187" i="115" s="1"/>
  <c r="F187" i="115" a="1"/>
  <c r="F187" i="115" s="1"/>
  <c r="E187" i="115" a="1"/>
  <c r="E187" i="115" s="1"/>
  <c r="D187" i="115" a="1"/>
  <c r="D187" i="115" s="1"/>
  <c r="M186" i="115" a="1"/>
  <c r="M186" i="115" s="1"/>
  <c r="L186" i="115" a="1"/>
  <c r="L186" i="115" s="1"/>
  <c r="K186" i="115" a="1"/>
  <c r="K186" i="115" s="1"/>
  <c r="F186" i="115" a="1"/>
  <c r="F186" i="115" s="1"/>
  <c r="E186" i="115" a="1"/>
  <c r="E186" i="115" s="1"/>
  <c r="D186" i="115" a="1"/>
  <c r="D186" i="115" s="1"/>
  <c r="M185" i="115" a="1"/>
  <c r="M185" i="115" s="1"/>
  <c r="L185" i="115" a="1"/>
  <c r="L185" i="115" s="1"/>
  <c r="K185" i="115" a="1"/>
  <c r="K185" i="115" s="1"/>
  <c r="F185" i="115" a="1"/>
  <c r="F185" i="115" s="1"/>
  <c r="E185" i="115" a="1"/>
  <c r="E185" i="115" s="1"/>
  <c r="D185" i="115" a="1"/>
  <c r="D185" i="115" s="1"/>
  <c r="M184" i="115" a="1"/>
  <c r="M184" i="115" s="1"/>
  <c r="L184" i="115" a="1"/>
  <c r="L184" i="115" s="1"/>
  <c r="K184" i="115" a="1"/>
  <c r="K184" i="115" s="1"/>
  <c r="F184" i="115" a="1"/>
  <c r="F184" i="115" s="1"/>
  <c r="E184" i="115" a="1"/>
  <c r="E184" i="115" s="1"/>
  <c r="D184" i="115" a="1"/>
  <c r="D184" i="115" s="1"/>
  <c r="M183" i="115" a="1"/>
  <c r="M183" i="115" s="1"/>
  <c r="L183" i="115" a="1"/>
  <c r="L183" i="115" s="1"/>
  <c r="K183" i="115" a="1"/>
  <c r="K183" i="115" s="1"/>
  <c r="F183" i="115" a="1"/>
  <c r="F183" i="115" s="1"/>
  <c r="E183" i="115" a="1"/>
  <c r="E183" i="115" s="1"/>
  <c r="D183" i="115" a="1"/>
  <c r="D183" i="115" s="1"/>
  <c r="M182" i="115" a="1"/>
  <c r="M182" i="115" s="1"/>
  <c r="L182" i="115" a="1"/>
  <c r="L182" i="115" s="1"/>
  <c r="K182" i="115" a="1"/>
  <c r="K182" i="115" s="1"/>
  <c r="F182" i="115" a="1"/>
  <c r="F182" i="115" s="1"/>
  <c r="E182" i="115" a="1"/>
  <c r="E182" i="115" s="1"/>
  <c r="D182" i="115" a="1"/>
  <c r="D182" i="115" s="1"/>
  <c r="M181" i="115" a="1"/>
  <c r="M181" i="115" s="1"/>
  <c r="L181" i="115" a="1"/>
  <c r="L181" i="115" s="1"/>
  <c r="K181" i="115" a="1"/>
  <c r="K181" i="115" s="1"/>
  <c r="F181" i="115" a="1"/>
  <c r="F181" i="115" s="1"/>
  <c r="E181" i="115" a="1"/>
  <c r="E181" i="115" s="1"/>
  <c r="D181" i="115" a="1"/>
  <c r="D181" i="115" s="1"/>
  <c r="M180" i="115" a="1"/>
  <c r="M180" i="115" s="1"/>
  <c r="L180" i="115" a="1"/>
  <c r="L180" i="115" s="1"/>
  <c r="K180" i="115" a="1"/>
  <c r="K180" i="115" s="1"/>
  <c r="F180" i="115" a="1"/>
  <c r="F180" i="115" s="1"/>
  <c r="E180" i="115" a="1"/>
  <c r="E180" i="115" s="1"/>
  <c r="D180" i="115" a="1"/>
  <c r="D180" i="115" s="1"/>
  <c r="M179" i="115" a="1"/>
  <c r="M179" i="115" s="1"/>
  <c r="L179" i="115" a="1"/>
  <c r="L179" i="115" s="1"/>
  <c r="K179" i="115" a="1"/>
  <c r="K179" i="115" s="1"/>
  <c r="F179" i="115" a="1"/>
  <c r="F179" i="115" s="1"/>
  <c r="E179" i="115" a="1"/>
  <c r="E179" i="115" s="1"/>
  <c r="D179" i="115" a="1"/>
  <c r="D179" i="115" s="1"/>
  <c r="M178" i="115" a="1"/>
  <c r="M178" i="115" s="1"/>
  <c r="L178" i="115" a="1"/>
  <c r="L178" i="115" s="1"/>
  <c r="K178" i="115" a="1"/>
  <c r="K178" i="115" s="1"/>
  <c r="F178" i="115" a="1"/>
  <c r="F178" i="115" s="1"/>
  <c r="E178" i="115" a="1"/>
  <c r="E178" i="115" s="1"/>
  <c r="D178" i="115" a="1"/>
  <c r="D178" i="115" s="1"/>
  <c r="M177" i="115" a="1"/>
  <c r="M177" i="115" s="1"/>
  <c r="L177" i="115" a="1"/>
  <c r="L177" i="115" s="1"/>
  <c r="K177" i="115" a="1"/>
  <c r="K177" i="115" s="1"/>
  <c r="F177" i="115" a="1"/>
  <c r="F177" i="115" s="1"/>
  <c r="E177" i="115" a="1"/>
  <c r="E177" i="115" s="1"/>
  <c r="D177" i="115" a="1"/>
  <c r="D177" i="115" s="1"/>
  <c r="M176" i="115" a="1"/>
  <c r="M176" i="115" s="1"/>
  <c r="L176" i="115" a="1"/>
  <c r="L176" i="115" s="1"/>
  <c r="K176" i="115" a="1"/>
  <c r="K176" i="115" s="1"/>
  <c r="F176" i="115" a="1"/>
  <c r="F176" i="115" s="1"/>
  <c r="E176" i="115" a="1"/>
  <c r="E176" i="115" s="1"/>
  <c r="D176" i="115" a="1"/>
  <c r="D176" i="115" s="1"/>
  <c r="M175" i="115" a="1"/>
  <c r="M175" i="115" s="1"/>
  <c r="L175" i="115" a="1"/>
  <c r="L175" i="115" s="1"/>
  <c r="K175" i="115" a="1"/>
  <c r="K175" i="115" s="1"/>
  <c r="F175" i="115" a="1"/>
  <c r="F175" i="115" s="1"/>
  <c r="E175" i="115" a="1"/>
  <c r="E175" i="115" s="1"/>
  <c r="D175" i="115" a="1"/>
  <c r="D175" i="115" s="1"/>
  <c r="M174" i="115" a="1"/>
  <c r="M174" i="115" s="1"/>
  <c r="L174" i="115" a="1"/>
  <c r="L174" i="115" s="1"/>
  <c r="K174" i="115" a="1"/>
  <c r="K174" i="115" s="1"/>
  <c r="F174" i="115" a="1"/>
  <c r="F174" i="115" s="1"/>
  <c r="E174" i="115" a="1"/>
  <c r="E174" i="115" s="1"/>
  <c r="D174" i="115" a="1"/>
  <c r="D174" i="115" s="1"/>
  <c r="I170" i="115" a="1"/>
  <c r="I170" i="115" s="1"/>
  <c r="H170" i="115" a="1"/>
  <c r="H170" i="115" s="1"/>
  <c r="G170" i="115" a="1"/>
  <c r="G170" i="115" s="1"/>
  <c r="F170" i="115" a="1"/>
  <c r="F170" i="115" s="1"/>
  <c r="E170" i="115" a="1"/>
  <c r="E170" i="115" s="1"/>
  <c r="D170" i="115" a="1"/>
  <c r="D170" i="115" s="1"/>
  <c r="I169" i="115" a="1"/>
  <c r="I169" i="115" s="1"/>
  <c r="H169" i="115" a="1"/>
  <c r="H169" i="115" s="1"/>
  <c r="G169" i="115" a="1"/>
  <c r="G169" i="115" s="1"/>
  <c r="F169" i="115" a="1"/>
  <c r="F169" i="115" s="1"/>
  <c r="E169" i="115" a="1"/>
  <c r="E169" i="115" s="1"/>
  <c r="D169" i="115" a="1"/>
  <c r="D169" i="115" s="1"/>
  <c r="I168" i="115" a="1"/>
  <c r="I168" i="115" s="1"/>
  <c r="H168" i="115" a="1"/>
  <c r="H168" i="115" s="1"/>
  <c r="G168" i="115" a="1"/>
  <c r="G168" i="115" s="1"/>
  <c r="F168" i="115" a="1"/>
  <c r="F168" i="115" s="1"/>
  <c r="E168" i="115" a="1"/>
  <c r="E168" i="115" s="1"/>
  <c r="D7" i="110" s="1" a="1"/>
  <c r="D168" i="115" a="1"/>
  <c r="D168" i="115" s="1"/>
  <c r="I165" i="115" a="1"/>
  <c r="I165" i="115" s="1"/>
  <c r="H165" i="115" a="1"/>
  <c r="H165" i="115" s="1"/>
  <c r="G165" i="115" a="1"/>
  <c r="G165" i="115" s="1"/>
  <c r="F165" i="115" a="1"/>
  <c r="F165" i="115" s="1"/>
  <c r="E165" i="115" a="1"/>
  <c r="E165" i="115" s="1"/>
  <c r="D165" i="115" a="1"/>
  <c r="D165" i="115" s="1"/>
  <c r="I164" i="115" a="1"/>
  <c r="I164" i="115" s="1"/>
  <c r="H164" i="115" a="1"/>
  <c r="H164" i="115" s="1"/>
  <c r="G164" i="115" a="1"/>
  <c r="G164" i="115" s="1"/>
  <c r="F164" i="115" a="1"/>
  <c r="F164" i="115" s="1"/>
  <c r="E164" i="115" a="1"/>
  <c r="E164" i="115" s="1"/>
  <c r="D164" i="115" a="1"/>
  <c r="D164" i="115" s="1"/>
  <c r="I163" i="115" a="1"/>
  <c r="I163" i="115" s="1"/>
  <c r="H163" i="115" a="1"/>
  <c r="H163" i="115" s="1"/>
  <c r="G163" i="115" a="1"/>
  <c r="G163" i="115" s="1"/>
  <c r="F163" i="115" a="1"/>
  <c r="F163" i="115" s="1"/>
  <c r="E163" i="115" a="1"/>
  <c r="E163" i="115" s="1"/>
  <c r="D163" i="115" a="1"/>
  <c r="D163" i="115" s="1"/>
  <c r="I162" i="115" a="1"/>
  <c r="I162" i="115" s="1"/>
  <c r="H162" i="115" a="1"/>
  <c r="H162" i="115" s="1"/>
  <c r="G162" i="115" a="1"/>
  <c r="G162" i="115" s="1"/>
  <c r="F162" i="115" a="1"/>
  <c r="F162" i="115" s="1"/>
  <c r="E162" i="115" a="1"/>
  <c r="E162" i="115" s="1"/>
  <c r="D12" i="110" s="1" a="1"/>
  <c r="D162" i="115" a="1"/>
  <c r="D162" i="115" s="1"/>
  <c r="I158" i="115" a="1"/>
  <c r="I158" i="115" s="1"/>
  <c r="H158" i="115" a="1"/>
  <c r="H158" i="115" s="1"/>
  <c r="G158" i="115" a="1"/>
  <c r="G158" i="115" s="1"/>
  <c r="F158" i="115" a="1"/>
  <c r="F158" i="115" s="1"/>
  <c r="P158" i="115" s="1"/>
  <c r="E158" i="115" a="1"/>
  <c r="E158" i="115" s="1"/>
  <c r="O158" i="115" s="1"/>
  <c r="Q157" i="115" s="1"/>
  <c r="D158" i="115" a="1"/>
  <c r="D158" i="115" s="1"/>
  <c r="I157" i="115" a="1"/>
  <c r="I157" i="115" s="1"/>
  <c r="H157" i="115" a="1"/>
  <c r="H157" i="115" s="1"/>
  <c r="G157" i="115" a="1"/>
  <c r="G157" i="115" s="1"/>
  <c r="F157" i="115" a="1"/>
  <c r="F157" i="115" s="1"/>
  <c r="M157" i="115" s="1"/>
  <c r="E157" i="115" a="1"/>
  <c r="E157" i="115" s="1"/>
  <c r="L157" i="115" s="1"/>
  <c r="N156" i="115" s="1"/>
  <c r="D157" i="115" a="1"/>
  <c r="D157" i="115" s="1"/>
  <c r="I156" i="115" a="1"/>
  <c r="I156" i="115" s="1"/>
  <c r="H156" i="115" a="1"/>
  <c r="H156" i="115" s="1"/>
  <c r="G156" i="115" a="1"/>
  <c r="G156" i="115" s="1"/>
  <c r="F156" i="115" a="1"/>
  <c r="F156" i="115" s="1"/>
  <c r="P156" i="115" s="1"/>
  <c r="E156" i="115" a="1"/>
  <c r="E156" i="115" s="1"/>
  <c r="O156" i="115" s="1"/>
  <c r="Q155" i="115" s="1"/>
  <c r="D156" i="115" a="1"/>
  <c r="D156" i="115" s="1"/>
  <c r="I155" i="115" a="1"/>
  <c r="I155" i="115" s="1"/>
  <c r="H155" i="115" a="1"/>
  <c r="H155" i="115" s="1"/>
  <c r="G155" i="115" a="1"/>
  <c r="G155" i="115" s="1"/>
  <c r="F155" i="115" a="1"/>
  <c r="F155" i="115" s="1"/>
  <c r="M155" i="115" s="1"/>
  <c r="E155" i="115" a="1"/>
  <c r="E155" i="115" s="1"/>
  <c r="L155" i="115" s="1"/>
  <c r="N154" i="115" s="1"/>
  <c r="D155" i="115" a="1"/>
  <c r="D155" i="115" s="1"/>
  <c r="I154" i="115" a="1"/>
  <c r="I154" i="115" s="1"/>
  <c r="H154" i="115" a="1"/>
  <c r="H154" i="115" s="1"/>
  <c r="G154" i="115" a="1"/>
  <c r="G154" i="115" s="1"/>
  <c r="F154" i="115" a="1"/>
  <c r="F154" i="115" s="1"/>
  <c r="P154" i="115" s="1"/>
  <c r="E154" i="115" a="1"/>
  <c r="E154" i="115" s="1"/>
  <c r="O154" i="115" s="1"/>
  <c r="Q153" i="115" s="1"/>
  <c r="D154" i="115" a="1"/>
  <c r="D154" i="115" s="1"/>
  <c r="I153" i="115" a="1"/>
  <c r="I153" i="115" s="1"/>
  <c r="H153" i="115" a="1"/>
  <c r="H153" i="115" s="1"/>
  <c r="G153" i="115" a="1"/>
  <c r="G153" i="115" s="1"/>
  <c r="F153" i="115" a="1"/>
  <c r="F153" i="115" s="1"/>
  <c r="M153" i="115" s="1"/>
  <c r="E153" i="115" a="1"/>
  <c r="E153" i="115" s="1"/>
  <c r="L153" i="115" s="1"/>
  <c r="N152" i="115" s="1"/>
  <c r="D153" i="115" a="1"/>
  <c r="D153" i="115" s="1"/>
  <c r="I152" i="115" a="1"/>
  <c r="I152" i="115" s="1"/>
  <c r="H152" i="115" a="1"/>
  <c r="H152" i="115" s="1"/>
  <c r="G152" i="115" a="1"/>
  <c r="G152" i="115" s="1"/>
  <c r="F152" i="115" a="1"/>
  <c r="F152" i="115" s="1"/>
  <c r="P152" i="115" s="1"/>
  <c r="E152" i="115" a="1"/>
  <c r="E152" i="115" s="1"/>
  <c r="O152" i="115" s="1"/>
  <c r="Q151" i="115" s="1"/>
  <c r="D152" i="115" a="1"/>
  <c r="D152" i="115" s="1"/>
  <c r="I151" i="115" a="1"/>
  <c r="I151" i="115" s="1"/>
  <c r="H151" i="115" a="1"/>
  <c r="H151" i="115" s="1"/>
  <c r="G151" i="115" a="1"/>
  <c r="G151" i="115" s="1"/>
  <c r="F151" i="115" a="1"/>
  <c r="F151" i="115" s="1"/>
  <c r="M151" i="115" s="1"/>
  <c r="E151" i="115" a="1"/>
  <c r="E151" i="115" s="1"/>
  <c r="L151" i="115" s="1"/>
  <c r="N150" i="115" s="1"/>
  <c r="D151" i="115" a="1"/>
  <c r="D151" i="115" s="1"/>
  <c r="I150" i="115" a="1"/>
  <c r="I150" i="115" s="1"/>
  <c r="H150" i="115" a="1"/>
  <c r="H150" i="115" s="1"/>
  <c r="G150" i="115" a="1"/>
  <c r="G150" i="115" s="1"/>
  <c r="F150" i="115" a="1"/>
  <c r="F150" i="115" s="1"/>
  <c r="P150" i="115" s="1"/>
  <c r="E150" i="115" a="1"/>
  <c r="E150" i="115" s="1"/>
  <c r="O150" i="115" s="1"/>
  <c r="D150" i="115" a="1"/>
  <c r="D150" i="115" s="1"/>
  <c r="I149" i="115" a="1"/>
  <c r="I149" i="115" s="1"/>
  <c r="H149" i="115" a="1"/>
  <c r="H149" i="115" s="1"/>
  <c r="G149" i="115" a="1"/>
  <c r="G149" i="115" s="1"/>
  <c r="F149" i="115" a="1"/>
  <c r="F149" i="115" s="1"/>
  <c r="P149" i="115" s="1"/>
  <c r="E149" i="115" a="1"/>
  <c r="E149" i="115" s="1"/>
  <c r="O149" i="115" s="1"/>
  <c r="D149" i="115" a="1"/>
  <c r="D149" i="115" s="1"/>
  <c r="I148" i="115" a="1"/>
  <c r="I148" i="115" s="1"/>
  <c r="H148" i="115" a="1"/>
  <c r="H148" i="115" s="1"/>
  <c r="G148" i="115" a="1"/>
  <c r="G148" i="115" s="1"/>
  <c r="F148" i="115" a="1"/>
  <c r="F148" i="115" s="1"/>
  <c r="P148" i="115" s="1"/>
  <c r="E148" i="115" a="1"/>
  <c r="E148" i="115" s="1"/>
  <c r="O148" i="115" s="1"/>
  <c r="D148" i="115" a="1"/>
  <c r="D148" i="115" s="1"/>
  <c r="I147" i="115" a="1"/>
  <c r="I147" i="115" s="1"/>
  <c r="H147" i="115" a="1"/>
  <c r="H147" i="115" s="1"/>
  <c r="G147" i="115" a="1"/>
  <c r="G147" i="115" s="1"/>
  <c r="F147" i="115" a="1"/>
  <c r="F147" i="115" s="1"/>
  <c r="P147" i="115" s="1"/>
  <c r="E147" i="115" a="1"/>
  <c r="E147" i="115" s="1"/>
  <c r="O147" i="115" s="1"/>
  <c r="D147" i="115" a="1"/>
  <c r="D147" i="115" s="1"/>
  <c r="I146" i="115" a="1"/>
  <c r="I146" i="115" s="1"/>
  <c r="H146" i="115" a="1"/>
  <c r="H146" i="115" s="1"/>
  <c r="G146" i="115" a="1"/>
  <c r="G146" i="115" s="1"/>
  <c r="F146" i="115" a="1"/>
  <c r="F146" i="115" s="1"/>
  <c r="P146" i="115" s="1"/>
  <c r="E146" i="115" a="1"/>
  <c r="E146" i="115" s="1"/>
  <c r="O146" i="115" s="1"/>
  <c r="D146" i="115" a="1"/>
  <c r="D146" i="115" s="1"/>
  <c r="I145" i="115" a="1"/>
  <c r="I145" i="115" s="1"/>
  <c r="H145" i="115" a="1"/>
  <c r="H145" i="115" s="1"/>
  <c r="G145" i="115" a="1"/>
  <c r="G145" i="115" s="1"/>
  <c r="F145" i="115" a="1"/>
  <c r="F145" i="115" s="1"/>
  <c r="P145" i="115" s="1"/>
  <c r="E145" i="115" a="1"/>
  <c r="E145" i="115" s="1"/>
  <c r="O145" i="115" s="1"/>
  <c r="D145" i="115" a="1"/>
  <c r="D145" i="115" s="1"/>
  <c r="I144" i="115" a="1"/>
  <c r="I144" i="115" s="1"/>
  <c r="H144" i="115" a="1"/>
  <c r="H144" i="115" s="1"/>
  <c r="G144" i="115" a="1"/>
  <c r="G144" i="115" s="1"/>
  <c r="F144" i="115" a="1"/>
  <c r="F144" i="115" s="1"/>
  <c r="P144" i="115" s="1"/>
  <c r="E144" i="115" a="1"/>
  <c r="E144" i="115" s="1"/>
  <c r="O144" i="115" s="1"/>
  <c r="Q143" i="115" s="1"/>
  <c r="D144" i="115" a="1"/>
  <c r="D144" i="115" s="1"/>
  <c r="I143" i="115" a="1"/>
  <c r="I143" i="115" s="1"/>
  <c r="H143" i="115" a="1"/>
  <c r="H143" i="115" s="1"/>
  <c r="G143" i="115" a="1"/>
  <c r="G143" i="115" s="1"/>
  <c r="F143" i="115" a="1"/>
  <c r="F143" i="115" s="1"/>
  <c r="M143" i="115" s="1"/>
  <c r="E143" i="115" a="1"/>
  <c r="E143" i="115" s="1"/>
  <c r="L143" i="115" s="1"/>
  <c r="D143" i="115" a="1"/>
  <c r="D143" i="115" s="1"/>
  <c r="I142" i="115" a="1"/>
  <c r="I142" i="115" s="1"/>
  <c r="H142" i="115"/>
  <c r="H142" i="115" a="1"/>
  <c r="G142" i="115" a="1"/>
  <c r="G142" i="115" s="1"/>
  <c r="F142" i="115" a="1"/>
  <c r="F142" i="115" s="1"/>
  <c r="M142" i="115" s="1"/>
  <c r="E142" i="115" a="1"/>
  <c r="E142" i="115" s="1"/>
  <c r="L142" i="115" s="1"/>
  <c r="D142" i="115" a="1"/>
  <c r="D142" i="115" s="1"/>
  <c r="I141" i="115" a="1"/>
  <c r="I141" i="115" s="1"/>
  <c r="H141" i="115" a="1"/>
  <c r="H141" i="115" s="1"/>
  <c r="G141" i="115" a="1"/>
  <c r="G141" i="115" s="1"/>
  <c r="F141" i="115" a="1"/>
  <c r="F141" i="115" s="1"/>
  <c r="M141" i="115" s="1"/>
  <c r="E141" i="115" a="1"/>
  <c r="E141" i="115" s="1"/>
  <c r="L141" i="115" s="1"/>
  <c r="D141" i="115" a="1"/>
  <c r="D141" i="115" s="1"/>
  <c r="I140" i="115" a="1"/>
  <c r="I140" i="115" s="1"/>
  <c r="H140" i="115" a="1"/>
  <c r="H140" i="115" s="1"/>
  <c r="G140" i="115" a="1"/>
  <c r="G140" i="115" s="1"/>
  <c r="F140" i="115" a="1"/>
  <c r="F140" i="115" s="1"/>
  <c r="M140" i="115" s="1"/>
  <c r="E140" i="115" a="1"/>
  <c r="E140" i="115" s="1"/>
  <c r="L140" i="115" s="1"/>
  <c r="D140" i="115" a="1"/>
  <c r="D140" i="115" s="1"/>
  <c r="I139" i="115" a="1"/>
  <c r="I139" i="115" s="1"/>
  <c r="H139" i="115" a="1"/>
  <c r="H139" i="115" s="1"/>
  <c r="G139" i="115" a="1"/>
  <c r="G139" i="115" s="1"/>
  <c r="F139" i="115" a="1"/>
  <c r="F139" i="115" s="1"/>
  <c r="M139" i="115" s="1"/>
  <c r="E139" i="115" a="1"/>
  <c r="E139" i="115" s="1"/>
  <c r="L139" i="115" s="1"/>
  <c r="D139" i="115" a="1"/>
  <c r="D139" i="115" s="1"/>
  <c r="I138" i="115" a="1"/>
  <c r="I138" i="115" s="1"/>
  <c r="H138" i="115" a="1"/>
  <c r="H138" i="115" s="1"/>
  <c r="G138" i="115" a="1"/>
  <c r="G138" i="115" s="1"/>
  <c r="F138" i="115" a="1"/>
  <c r="F138" i="115" s="1"/>
  <c r="M138" i="115" s="1"/>
  <c r="E138" i="115" a="1"/>
  <c r="E138" i="115" s="1"/>
  <c r="L138" i="115" s="1"/>
  <c r="N137" i="115" s="1"/>
  <c r="D138" i="115" a="1"/>
  <c r="D138" i="115" s="1"/>
  <c r="I137" i="115" a="1"/>
  <c r="I137" i="115" s="1"/>
  <c r="H137" i="115" a="1"/>
  <c r="H137" i="115" s="1"/>
  <c r="G137" i="115" a="1"/>
  <c r="G137" i="115" s="1"/>
  <c r="F137" i="115" a="1"/>
  <c r="F137" i="115" s="1"/>
  <c r="P137" i="115" s="1"/>
  <c r="E137" i="115" a="1"/>
  <c r="E137" i="115" s="1"/>
  <c r="O137" i="115" s="1"/>
  <c r="D137" i="115" a="1"/>
  <c r="D137" i="115" s="1"/>
  <c r="I136" i="115" a="1"/>
  <c r="I136" i="115" s="1"/>
  <c r="H136" i="115" a="1"/>
  <c r="H136" i="115" s="1"/>
  <c r="G136" i="115" a="1"/>
  <c r="G136" i="115" s="1"/>
  <c r="F136" i="115" a="1"/>
  <c r="F136" i="115" s="1"/>
  <c r="P136" i="115" s="1"/>
  <c r="E136" i="115" a="1"/>
  <c r="E136" i="115" s="1"/>
  <c r="O136" i="115" s="1"/>
  <c r="D136" i="115" a="1"/>
  <c r="D136" i="115" s="1"/>
  <c r="I135" i="115" a="1"/>
  <c r="I135" i="115" s="1"/>
  <c r="H135" i="115" a="1"/>
  <c r="H135" i="115" s="1"/>
  <c r="G135" i="115" a="1"/>
  <c r="G135" i="115" s="1"/>
  <c r="F135" i="115" a="1"/>
  <c r="F135" i="115" s="1"/>
  <c r="P135" i="115" s="1"/>
  <c r="E135" i="115" a="1"/>
  <c r="E135" i="115" s="1"/>
  <c r="O135" i="115" s="1"/>
  <c r="D135" i="115" a="1"/>
  <c r="D135" i="115" s="1"/>
  <c r="I134" i="115" a="1"/>
  <c r="I134" i="115" s="1"/>
  <c r="H134" i="115" a="1"/>
  <c r="H134" i="115" s="1"/>
  <c r="G134" i="115" a="1"/>
  <c r="G134" i="115" s="1"/>
  <c r="F134" i="115" a="1"/>
  <c r="F134" i="115" s="1"/>
  <c r="P134" i="115" s="1"/>
  <c r="E134" i="115" a="1"/>
  <c r="E134" i="115" s="1"/>
  <c r="O134" i="115" s="1"/>
  <c r="D134" i="115" a="1"/>
  <c r="D134" i="115" s="1"/>
  <c r="I133" i="115" a="1"/>
  <c r="I133" i="115" s="1"/>
  <c r="H133" i="115" a="1"/>
  <c r="H133" i="115" s="1"/>
  <c r="G133" i="115" a="1"/>
  <c r="G133" i="115" s="1"/>
  <c r="F133" i="115" a="1"/>
  <c r="F133" i="115" s="1"/>
  <c r="P133" i="115" s="1"/>
  <c r="E133" i="115" a="1"/>
  <c r="E133" i="115" s="1"/>
  <c r="O133" i="115" s="1"/>
  <c r="D133" i="115" a="1"/>
  <c r="D133" i="115" s="1"/>
  <c r="I132" i="115" a="1"/>
  <c r="I132" i="115" s="1"/>
  <c r="H132" i="115" a="1"/>
  <c r="H132" i="115" s="1"/>
  <c r="G132" i="115" a="1"/>
  <c r="G132" i="115" s="1"/>
  <c r="F132" i="115" a="1"/>
  <c r="F132" i="115" s="1"/>
  <c r="P132" i="115" s="1"/>
  <c r="E132" i="115" a="1"/>
  <c r="E132" i="115" s="1"/>
  <c r="O132" i="115" s="1"/>
  <c r="D132" i="115" a="1"/>
  <c r="D132" i="115" s="1"/>
  <c r="I131" i="115" a="1"/>
  <c r="I131" i="115" s="1"/>
  <c r="H131" i="115" a="1"/>
  <c r="H131" i="115" s="1"/>
  <c r="G131" i="115" a="1"/>
  <c r="G131" i="115" s="1"/>
  <c r="F131" i="115" a="1"/>
  <c r="F131" i="115" s="1"/>
  <c r="P131" i="115" s="1"/>
  <c r="E131" i="115" a="1"/>
  <c r="E131" i="115" s="1"/>
  <c r="O131" i="115" s="1"/>
  <c r="Q130" i="115" s="1"/>
  <c r="D131" i="115" a="1"/>
  <c r="D131" i="115" s="1"/>
  <c r="I130" i="115" a="1"/>
  <c r="I130" i="115" s="1"/>
  <c r="H130" i="115" a="1"/>
  <c r="H130" i="115" s="1"/>
  <c r="G130" i="115" a="1"/>
  <c r="G130" i="115" s="1"/>
  <c r="F130" i="115" a="1"/>
  <c r="F130" i="115" s="1"/>
  <c r="M130" i="115" s="1"/>
  <c r="E130" i="115" a="1"/>
  <c r="E130" i="115" s="1"/>
  <c r="L130" i="115" s="1"/>
  <c r="D130" i="115" a="1"/>
  <c r="D130" i="115" s="1"/>
  <c r="I129" i="115" a="1"/>
  <c r="I129" i="115" s="1"/>
  <c r="H129" i="115" a="1"/>
  <c r="H129" i="115" s="1"/>
  <c r="G129" i="115" a="1"/>
  <c r="G129" i="115" s="1"/>
  <c r="F129" i="115" a="1"/>
  <c r="F129" i="115" s="1"/>
  <c r="M129" i="115" s="1"/>
  <c r="E129" i="115" a="1"/>
  <c r="E129" i="115" s="1"/>
  <c r="L129" i="115" s="1"/>
  <c r="D129" i="115" a="1"/>
  <c r="D129" i="115" s="1"/>
  <c r="I128" i="115" a="1"/>
  <c r="I128" i="115" s="1"/>
  <c r="H128" i="115" a="1"/>
  <c r="H128" i="115" s="1"/>
  <c r="G128" i="115" a="1"/>
  <c r="G128" i="115" s="1"/>
  <c r="F128" i="115" a="1"/>
  <c r="F128" i="115" s="1"/>
  <c r="M128" i="115" s="1"/>
  <c r="E128" i="115" a="1"/>
  <c r="E128" i="115" s="1"/>
  <c r="L128" i="115" s="1"/>
  <c r="D128" i="115" a="1"/>
  <c r="D128" i="115" s="1"/>
  <c r="I127" i="115" a="1"/>
  <c r="I127" i="115" s="1"/>
  <c r="H127" i="115" a="1"/>
  <c r="H127" i="115" s="1"/>
  <c r="G127" i="115" a="1"/>
  <c r="G127" i="115" s="1"/>
  <c r="F127" i="115" a="1"/>
  <c r="F127" i="115" s="1"/>
  <c r="M127" i="115" s="1"/>
  <c r="E127" i="115" a="1"/>
  <c r="E127" i="115" s="1"/>
  <c r="L127" i="115" s="1"/>
  <c r="D127" i="115" a="1"/>
  <c r="D127" i="115" s="1"/>
  <c r="I126" i="115" a="1"/>
  <c r="I126" i="115" s="1"/>
  <c r="H126" i="115" a="1"/>
  <c r="H126" i="115" s="1"/>
  <c r="G126" i="115" a="1"/>
  <c r="G126" i="115" s="1"/>
  <c r="F126" i="115" a="1"/>
  <c r="F126" i="115" s="1"/>
  <c r="M126" i="115" s="1"/>
  <c r="E126" i="115" a="1"/>
  <c r="E126" i="115" s="1"/>
  <c r="L126" i="115" s="1"/>
  <c r="D126" i="115" a="1"/>
  <c r="D126" i="115" s="1"/>
  <c r="I125" i="115" a="1"/>
  <c r="I125" i="115" s="1"/>
  <c r="H125" i="115" a="1"/>
  <c r="H125" i="115" s="1"/>
  <c r="G125" i="115" a="1"/>
  <c r="G125" i="115" s="1"/>
  <c r="F125" i="115" a="1"/>
  <c r="F125" i="115" s="1"/>
  <c r="M125" i="115" s="1"/>
  <c r="E125" i="115" a="1"/>
  <c r="E125" i="115" s="1"/>
  <c r="L125" i="115" s="1"/>
  <c r="N124" i="115" s="1"/>
  <c r="D125" i="115" a="1"/>
  <c r="D125" i="115" s="1"/>
  <c r="I124" i="115" a="1"/>
  <c r="I124" i="115" s="1"/>
  <c r="H124" i="115" a="1"/>
  <c r="H124" i="115" s="1"/>
  <c r="G124" i="115" a="1"/>
  <c r="G124" i="115" s="1"/>
  <c r="F124" i="115" a="1"/>
  <c r="F124" i="115" s="1"/>
  <c r="P124" i="115" s="1"/>
  <c r="E124" i="115" a="1"/>
  <c r="E124" i="115" s="1"/>
  <c r="O124" i="115" s="1"/>
  <c r="D124" i="115" a="1"/>
  <c r="D124" i="115" s="1"/>
  <c r="I123" i="115" a="1"/>
  <c r="I123" i="115" s="1"/>
  <c r="H123" i="115" a="1"/>
  <c r="H123" i="115" s="1"/>
  <c r="G123" i="115" a="1"/>
  <c r="G123" i="115" s="1"/>
  <c r="F123" i="115" a="1"/>
  <c r="F123" i="115" s="1"/>
  <c r="P123" i="115" s="1"/>
  <c r="E123" i="115" a="1"/>
  <c r="E123" i="115" s="1"/>
  <c r="O123" i="115" s="1"/>
  <c r="D123" i="115" a="1"/>
  <c r="D123" i="115" s="1"/>
  <c r="I122" i="115" a="1"/>
  <c r="I122" i="115" s="1"/>
  <c r="H122" i="115" a="1"/>
  <c r="H122" i="115" s="1"/>
  <c r="G122" i="115" a="1"/>
  <c r="G122" i="115" s="1"/>
  <c r="F122" i="115" a="1"/>
  <c r="F122" i="115" s="1"/>
  <c r="P122" i="115" s="1"/>
  <c r="E122" i="115" a="1"/>
  <c r="E122" i="115" s="1"/>
  <c r="O122" i="115" s="1"/>
  <c r="D122" i="115" a="1"/>
  <c r="D122" i="115" s="1"/>
  <c r="I121" i="115" a="1"/>
  <c r="I121" i="115" s="1"/>
  <c r="H121" i="115" a="1"/>
  <c r="H121" i="115" s="1"/>
  <c r="G121" i="115" a="1"/>
  <c r="G121" i="115" s="1"/>
  <c r="F121" i="115" a="1"/>
  <c r="F121" i="115" s="1"/>
  <c r="P121" i="115" s="1"/>
  <c r="E121" i="115" a="1"/>
  <c r="E121" i="115" s="1"/>
  <c r="O121" i="115" s="1"/>
  <c r="D121" i="115" a="1"/>
  <c r="D121" i="115" s="1"/>
  <c r="I120" i="115" a="1"/>
  <c r="I120" i="115" s="1"/>
  <c r="H120" i="115" a="1"/>
  <c r="H120" i="115" s="1"/>
  <c r="G120" i="115" a="1"/>
  <c r="G120" i="115" s="1"/>
  <c r="F120" i="115" a="1"/>
  <c r="F120" i="115" s="1"/>
  <c r="P120" i="115" s="1"/>
  <c r="E120" i="115" a="1"/>
  <c r="E120" i="115" s="1"/>
  <c r="O120" i="115" s="1"/>
  <c r="D120" i="115" a="1"/>
  <c r="D120" i="115" s="1"/>
  <c r="O119" i="115"/>
  <c r="I119" i="115" a="1"/>
  <c r="I119" i="115" s="1"/>
  <c r="H119" i="115" a="1"/>
  <c r="H119" i="115" s="1"/>
  <c r="G119" i="115" a="1"/>
  <c r="G119" i="115" s="1"/>
  <c r="F119" i="115" a="1"/>
  <c r="F119" i="115" s="1"/>
  <c r="P119" i="115" s="1"/>
  <c r="E119" i="115" a="1"/>
  <c r="E119" i="115" s="1"/>
  <c r="D119" i="115" a="1"/>
  <c r="D119" i="115" s="1"/>
  <c r="I118" i="115" a="1"/>
  <c r="I118" i="115" s="1"/>
  <c r="H118" i="115" a="1"/>
  <c r="H118" i="115" s="1"/>
  <c r="G118" i="115" a="1"/>
  <c r="G118" i="115" s="1"/>
  <c r="F118" i="115" a="1"/>
  <c r="F118" i="115" s="1"/>
  <c r="P118" i="115" s="1"/>
  <c r="E118" i="115" a="1"/>
  <c r="E118" i="115" s="1"/>
  <c r="O118" i="115" s="1"/>
  <c r="Q117" i="115" s="1"/>
  <c r="D118" i="115" a="1"/>
  <c r="D118" i="115" s="1"/>
  <c r="I117" i="115" a="1"/>
  <c r="I117" i="115" s="1"/>
  <c r="H117" i="115" a="1"/>
  <c r="H117" i="115" s="1"/>
  <c r="G117" i="115" a="1"/>
  <c r="G117" i="115" s="1"/>
  <c r="F117" i="115" a="1"/>
  <c r="F117" i="115" s="1"/>
  <c r="M117" i="115" s="1"/>
  <c r="E117" i="115" a="1"/>
  <c r="E117" i="115" s="1"/>
  <c r="L117" i="115" s="1"/>
  <c r="D117" i="115" a="1"/>
  <c r="D117" i="115" s="1"/>
  <c r="I116" i="115" a="1"/>
  <c r="I116" i="115" s="1"/>
  <c r="H116" i="115" a="1"/>
  <c r="H116" i="115" s="1"/>
  <c r="G116" i="115" a="1"/>
  <c r="G116" i="115" s="1"/>
  <c r="F116" i="115" a="1"/>
  <c r="F116" i="115" s="1"/>
  <c r="M116" i="115" s="1"/>
  <c r="E116" i="115" a="1"/>
  <c r="E116" i="115" s="1"/>
  <c r="L116" i="115" s="1"/>
  <c r="D116" i="115" a="1"/>
  <c r="D116" i="115" s="1"/>
  <c r="I115" i="115" a="1"/>
  <c r="I115" i="115" s="1"/>
  <c r="H115" i="115" a="1"/>
  <c r="H115" i="115" s="1"/>
  <c r="G115" i="115" a="1"/>
  <c r="G115" i="115" s="1"/>
  <c r="F115" i="115" a="1"/>
  <c r="F115" i="115" s="1"/>
  <c r="M115" i="115" s="1"/>
  <c r="E115" i="115" a="1"/>
  <c r="E115" i="115" s="1"/>
  <c r="L115" i="115" s="1"/>
  <c r="D115" i="115" a="1"/>
  <c r="D115" i="115" s="1"/>
  <c r="I114" i="115" a="1"/>
  <c r="I114" i="115" s="1"/>
  <c r="H114" i="115" a="1"/>
  <c r="H114" i="115" s="1"/>
  <c r="G114" i="115" a="1"/>
  <c r="G114" i="115" s="1"/>
  <c r="F114" i="115" a="1"/>
  <c r="F114" i="115" s="1"/>
  <c r="M114" i="115" s="1"/>
  <c r="E114" i="115" a="1"/>
  <c r="E114" i="115" s="1"/>
  <c r="L114" i="115" s="1"/>
  <c r="D114" i="115" a="1"/>
  <c r="D114" i="115" s="1"/>
  <c r="I113" i="115" a="1"/>
  <c r="I113" i="115" s="1"/>
  <c r="H113" i="115" a="1"/>
  <c r="H113" i="115" s="1"/>
  <c r="G113" i="115" a="1"/>
  <c r="G113" i="115" s="1"/>
  <c r="F113" i="115" a="1"/>
  <c r="F113" i="115" s="1"/>
  <c r="M113" i="115" s="1"/>
  <c r="E113" i="115" a="1"/>
  <c r="E113" i="115" s="1"/>
  <c r="L113" i="115" s="1"/>
  <c r="D113" i="115" a="1"/>
  <c r="D113" i="115" s="1"/>
  <c r="I112" i="115" a="1"/>
  <c r="I112" i="115" s="1"/>
  <c r="H112" i="115" a="1"/>
  <c r="H112" i="115" s="1"/>
  <c r="G112" i="115" a="1"/>
  <c r="G112" i="115" s="1"/>
  <c r="F112" i="115" a="1"/>
  <c r="F112" i="115" s="1"/>
  <c r="M112" i="115" s="1"/>
  <c r="E112" i="115" a="1"/>
  <c r="E112" i="115" s="1"/>
  <c r="L112" i="115" s="1"/>
  <c r="D112" i="115" a="1"/>
  <c r="D112" i="115" s="1"/>
  <c r="I111" i="115" a="1"/>
  <c r="I111" i="115" s="1"/>
  <c r="H111" i="115" a="1"/>
  <c r="H111" i="115" s="1"/>
  <c r="G111" i="115" a="1"/>
  <c r="G111" i="115" s="1"/>
  <c r="F111" i="115" a="1"/>
  <c r="F111" i="115" s="1"/>
  <c r="M111" i="115" s="1"/>
  <c r="E111" i="115" a="1"/>
  <c r="E111" i="115" s="1"/>
  <c r="L111" i="115" s="1"/>
  <c r="D111" i="115" a="1"/>
  <c r="D111" i="115" s="1"/>
  <c r="I110" i="115" a="1"/>
  <c r="I110" i="115" s="1"/>
  <c r="H110" i="115" a="1"/>
  <c r="H110" i="115" s="1"/>
  <c r="G110" i="115" a="1"/>
  <c r="G110" i="115" s="1"/>
  <c r="F110" i="115" a="1"/>
  <c r="F110" i="115" s="1"/>
  <c r="M110" i="115" s="1"/>
  <c r="E110" i="115" a="1"/>
  <c r="E110" i="115" s="1"/>
  <c r="L110" i="115" s="1"/>
  <c r="N109" i="115" s="1"/>
  <c r="D110" i="115" a="1"/>
  <c r="D110" i="115" s="1"/>
  <c r="I109" i="115" a="1"/>
  <c r="I109" i="115" s="1"/>
  <c r="H109" i="115" a="1"/>
  <c r="H109" i="115" s="1"/>
  <c r="G109" i="115" a="1"/>
  <c r="G109" i="115" s="1"/>
  <c r="F109" i="115" a="1"/>
  <c r="F109" i="115" s="1"/>
  <c r="P109" i="115" s="1"/>
  <c r="E109" i="115" a="1"/>
  <c r="E109" i="115" s="1"/>
  <c r="O109" i="115" s="1"/>
  <c r="D109" i="115" a="1"/>
  <c r="D109" i="115" s="1"/>
  <c r="I108" i="115" a="1"/>
  <c r="I108" i="115" s="1"/>
  <c r="H108" i="115" a="1"/>
  <c r="H108" i="115" s="1"/>
  <c r="G108" i="115" a="1"/>
  <c r="G108" i="115" s="1"/>
  <c r="F108" i="115" a="1"/>
  <c r="F108" i="115" s="1"/>
  <c r="P108" i="115" s="1"/>
  <c r="E108" i="115" a="1"/>
  <c r="E108" i="115" s="1"/>
  <c r="O108" i="115" s="1"/>
  <c r="D108" i="115" a="1"/>
  <c r="D108" i="115" s="1"/>
  <c r="I107" i="115" a="1"/>
  <c r="I107" i="115" s="1"/>
  <c r="H107" i="115" a="1"/>
  <c r="H107" i="115" s="1"/>
  <c r="G107" i="115" a="1"/>
  <c r="G107" i="115" s="1"/>
  <c r="F107" i="115" a="1"/>
  <c r="F107" i="115" s="1"/>
  <c r="P107" i="115" s="1"/>
  <c r="E107" i="115" a="1"/>
  <c r="E107" i="115" s="1"/>
  <c r="O107" i="115" s="1"/>
  <c r="D107" i="115" a="1"/>
  <c r="D107" i="115" s="1"/>
  <c r="I106" i="115" a="1"/>
  <c r="I106" i="115" s="1"/>
  <c r="H106" i="115" a="1"/>
  <c r="H106" i="115" s="1"/>
  <c r="G106" i="115" a="1"/>
  <c r="G106" i="115" s="1"/>
  <c r="F106" i="115" a="1"/>
  <c r="F106" i="115" s="1"/>
  <c r="P106" i="115" s="1"/>
  <c r="E106" i="115" a="1"/>
  <c r="E106" i="115" s="1"/>
  <c r="O106" i="115" s="1"/>
  <c r="D106" i="115" a="1"/>
  <c r="D106" i="115" s="1"/>
  <c r="I105" i="115" a="1"/>
  <c r="I105" i="115" s="1"/>
  <c r="H105" i="115" a="1"/>
  <c r="H105" i="115" s="1"/>
  <c r="G105" i="115" a="1"/>
  <c r="G105" i="115" s="1"/>
  <c r="F105" i="115" a="1"/>
  <c r="F105" i="115" s="1"/>
  <c r="P105" i="115" s="1"/>
  <c r="E105" i="115" a="1"/>
  <c r="E105" i="115" s="1"/>
  <c r="O105" i="115" s="1"/>
  <c r="Q104" i="115" s="1"/>
  <c r="D105" i="115" a="1"/>
  <c r="D105" i="115" s="1"/>
  <c r="I104" i="115" a="1"/>
  <c r="I104" i="115" s="1"/>
  <c r="H104" i="115" a="1"/>
  <c r="H104" i="115" s="1"/>
  <c r="G104" i="115" a="1"/>
  <c r="G104" i="115" s="1"/>
  <c r="F104" i="115" a="1"/>
  <c r="F104" i="115" s="1"/>
  <c r="M104" i="115" s="1"/>
  <c r="E104" i="115" a="1"/>
  <c r="E104" i="115" s="1"/>
  <c r="L104" i="115" s="1"/>
  <c r="D104" i="115" a="1"/>
  <c r="D104" i="115" s="1"/>
  <c r="I103" i="115" a="1"/>
  <c r="I103" i="115" s="1"/>
  <c r="H103" i="115" a="1"/>
  <c r="H103" i="115" s="1"/>
  <c r="G103" i="115" a="1"/>
  <c r="G103" i="115" s="1"/>
  <c r="F103" i="115" a="1"/>
  <c r="F103" i="115" s="1"/>
  <c r="M103" i="115" s="1"/>
  <c r="E103" i="115" a="1"/>
  <c r="E103" i="115" s="1"/>
  <c r="L103" i="115" s="1"/>
  <c r="D103" i="115" a="1"/>
  <c r="D103" i="115" s="1"/>
  <c r="I102" i="115" a="1"/>
  <c r="I102" i="115" s="1"/>
  <c r="H102" i="115" a="1"/>
  <c r="H102" i="115" s="1"/>
  <c r="G102" i="115" a="1"/>
  <c r="G102" i="115" s="1"/>
  <c r="F102" i="115" a="1"/>
  <c r="F102" i="115" s="1"/>
  <c r="M102" i="115" s="1"/>
  <c r="E102" i="115" a="1"/>
  <c r="E102" i="115" s="1"/>
  <c r="L102" i="115" s="1"/>
  <c r="D102" i="115" a="1"/>
  <c r="D102" i="115" s="1"/>
  <c r="I101" i="115" a="1"/>
  <c r="I101" i="115" s="1"/>
  <c r="H101" i="115" a="1"/>
  <c r="H101" i="115" s="1"/>
  <c r="G101" i="115" a="1"/>
  <c r="G101" i="115" s="1"/>
  <c r="F101" i="115" a="1"/>
  <c r="F101" i="115" s="1"/>
  <c r="M101" i="115" s="1"/>
  <c r="E101" i="115" a="1"/>
  <c r="E101" i="115" s="1"/>
  <c r="L101" i="115" s="1"/>
  <c r="D101" i="115" a="1"/>
  <c r="D101" i="115" s="1"/>
  <c r="I100" i="115" a="1"/>
  <c r="I100" i="115" s="1"/>
  <c r="H100" i="115" a="1"/>
  <c r="H100" i="115" s="1"/>
  <c r="G100" i="115" a="1"/>
  <c r="G100" i="115" s="1"/>
  <c r="F100" i="115" a="1"/>
  <c r="F100" i="115" s="1"/>
  <c r="M100" i="115" s="1"/>
  <c r="E100" i="115" a="1"/>
  <c r="E100" i="115" s="1"/>
  <c r="L100" i="115" s="1"/>
  <c r="D100" i="115" a="1"/>
  <c r="D100" i="115" s="1"/>
  <c r="I99" i="115" a="1"/>
  <c r="I99" i="115" s="1"/>
  <c r="H99" i="115" a="1"/>
  <c r="H99" i="115" s="1"/>
  <c r="G99" i="115" a="1"/>
  <c r="G99" i="115" s="1"/>
  <c r="F99" i="115" a="1"/>
  <c r="F99" i="115" s="1"/>
  <c r="M99" i="115" s="1"/>
  <c r="E99" i="115" a="1"/>
  <c r="E99" i="115" s="1"/>
  <c r="L99" i="115" s="1"/>
  <c r="D99" i="115" a="1"/>
  <c r="D99" i="115" s="1"/>
  <c r="I98" i="115" a="1"/>
  <c r="I98" i="115" s="1"/>
  <c r="H98" i="115" a="1"/>
  <c r="H98" i="115" s="1"/>
  <c r="G98" i="115" a="1"/>
  <c r="G98" i="115" s="1"/>
  <c r="F98" i="115" a="1"/>
  <c r="F98" i="115" s="1"/>
  <c r="M98" i="115" s="1"/>
  <c r="E98" i="115" a="1"/>
  <c r="E98" i="115" s="1"/>
  <c r="L98" i="115" s="1"/>
  <c r="N97" i="115" s="1"/>
  <c r="D98" i="115" a="1"/>
  <c r="D98" i="115" s="1"/>
  <c r="I97" i="115" a="1"/>
  <c r="I97" i="115" s="1"/>
  <c r="H97" i="115" a="1"/>
  <c r="H97" i="115" s="1"/>
  <c r="G97" i="115" a="1"/>
  <c r="G97" i="115" s="1"/>
  <c r="F97" i="115" a="1"/>
  <c r="F97" i="115" s="1"/>
  <c r="P97" i="115" s="1"/>
  <c r="E97" i="115" a="1"/>
  <c r="E97" i="115" s="1"/>
  <c r="O97" i="115" s="1"/>
  <c r="D97" i="115" a="1"/>
  <c r="D97" i="115" s="1"/>
  <c r="I96" i="115" a="1"/>
  <c r="I96" i="115" s="1"/>
  <c r="H96" i="115" a="1"/>
  <c r="H96" i="115" s="1"/>
  <c r="G96" i="115" a="1"/>
  <c r="G96" i="115" s="1"/>
  <c r="F96" i="115" a="1"/>
  <c r="F96" i="115" s="1"/>
  <c r="P96" i="115" s="1"/>
  <c r="E96" i="115" a="1"/>
  <c r="E96" i="115" s="1"/>
  <c r="O96" i="115" s="1"/>
  <c r="D96" i="115" a="1"/>
  <c r="D96" i="115" s="1"/>
  <c r="I95" i="115" a="1"/>
  <c r="I95" i="115" s="1"/>
  <c r="H95" i="115" a="1"/>
  <c r="H95" i="115" s="1"/>
  <c r="G95" i="115" a="1"/>
  <c r="G95" i="115" s="1"/>
  <c r="F95" i="115" a="1"/>
  <c r="F95" i="115" s="1"/>
  <c r="P95" i="115" s="1"/>
  <c r="E95" i="115" a="1"/>
  <c r="E95" i="115" s="1"/>
  <c r="O95" i="115" s="1"/>
  <c r="D95" i="115" a="1"/>
  <c r="D95" i="115" s="1"/>
  <c r="I94" i="115" a="1"/>
  <c r="I94" i="115" s="1"/>
  <c r="H94" i="115" a="1"/>
  <c r="H94" i="115" s="1"/>
  <c r="G94" i="115" a="1"/>
  <c r="G94" i="115" s="1"/>
  <c r="F94" i="115" a="1"/>
  <c r="F94" i="115" s="1"/>
  <c r="P94" i="115" s="1"/>
  <c r="E94" i="115" a="1"/>
  <c r="E94" i="115" s="1"/>
  <c r="O94" i="115" s="1"/>
  <c r="D94" i="115"/>
  <c r="D94" i="115" a="1"/>
  <c r="I93" i="115" a="1"/>
  <c r="I93" i="115" s="1"/>
  <c r="H93" i="115" a="1"/>
  <c r="H93" i="115" s="1"/>
  <c r="G93" i="115" a="1"/>
  <c r="G93" i="115" s="1"/>
  <c r="F93" i="115" a="1"/>
  <c r="F93" i="115" s="1"/>
  <c r="P93" i="115" s="1"/>
  <c r="E93" i="115" a="1"/>
  <c r="E93" i="115" s="1"/>
  <c r="O93" i="115" s="1"/>
  <c r="D93" i="115" a="1"/>
  <c r="D93" i="115" s="1"/>
  <c r="I92" i="115" a="1"/>
  <c r="I92" i="115" s="1"/>
  <c r="H92" i="115" a="1"/>
  <c r="H92" i="115" s="1"/>
  <c r="G92" i="115" a="1"/>
  <c r="G92" i="115" s="1"/>
  <c r="F92" i="115" a="1"/>
  <c r="F92" i="115" s="1"/>
  <c r="P92" i="115" s="1"/>
  <c r="E92" i="115" a="1"/>
  <c r="E92" i="115" s="1"/>
  <c r="O92" i="115" s="1"/>
  <c r="D92" i="115" a="1"/>
  <c r="D92" i="115" s="1"/>
  <c r="I91" i="115" a="1"/>
  <c r="I91" i="115" s="1"/>
  <c r="H91" i="115" a="1"/>
  <c r="H91" i="115" s="1"/>
  <c r="G91" i="115" a="1"/>
  <c r="G91" i="115" s="1"/>
  <c r="F91" i="115" a="1"/>
  <c r="F91" i="115" s="1"/>
  <c r="P91" i="115" s="1"/>
  <c r="E91" i="115" a="1"/>
  <c r="E91" i="115" s="1"/>
  <c r="O91" i="115" s="1"/>
  <c r="D91" i="115" a="1"/>
  <c r="D91" i="115" s="1"/>
  <c r="I90" i="115" a="1"/>
  <c r="I90" i="115" s="1"/>
  <c r="H90" i="115" a="1"/>
  <c r="H90" i="115" s="1"/>
  <c r="G90" i="115" a="1"/>
  <c r="G90" i="115" s="1"/>
  <c r="F90" i="115" a="1"/>
  <c r="F90" i="115" s="1"/>
  <c r="P90" i="115" s="1"/>
  <c r="E90" i="115" a="1"/>
  <c r="E90" i="115" s="1"/>
  <c r="T129" i="113" s="1" a="1"/>
  <c r="T129" i="113" s="1"/>
  <c r="D90" i="115" a="1"/>
  <c r="D90" i="115" s="1"/>
  <c r="I86" i="115" a="1"/>
  <c r="I86" i="115" s="1"/>
  <c r="H86" i="115" a="1"/>
  <c r="H86" i="115" s="1"/>
  <c r="G86" i="115" a="1"/>
  <c r="G86" i="115" s="1"/>
  <c r="F86" i="115" a="1"/>
  <c r="F86" i="115" s="1"/>
  <c r="E86" i="115" a="1"/>
  <c r="E86" i="115" s="1"/>
  <c r="D86" i="115" a="1"/>
  <c r="D86" i="115" s="1"/>
  <c r="I85" i="115" a="1"/>
  <c r="I85" i="115" s="1"/>
  <c r="H85" i="115" a="1"/>
  <c r="H85" i="115" s="1"/>
  <c r="G85" i="115" a="1"/>
  <c r="G85" i="115" s="1"/>
  <c r="F85" i="115" a="1"/>
  <c r="F85" i="115" s="1"/>
  <c r="E85" i="115" a="1"/>
  <c r="E85" i="115" s="1"/>
  <c r="D85" i="115" a="1"/>
  <c r="D85" i="115" s="1"/>
  <c r="I84" i="115" a="1"/>
  <c r="I84" i="115" s="1"/>
  <c r="H84" i="115" a="1"/>
  <c r="H84" i="115" s="1"/>
  <c r="G84" i="115" a="1"/>
  <c r="G84" i="115" s="1"/>
  <c r="F84" i="115" a="1"/>
  <c r="F84" i="115" s="1"/>
  <c r="E84" i="115" a="1"/>
  <c r="E84" i="115" s="1"/>
  <c r="D84" i="115" a="1"/>
  <c r="D84" i="115" s="1"/>
  <c r="I83" i="115" a="1"/>
  <c r="I83" i="115" s="1"/>
  <c r="H83" i="115" a="1"/>
  <c r="H83" i="115" s="1"/>
  <c r="G83" i="115" a="1"/>
  <c r="G83" i="115" s="1"/>
  <c r="F83" i="115" a="1"/>
  <c r="F83" i="115" s="1"/>
  <c r="E83" i="115" a="1"/>
  <c r="E83" i="115" s="1"/>
  <c r="G467" i="113" s="1" a="1"/>
  <c r="G467" i="113" s="1"/>
  <c r="D83" i="115" a="1"/>
  <c r="D83" i="115" s="1"/>
  <c r="I80" i="115" a="1"/>
  <c r="I80" i="115" s="1"/>
  <c r="H80" i="115" a="1"/>
  <c r="H80" i="115" s="1"/>
  <c r="G80" i="115" a="1"/>
  <c r="G80" i="115" s="1"/>
  <c r="F80" i="115" a="1"/>
  <c r="F80" i="115" s="1"/>
  <c r="E80" i="115" a="1"/>
  <c r="E80" i="115" s="1"/>
  <c r="D80" i="115" a="1"/>
  <c r="D80" i="115" s="1"/>
  <c r="I79" i="115" a="1"/>
  <c r="I79" i="115" s="1"/>
  <c r="H79" i="115" a="1"/>
  <c r="H79" i="115" s="1"/>
  <c r="G79" i="115" a="1"/>
  <c r="G79" i="115" s="1"/>
  <c r="F79" i="115" a="1"/>
  <c r="F79" i="115" s="1"/>
  <c r="E79" i="115" a="1"/>
  <c r="E79" i="115" s="1"/>
  <c r="D79" i="115" a="1"/>
  <c r="D79" i="115" s="1"/>
  <c r="I78" i="115" a="1"/>
  <c r="I78" i="115" s="1"/>
  <c r="H78" i="115" a="1"/>
  <c r="H78" i="115" s="1"/>
  <c r="G78" i="115" a="1"/>
  <c r="G78" i="115" s="1"/>
  <c r="F78" i="115" a="1"/>
  <c r="F78" i="115" s="1"/>
  <c r="E78" i="115" a="1"/>
  <c r="E78" i="115" s="1"/>
  <c r="G449" i="113" s="1" a="1"/>
  <c r="G449" i="113" s="1"/>
  <c r="D78" i="115" a="1"/>
  <c r="D78" i="115" s="1"/>
  <c r="I74" i="115" a="1"/>
  <c r="I74" i="115" s="1"/>
  <c r="H74" i="115" a="1"/>
  <c r="H74" i="115" s="1"/>
  <c r="G74" i="115"/>
  <c r="G74" i="115" a="1"/>
  <c r="F74" i="115" a="1"/>
  <c r="F74" i="115" s="1"/>
  <c r="E74" i="115" a="1"/>
  <c r="E74" i="115" s="1"/>
  <c r="D74" i="115" a="1"/>
  <c r="D74" i="115" s="1"/>
  <c r="I73" i="115" a="1"/>
  <c r="I73" i="115" s="1"/>
  <c r="H73" i="115" a="1"/>
  <c r="H73" i="115" s="1"/>
  <c r="G73" i="115" a="1"/>
  <c r="G73" i="115" s="1"/>
  <c r="F73" i="115" a="1"/>
  <c r="F73" i="115" s="1"/>
  <c r="E73" i="115" a="1"/>
  <c r="E73" i="115" s="1"/>
  <c r="D73" i="115" a="1"/>
  <c r="D73" i="115" s="1"/>
  <c r="I72" i="115" a="1"/>
  <c r="I72" i="115" s="1"/>
  <c r="H72" i="115" a="1"/>
  <c r="H72" i="115" s="1"/>
  <c r="G72" i="115" a="1"/>
  <c r="G72" i="115" s="1"/>
  <c r="F72" i="115" a="1"/>
  <c r="F72" i="115" s="1"/>
  <c r="E72" i="115" a="1"/>
  <c r="E72" i="115" s="1"/>
  <c r="D72" i="115" a="1"/>
  <c r="D72" i="115" s="1"/>
  <c r="I71" i="115" a="1"/>
  <c r="I71" i="115" s="1"/>
  <c r="H71" i="115" a="1"/>
  <c r="H71" i="115" s="1"/>
  <c r="G71" i="115" a="1"/>
  <c r="G71" i="115" s="1"/>
  <c r="F71" i="115" a="1"/>
  <c r="F71" i="115" s="1"/>
  <c r="E71" i="115" a="1"/>
  <c r="E71" i="115" s="1"/>
  <c r="D71" i="115" a="1"/>
  <c r="D71" i="115" s="1"/>
  <c r="I70" i="115" a="1"/>
  <c r="I70" i="115" s="1"/>
  <c r="H70" i="115" a="1"/>
  <c r="H70" i="115" s="1"/>
  <c r="G70" i="115" a="1"/>
  <c r="G70" i="115" s="1"/>
  <c r="F70" i="115" a="1"/>
  <c r="F70" i="115" s="1"/>
  <c r="E70" i="115" a="1"/>
  <c r="E70" i="115" s="1"/>
  <c r="D70" i="115" a="1"/>
  <c r="D70" i="115" s="1"/>
  <c r="I69" i="115" a="1"/>
  <c r="I69" i="115" s="1"/>
  <c r="H69" i="115" a="1"/>
  <c r="H69" i="115" s="1"/>
  <c r="G69" i="115" a="1"/>
  <c r="G69" i="115" s="1"/>
  <c r="F69" i="115" a="1"/>
  <c r="F69" i="115" s="1"/>
  <c r="E69" i="115" a="1"/>
  <c r="E69" i="115" s="1"/>
  <c r="D69" i="115" a="1"/>
  <c r="D69" i="115" s="1"/>
  <c r="I68" i="115" a="1"/>
  <c r="I68" i="115" s="1"/>
  <c r="H68" i="115" a="1"/>
  <c r="H68" i="115" s="1"/>
  <c r="G68" i="115" a="1"/>
  <c r="G68" i="115" s="1"/>
  <c r="F68" i="115" a="1"/>
  <c r="F68" i="115" s="1"/>
  <c r="E68" i="115" a="1"/>
  <c r="E68" i="115" s="1"/>
  <c r="D68" i="115" a="1"/>
  <c r="D68" i="115" s="1"/>
  <c r="I67" i="115" a="1"/>
  <c r="I67" i="115" s="1"/>
  <c r="H67" i="115" a="1"/>
  <c r="H67" i="115" s="1"/>
  <c r="G67" i="115" a="1"/>
  <c r="G67" i="115" s="1"/>
  <c r="F67" i="115" a="1"/>
  <c r="F67" i="115" s="1"/>
  <c r="E67" i="115" a="1"/>
  <c r="E67" i="115" s="1"/>
  <c r="D67" i="115" a="1"/>
  <c r="D67" i="115" s="1"/>
  <c r="I66" i="115" a="1"/>
  <c r="I66" i="115" s="1"/>
  <c r="H66" i="115" a="1"/>
  <c r="H66" i="115" s="1"/>
  <c r="G66" i="115" a="1"/>
  <c r="G66" i="115" s="1"/>
  <c r="F66" i="115" a="1"/>
  <c r="F66" i="115" s="1"/>
  <c r="E66" i="115" a="1"/>
  <c r="E66" i="115" s="1"/>
  <c r="D66" i="115" a="1"/>
  <c r="D66" i="115" s="1"/>
  <c r="I65" i="115" a="1"/>
  <c r="I65" i="115" s="1"/>
  <c r="H65" i="115" a="1"/>
  <c r="H65" i="115" s="1"/>
  <c r="G65" i="115" a="1"/>
  <c r="G65" i="115" s="1"/>
  <c r="F65" i="115" a="1"/>
  <c r="F65" i="115" s="1"/>
  <c r="E65" i="115" a="1"/>
  <c r="E65" i="115" s="1"/>
  <c r="D65" i="115" a="1"/>
  <c r="D65" i="115" s="1"/>
  <c r="I64" i="115" a="1"/>
  <c r="I64" i="115" s="1"/>
  <c r="H64" i="115" a="1"/>
  <c r="H64" i="115" s="1"/>
  <c r="G64" i="115" a="1"/>
  <c r="G64" i="115" s="1"/>
  <c r="F64" i="115" a="1"/>
  <c r="F64" i="115" s="1"/>
  <c r="E64" i="115" a="1"/>
  <c r="E64" i="115" s="1"/>
  <c r="D64" i="115" a="1"/>
  <c r="D64" i="115" s="1"/>
  <c r="I63" i="115" a="1"/>
  <c r="I63" i="115" s="1"/>
  <c r="H63" i="115"/>
  <c r="H63" i="115" a="1"/>
  <c r="G63" i="115" a="1"/>
  <c r="G63" i="115" s="1"/>
  <c r="F63" i="115" a="1"/>
  <c r="F63" i="115" s="1"/>
  <c r="E63" i="115" a="1"/>
  <c r="E63" i="115" s="1"/>
  <c r="D63" i="115" a="1"/>
  <c r="D63" i="115" s="1"/>
  <c r="I62" i="115" a="1"/>
  <c r="I62" i="115" s="1"/>
  <c r="H62" i="115" a="1"/>
  <c r="H62" i="115" s="1"/>
  <c r="G62" i="115" a="1"/>
  <c r="G62" i="115" s="1"/>
  <c r="F62" i="115" a="1"/>
  <c r="F62" i="115" s="1"/>
  <c r="E62" i="115" a="1"/>
  <c r="E62" i="115" s="1"/>
  <c r="D62" i="115" a="1"/>
  <c r="D62" i="115" s="1"/>
  <c r="I61" i="115" a="1"/>
  <c r="I61" i="115" s="1"/>
  <c r="H61" i="115" a="1"/>
  <c r="H61" i="115" s="1"/>
  <c r="G61" i="115" a="1"/>
  <c r="G61" i="115" s="1"/>
  <c r="F61" i="115" a="1"/>
  <c r="F61" i="115" s="1"/>
  <c r="E61" i="115" a="1"/>
  <c r="E61" i="115" s="1"/>
  <c r="D61" i="115" a="1"/>
  <c r="D61" i="115" s="1"/>
  <c r="I60" i="115" a="1"/>
  <c r="I60" i="115" s="1"/>
  <c r="H60" i="115" a="1"/>
  <c r="H60" i="115" s="1"/>
  <c r="G60" i="115" a="1"/>
  <c r="G60" i="115" s="1"/>
  <c r="F60" i="115" a="1"/>
  <c r="F60" i="115" s="1"/>
  <c r="E60" i="115" a="1"/>
  <c r="E60" i="115" s="1"/>
  <c r="D60" i="115" a="1"/>
  <c r="D60" i="115" s="1"/>
  <c r="I59" i="115" a="1"/>
  <c r="I59" i="115" s="1"/>
  <c r="H59" i="115" a="1"/>
  <c r="H59" i="115" s="1"/>
  <c r="G59" i="115" a="1"/>
  <c r="G59" i="115" s="1"/>
  <c r="F59" i="115" a="1"/>
  <c r="F59" i="115" s="1"/>
  <c r="E59" i="115" a="1"/>
  <c r="E59" i="115" s="1"/>
  <c r="D59" i="115" a="1"/>
  <c r="D59" i="115" s="1"/>
  <c r="I58" i="115" a="1"/>
  <c r="I58" i="115" s="1"/>
  <c r="H58" i="115" a="1"/>
  <c r="H58" i="115" s="1"/>
  <c r="G58" i="115" a="1"/>
  <c r="G58" i="115" s="1"/>
  <c r="F58" i="115" a="1"/>
  <c r="F58" i="115" s="1"/>
  <c r="E58" i="115" a="1"/>
  <c r="E58" i="115" s="1"/>
  <c r="D58" i="115" a="1"/>
  <c r="D58" i="115" s="1"/>
  <c r="I57" i="115" a="1"/>
  <c r="I57" i="115" s="1"/>
  <c r="H57" i="115" a="1"/>
  <c r="H57" i="115" s="1"/>
  <c r="G57" i="115" a="1"/>
  <c r="G57" i="115" s="1"/>
  <c r="F57" i="115" a="1"/>
  <c r="F57" i="115" s="1"/>
  <c r="E57" i="115" a="1"/>
  <c r="E57" i="115" s="1"/>
  <c r="D57" i="115" a="1"/>
  <c r="D57" i="115" s="1"/>
  <c r="I56" i="115" a="1"/>
  <c r="I56" i="115" s="1"/>
  <c r="H56" i="115" a="1"/>
  <c r="H56" i="115" s="1"/>
  <c r="G56" i="115" a="1"/>
  <c r="G56" i="115" s="1"/>
  <c r="F56" i="115" a="1"/>
  <c r="F56" i="115" s="1"/>
  <c r="E56" i="115" a="1"/>
  <c r="E56" i="115" s="1"/>
  <c r="D56" i="115" a="1"/>
  <c r="D56" i="115" s="1"/>
  <c r="I55" i="115" a="1"/>
  <c r="I55" i="115" s="1"/>
  <c r="H55" i="115" a="1"/>
  <c r="H55" i="115" s="1"/>
  <c r="G55" i="115" a="1"/>
  <c r="G55" i="115" s="1"/>
  <c r="F55" i="115" a="1"/>
  <c r="F55" i="115" s="1"/>
  <c r="E55" i="115" a="1"/>
  <c r="E55" i="115" s="1"/>
  <c r="D55" i="115" a="1"/>
  <c r="D55" i="115" s="1"/>
  <c r="I54" i="115" a="1"/>
  <c r="I54" i="115" s="1"/>
  <c r="H54" i="115" a="1"/>
  <c r="H54" i="115" s="1"/>
  <c r="G54" i="115" a="1"/>
  <c r="G54" i="115" s="1"/>
  <c r="F54" i="115" a="1"/>
  <c r="F54" i="115" s="1"/>
  <c r="E54" i="115" a="1"/>
  <c r="E54" i="115" s="1"/>
  <c r="D54" i="115" a="1"/>
  <c r="D54" i="115" s="1"/>
  <c r="I53" i="115" a="1"/>
  <c r="I53" i="115" s="1"/>
  <c r="H53" i="115" a="1"/>
  <c r="H53" i="115" s="1"/>
  <c r="G53" i="115" a="1"/>
  <c r="G53" i="115" s="1"/>
  <c r="F53" i="115" a="1"/>
  <c r="F53" i="115" s="1"/>
  <c r="E53" i="115" a="1"/>
  <c r="E53" i="115" s="1"/>
  <c r="D53" i="115" a="1"/>
  <c r="D53" i="115" s="1"/>
  <c r="I52" i="115" a="1"/>
  <c r="I52" i="115" s="1"/>
  <c r="H52" i="115" a="1"/>
  <c r="H52" i="115" s="1"/>
  <c r="G52" i="115" a="1"/>
  <c r="G52" i="115" s="1"/>
  <c r="F52" i="115" a="1"/>
  <c r="F52" i="115" s="1"/>
  <c r="E52" i="115" a="1"/>
  <c r="E52" i="115" s="1"/>
  <c r="D52" i="115" a="1"/>
  <c r="D52" i="115" s="1"/>
  <c r="I51" i="115" a="1"/>
  <c r="I51" i="115" s="1"/>
  <c r="H51" i="115" a="1"/>
  <c r="H51" i="115" s="1"/>
  <c r="G51" i="115" a="1"/>
  <c r="G51" i="115" s="1"/>
  <c r="F51" i="115" a="1"/>
  <c r="F51" i="115" s="1"/>
  <c r="E51" i="115" a="1"/>
  <c r="E51" i="115" s="1"/>
  <c r="D51" i="115" a="1"/>
  <c r="D51" i="115" s="1"/>
  <c r="I50" i="115" a="1"/>
  <c r="I50" i="115" s="1"/>
  <c r="H50" i="115" a="1"/>
  <c r="H50" i="115" s="1"/>
  <c r="G50" i="115" a="1"/>
  <c r="G50" i="115" s="1"/>
  <c r="F50" i="115" a="1"/>
  <c r="F50" i="115" s="1"/>
  <c r="E50" i="115" a="1"/>
  <c r="E50" i="115" s="1"/>
  <c r="D50" i="115" a="1"/>
  <c r="D50" i="115" s="1"/>
  <c r="I49" i="115" a="1"/>
  <c r="I49" i="115" s="1"/>
  <c r="H49" i="115" a="1"/>
  <c r="H49" i="115" s="1"/>
  <c r="G49" i="115" a="1"/>
  <c r="G49" i="115" s="1"/>
  <c r="F49" i="115" a="1"/>
  <c r="F49" i="115" s="1"/>
  <c r="E49" i="115" a="1"/>
  <c r="E49" i="115" s="1"/>
  <c r="D49" i="115" a="1"/>
  <c r="D49" i="115" s="1"/>
  <c r="I48" i="115" a="1"/>
  <c r="I48" i="115" s="1"/>
  <c r="H48" i="115" a="1"/>
  <c r="H48" i="115" s="1"/>
  <c r="G48" i="115" a="1"/>
  <c r="G48" i="115" s="1"/>
  <c r="F48" i="115" a="1"/>
  <c r="F48" i="115" s="1"/>
  <c r="E48" i="115" a="1"/>
  <c r="E48" i="115" s="1"/>
  <c r="D48" i="115" a="1"/>
  <c r="D48" i="115" s="1"/>
  <c r="I47" i="115" a="1"/>
  <c r="I47" i="115" s="1"/>
  <c r="H47" i="115" a="1"/>
  <c r="H47" i="115" s="1"/>
  <c r="G47" i="115" a="1"/>
  <c r="G47" i="115" s="1"/>
  <c r="F47" i="115" a="1"/>
  <c r="F47" i="115" s="1"/>
  <c r="E47" i="115" a="1"/>
  <c r="E47" i="115" s="1"/>
  <c r="D47" i="115" a="1"/>
  <c r="D47" i="115" s="1"/>
  <c r="I46" i="115" a="1"/>
  <c r="I46" i="115" s="1"/>
  <c r="H46" i="115" a="1"/>
  <c r="H46" i="115" s="1"/>
  <c r="G46" i="115" a="1"/>
  <c r="G46" i="115" s="1"/>
  <c r="F46" i="115" a="1"/>
  <c r="F46" i="115" s="1"/>
  <c r="E46" i="115" a="1"/>
  <c r="E46" i="115" s="1"/>
  <c r="D46" i="115" a="1"/>
  <c r="D46" i="115" s="1"/>
  <c r="I45" i="115" a="1"/>
  <c r="I45" i="115" s="1"/>
  <c r="H45" i="115" a="1"/>
  <c r="H45" i="115" s="1"/>
  <c r="G45" i="115" a="1"/>
  <c r="G45" i="115" s="1"/>
  <c r="F45" i="115" a="1"/>
  <c r="F45" i="115" s="1"/>
  <c r="E45" i="115" a="1"/>
  <c r="E45" i="115" s="1"/>
  <c r="D45" i="115" a="1"/>
  <c r="D45" i="115" s="1"/>
  <c r="I44" i="115" a="1"/>
  <c r="I44" i="115" s="1"/>
  <c r="H44" i="115" a="1"/>
  <c r="H44" i="115" s="1"/>
  <c r="G44" i="115" a="1"/>
  <c r="G44" i="115" s="1"/>
  <c r="F44" i="115" a="1"/>
  <c r="F44" i="115" s="1"/>
  <c r="E44" i="115" a="1"/>
  <c r="E44" i="115" s="1"/>
  <c r="D44" i="115" a="1"/>
  <c r="D44" i="115" s="1"/>
  <c r="I43" i="115" a="1"/>
  <c r="I43" i="115" s="1"/>
  <c r="H43" i="115" a="1"/>
  <c r="H43" i="115" s="1"/>
  <c r="G43" i="115" a="1"/>
  <c r="G43" i="115" s="1"/>
  <c r="F43" i="115" a="1"/>
  <c r="F43" i="115" s="1"/>
  <c r="E43" i="115" a="1"/>
  <c r="E43" i="115" s="1"/>
  <c r="D43" i="115" a="1"/>
  <c r="D43" i="115" s="1"/>
  <c r="I42" i="115" a="1"/>
  <c r="I42" i="115" s="1"/>
  <c r="H42" i="115" a="1"/>
  <c r="H42" i="115" s="1"/>
  <c r="G42" i="115" a="1"/>
  <c r="G42" i="115" s="1"/>
  <c r="F42" i="115" a="1"/>
  <c r="F42" i="115" s="1"/>
  <c r="E42" i="115" a="1"/>
  <c r="E42" i="115" s="1"/>
  <c r="D42" i="115" a="1"/>
  <c r="D42" i="115" s="1"/>
  <c r="I41" i="115" a="1"/>
  <c r="I41" i="115" s="1"/>
  <c r="H41" i="115" a="1"/>
  <c r="H41" i="115" s="1"/>
  <c r="G41" i="115" a="1"/>
  <c r="G41" i="115" s="1"/>
  <c r="F41" i="115" a="1"/>
  <c r="F41" i="115" s="1"/>
  <c r="E41" i="115" a="1"/>
  <c r="E41" i="115" s="1"/>
  <c r="D41" i="115" a="1"/>
  <c r="D41" i="115" s="1"/>
  <c r="I40" i="115" a="1"/>
  <c r="I40" i="115" s="1"/>
  <c r="H40" i="115" a="1"/>
  <c r="H40" i="115" s="1"/>
  <c r="G40" i="115" a="1"/>
  <c r="G40" i="115" s="1"/>
  <c r="F40" i="115" a="1"/>
  <c r="F40" i="115" s="1"/>
  <c r="E40" i="115" a="1"/>
  <c r="E40" i="115" s="1"/>
  <c r="D40" i="115" a="1"/>
  <c r="D40" i="115" s="1"/>
  <c r="I39" i="115" a="1"/>
  <c r="I39" i="115" s="1"/>
  <c r="H39" i="115" a="1"/>
  <c r="H39" i="115" s="1"/>
  <c r="G39" i="115" a="1"/>
  <c r="G39" i="115" s="1"/>
  <c r="F39" i="115" a="1"/>
  <c r="F39" i="115" s="1"/>
  <c r="E39" i="115" a="1"/>
  <c r="E39" i="115" s="1"/>
  <c r="D39" i="115" a="1"/>
  <c r="D39" i="115" s="1"/>
  <c r="I38" i="115" a="1"/>
  <c r="I38" i="115" s="1"/>
  <c r="H38" i="115" a="1"/>
  <c r="H38" i="115" s="1"/>
  <c r="G38" i="115" a="1"/>
  <c r="G38" i="115" s="1"/>
  <c r="F38" i="115" a="1"/>
  <c r="F38" i="115" s="1"/>
  <c r="E38" i="115" a="1"/>
  <c r="E38" i="115" s="1"/>
  <c r="D38" i="115" a="1"/>
  <c r="D38" i="115" s="1"/>
  <c r="I37" i="115" a="1"/>
  <c r="I37" i="115" s="1"/>
  <c r="H37" i="115" a="1"/>
  <c r="H37" i="115" s="1"/>
  <c r="G37" i="115" a="1"/>
  <c r="G37" i="115" s="1"/>
  <c r="F37" i="115" a="1"/>
  <c r="F37" i="115" s="1"/>
  <c r="E37" i="115" a="1"/>
  <c r="E37" i="115" s="1"/>
  <c r="D37" i="115" a="1"/>
  <c r="D37" i="115" s="1"/>
  <c r="I36" i="115" a="1"/>
  <c r="I36" i="115" s="1"/>
  <c r="H36" i="115" a="1"/>
  <c r="H36" i="115" s="1"/>
  <c r="G36" i="115" a="1"/>
  <c r="G36" i="115" s="1"/>
  <c r="F36" i="115" a="1"/>
  <c r="F36" i="115" s="1"/>
  <c r="E36" i="115" a="1"/>
  <c r="E36" i="115" s="1"/>
  <c r="D36" i="115" a="1"/>
  <c r="D36" i="115" s="1"/>
  <c r="I35" i="115" a="1"/>
  <c r="I35" i="115" s="1"/>
  <c r="H35" i="115" a="1"/>
  <c r="H35" i="115" s="1"/>
  <c r="G35" i="115" a="1"/>
  <c r="G35" i="115" s="1"/>
  <c r="F35" i="115" a="1"/>
  <c r="F35" i="115" s="1"/>
  <c r="E35" i="115" a="1"/>
  <c r="E35" i="115" s="1"/>
  <c r="D35" i="115" a="1"/>
  <c r="D35" i="115" s="1"/>
  <c r="I34" i="115" a="1"/>
  <c r="I34" i="115" s="1"/>
  <c r="H34" i="115" a="1"/>
  <c r="H34" i="115" s="1"/>
  <c r="G34" i="115" a="1"/>
  <c r="G34" i="115" s="1"/>
  <c r="F34" i="115" a="1"/>
  <c r="F34" i="115" s="1"/>
  <c r="E34" i="115" a="1"/>
  <c r="E34" i="115" s="1"/>
  <c r="I31" i="113" s="1" a="1"/>
  <c r="I31" i="113" s="1"/>
  <c r="D34" i="115" a="1"/>
  <c r="D34" i="115" s="1"/>
  <c r="R85" i="114" a="1"/>
  <c r="R85" i="114" s="1"/>
  <c r="N85" i="114" a="1"/>
  <c r="N85" i="114" s="1"/>
  <c r="H85" i="114" a="1"/>
  <c r="H85" i="114" s="1"/>
  <c r="D85" i="114" a="1"/>
  <c r="D85" i="114" s="1"/>
  <c r="O83" i="114" a="1"/>
  <c r="O83" i="114" s="1"/>
  <c r="E83" i="114" a="1"/>
  <c r="E83" i="114" s="1"/>
  <c r="P90" i="114" s="1"/>
  <c r="O82" i="114" a="1"/>
  <c r="O82" i="114" s="1"/>
  <c r="E82" i="114" a="1"/>
  <c r="E82" i="114" s="1"/>
  <c r="N78" i="114" a="1"/>
  <c r="N78" i="114" s="1"/>
  <c r="D78" i="114" a="1"/>
  <c r="D78" i="114" s="1"/>
  <c r="N77" i="114" a="1"/>
  <c r="N77" i="114" s="1"/>
  <c r="D77" i="114" a="1"/>
  <c r="D77" i="114" s="1"/>
  <c r="I72" i="114"/>
  <c r="I71" i="114"/>
  <c r="I70" i="114"/>
  <c r="S67" i="114"/>
  <c r="Q67" i="114" a="1"/>
  <c r="Q67" i="114" s="1"/>
  <c r="N67" i="114" a="1"/>
  <c r="N67" i="114" s="1"/>
  <c r="I67" i="114"/>
  <c r="G67" i="114" a="1"/>
  <c r="G67" i="114" s="1"/>
  <c r="D67" i="114" a="1"/>
  <c r="D67" i="114" s="1"/>
  <c r="O65" i="114" a="1"/>
  <c r="O65" i="114" s="1"/>
  <c r="E65" i="114" a="1"/>
  <c r="E65" i="114" s="1"/>
  <c r="O64" i="114" a="1"/>
  <c r="O64" i="114" s="1"/>
  <c r="E64" i="114" a="1"/>
  <c r="E64" i="114" s="1"/>
  <c r="N60" i="114" a="1"/>
  <c r="N60" i="114" s="1"/>
  <c r="D60" i="114" a="1"/>
  <c r="D60" i="114" s="1"/>
  <c r="N59" i="114" a="1"/>
  <c r="N59" i="114" s="1"/>
  <c r="D59" i="114" a="1"/>
  <c r="D59" i="114" s="1"/>
  <c r="I52" i="114"/>
  <c r="I51" i="114"/>
  <c r="Q48" i="114" a="1"/>
  <c r="Q48" i="114" s="1"/>
  <c r="N48" i="114" a="1"/>
  <c r="N48" i="114" s="1"/>
  <c r="G48" i="114" a="1"/>
  <c r="G48" i="114" s="1"/>
  <c r="D48" i="114" a="1"/>
  <c r="D48" i="114" s="1"/>
  <c r="O46" i="114" a="1"/>
  <c r="O46" i="114" s="1"/>
  <c r="E46" i="114" a="1"/>
  <c r="E46" i="114" s="1"/>
  <c r="O45" i="114" a="1"/>
  <c r="O45" i="114" s="1"/>
  <c r="E45" i="114" a="1"/>
  <c r="E45" i="114" s="1"/>
  <c r="N41" i="114" a="1"/>
  <c r="N41" i="114" s="1"/>
  <c r="D41" i="114" a="1"/>
  <c r="D41" i="114" s="1"/>
  <c r="N40" i="114" a="1"/>
  <c r="N40" i="114" s="1"/>
  <c r="D40" i="114" a="1"/>
  <c r="D40" i="114" s="1"/>
  <c r="S32" i="114"/>
  <c r="Q32" i="114" a="1"/>
  <c r="Q32" i="114" s="1"/>
  <c r="N32" i="114" a="1"/>
  <c r="N32" i="114" s="1"/>
  <c r="I32" i="114"/>
  <c r="G32" i="114" a="1"/>
  <c r="G32" i="114" s="1"/>
  <c r="D32" i="114" a="1"/>
  <c r="D32" i="114" s="1"/>
  <c r="O30" i="114" a="1"/>
  <c r="O30" i="114" s="1"/>
  <c r="P35" i="114" s="1"/>
  <c r="E30" i="114" a="1"/>
  <c r="E30" i="114" s="1"/>
  <c r="F35" i="114" s="1"/>
  <c r="O29" i="114" a="1"/>
  <c r="O29" i="114" s="1"/>
  <c r="E29" i="114" a="1"/>
  <c r="E29" i="114" s="1"/>
  <c r="N25" i="114" a="1"/>
  <c r="N25" i="114" s="1"/>
  <c r="D25" i="114" a="1"/>
  <c r="D25" i="114" s="1"/>
  <c r="N24" i="114" a="1"/>
  <c r="N24" i="114" s="1"/>
  <c r="D24" i="114" a="1"/>
  <c r="D24" i="114" s="1"/>
  <c r="J16" i="114"/>
  <c r="T13" i="114"/>
  <c r="R13" i="114" a="1"/>
  <c r="R13" i="114" s="1"/>
  <c r="N13" i="114" a="1"/>
  <c r="N13" i="114" s="1"/>
  <c r="J13" i="114"/>
  <c r="H13" i="114" a="1"/>
  <c r="H13" i="114" s="1"/>
  <c r="D13" i="114" a="1"/>
  <c r="D13" i="114" s="1"/>
  <c r="O11" i="114" a="1"/>
  <c r="O11" i="114" s="1"/>
  <c r="E11" i="114" a="1"/>
  <c r="E11" i="114" s="1"/>
  <c r="O10" i="114" a="1"/>
  <c r="O10" i="114" s="1"/>
  <c r="E10" i="114" a="1"/>
  <c r="E10" i="114" s="1"/>
  <c r="N6" i="114" a="1"/>
  <c r="N6" i="114" s="1"/>
  <c r="D6" i="114" a="1"/>
  <c r="D6" i="114" s="1"/>
  <c r="N5" i="114" a="1"/>
  <c r="N5" i="114" s="1"/>
  <c r="D5" i="114" a="1"/>
  <c r="D5" i="114" s="1"/>
  <c r="J632" i="113" a="1"/>
  <c r="J632" i="113" s="1"/>
  <c r="J631" i="113" a="1"/>
  <c r="J631" i="113" s="1"/>
  <c r="J628" i="113" a="1"/>
  <c r="J628" i="113" s="1"/>
  <c r="J627" i="113" a="1"/>
  <c r="J627" i="113" s="1"/>
  <c r="J626" i="113" a="1"/>
  <c r="J626" i="113" s="1"/>
  <c r="J625" i="113" a="1"/>
  <c r="J625" i="113" s="1"/>
  <c r="J630" i="113" a="1"/>
  <c r="J630" i="113" s="1"/>
  <c r="G616" i="113" a="1"/>
  <c r="G616" i="113" s="1"/>
  <c r="D616" i="113" a="1"/>
  <c r="D616" i="113" s="1"/>
  <c r="E614" i="113" a="1"/>
  <c r="E614" i="113" s="1"/>
  <c r="E613" i="113" a="1"/>
  <c r="E613" i="113" s="1"/>
  <c r="D608" i="113" a="1"/>
  <c r="D608" i="113" s="1"/>
  <c r="D607" i="113" a="1"/>
  <c r="D607" i="113" s="1"/>
  <c r="E601" i="113" a="1"/>
  <c r="E601" i="113" s="1"/>
  <c r="F603" i="113" s="1"/>
  <c r="E600" i="113" a="1"/>
  <c r="E600" i="113" s="1"/>
  <c r="D598" i="113" a="1"/>
  <c r="D598" i="113" s="1"/>
  <c r="D597" i="113" a="1"/>
  <c r="D597" i="113" s="1"/>
  <c r="N593" i="113" a="1"/>
  <c r="N593" i="113" s="1"/>
  <c r="F593" i="113" a="1"/>
  <c r="F593" i="113" s="1"/>
  <c r="L590" i="113" a="1"/>
  <c r="L590" i="113" s="1"/>
  <c r="D590" i="113" a="1"/>
  <c r="D590" i="113" s="1"/>
  <c r="P584" i="113" a="1"/>
  <c r="P584" i="113" s="1"/>
  <c r="L584" i="113" a="1"/>
  <c r="L584" i="113" s="1"/>
  <c r="H584" i="113" a="1"/>
  <c r="H584" i="113" s="1"/>
  <c r="D584" i="113" a="1"/>
  <c r="D584" i="113" s="1"/>
  <c r="E580" i="113" a="1"/>
  <c r="E580" i="113" s="1"/>
  <c r="E579" i="113" a="1"/>
  <c r="E579" i="113" s="1"/>
  <c r="D575" i="113" a="1"/>
  <c r="D575" i="113" s="1"/>
  <c r="D574" i="113" a="1"/>
  <c r="D574" i="113" s="1"/>
  <c r="I568" i="113"/>
  <c r="I564" i="113"/>
  <c r="I563" i="113"/>
  <c r="I562" i="113"/>
  <c r="G562" i="113" a="1"/>
  <c r="G562" i="113" s="1"/>
  <c r="D562" i="113" a="1"/>
  <c r="D562" i="113" s="1"/>
  <c r="E560" i="113" a="1"/>
  <c r="E560" i="113" s="1"/>
  <c r="E559" i="113" a="1"/>
  <c r="E559" i="113" s="1"/>
  <c r="D554" i="113" a="1"/>
  <c r="D554" i="113" s="1"/>
  <c r="D553" i="113" a="1"/>
  <c r="D553" i="113" s="1"/>
  <c r="D552" i="113" a="1"/>
  <c r="D552" i="113" s="1"/>
  <c r="I546" i="113"/>
  <c r="I544" i="113"/>
  <c r="G544" i="113" a="1"/>
  <c r="G544" i="113" s="1"/>
  <c r="D544" i="113" a="1"/>
  <c r="D544" i="113" s="1"/>
  <c r="E542" i="113" a="1"/>
  <c r="E542" i="113" s="1"/>
  <c r="E541" i="113" a="1"/>
  <c r="E541" i="113" s="1"/>
  <c r="D537" i="113" a="1"/>
  <c r="D537" i="113" s="1"/>
  <c r="D536" i="113" a="1"/>
  <c r="D536" i="113" s="1"/>
  <c r="G530" i="113" a="1"/>
  <c r="G530" i="113" s="1"/>
  <c r="D530" i="113" a="1"/>
  <c r="D530" i="113" s="1"/>
  <c r="E528" i="113" a="1"/>
  <c r="E528" i="113" s="1"/>
  <c r="E527" i="113" a="1"/>
  <c r="E527" i="113" s="1"/>
  <c r="D522" i="113" a="1"/>
  <c r="D522" i="113" s="1"/>
  <c r="D521" i="113" a="1"/>
  <c r="D521" i="113" s="1"/>
  <c r="K511" i="113" a="1"/>
  <c r="K511" i="113" s="1"/>
  <c r="E496" i="113"/>
  <c r="I496" i="113" s="1" a="1"/>
  <c r="I496" i="113" s="1"/>
  <c r="E495" i="113"/>
  <c r="E494" i="113"/>
  <c r="I494" i="113" s="1" a="1"/>
  <c r="I494" i="113" s="1"/>
  <c r="E485" i="113"/>
  <c r="I485" i="113" s="1" a="1"/>
  <c r="I485" i="113" s="1"/>
  <c r="E484" i="113"/>
  <c r="E483" i="113"/>
  <c r="I483" i="113" s="1" a="1"/>
  <c r="I483" i="113" s="1"/>
  <c r="E482" i="113"/>
  <c r="E481" i="113"/>
  <c r="I481" i="113" s="1" a="1"/>
  <c r="I481" i="113" s="1"/>
  <c r="J465" i="113" a="1"/>
  <c r="J465" i="113" s="1"/>
  <c r="J466" i="113" a="1"/>
  <c r="J466" i="113" s="1"/>
  <c r="J447" i="113" a="1"/>
  <c r="J447" i="113" s="1"/>
  <c r="G439" i="113" a="1"/>
  <c r="G439" i="113" s="1"/>
  <c r="D439" i="113" a="1"/>
  <c r="D439" i="113" s="1"/>
  <c r="E437" i="113" a="1"/>
  <c r="E437" i="113" s="1"/>
  <c r="E436" i="113" a="1"/>
  <c r="E436" i="113" s="1"/>
  <c r="D431" i="113" a="1"/>
  <c r="D431" i="113" s="1"/>
  <c r="D430" i="113" a="1"/>
  <c r="D430" i="113" s="1"/>
  <c r="J423" i="113" a="1"/>
  <c r="J423" i="113" s="1"/>
  <c r="K422" i="113"/>
  <c r="J422" i="113" a="1"/>
  <c r="J422" i="113" s="1"/>
  <c r="J418" i="113" a="1"/>
  <c r="J418" i="113" s="1"/>
  <c r="J417" i="113" a="1"/>
  <c r="J417" i="113" s="1"/>
  <c r="J415" i="113" a="1"/>
  <c r="J415" i="113" s="1"/>
  <c r="J414" i="113" a="1"/>
  <c r="J414" i="113" s="1"/>
  <c r="F407" i="113" a="1"/>
  <c r="F407" i="113" s="1"/>
  <c r="D407" i="113" a="1"/>
  <c r="D407" i="113" s="1"/>
  <c r="E405" i="113" a="1"/>
  <c r="E405" i="113" s="1"/>
  <c r="E404" i="113" a="1"/>
  <c r="E404" i="113" s="1"/>
  <c r="D399" i="113" a="1"/>
  <c r="D399" i="113" s="1"/>
  <c r="D398" i="113" a="1"/>
  <c r="D398" i="113" s="1"/>
  <c r="F377" i="113" a="1"/>
  <c r="F377" i="113" s="1"/>
  <c r="D377" i="113" a="1"/>
  <c r="D377" i="113" s="1"/>
  <c r="E375" i="113" a="1"/>
  <c r="E375" i="113" s="1"/>
  <c r="E374" i="113" a="1"/>
  <c r="E374" i="113" s="1"/>
  <c r="D369" i="113" a="1"/>
  <c r="D369" i="113" s="1"/>
  <c r="D368" i="113" a="1"/>
  <c r="D368" i="113" s="1"/>
  <c r="D367" i="113" a="1"/>
  <c r="D367" i="113" s="1"/>
  <c r="K359" i="113" a="1"/>
  <c r="K359" i="113" s="1"/>
  <c r="L357" i="113"/>
  <c r="K355" i="113" a="1"/>
  <c r="K355" i="113" s="1"/>
  <c r="L354" i="113"/>
  <c r="K354" i="113" a="1"/>
  <c r="K354" i="113" s="1"/>
  <c r="L358" i="113"/>
  <c r="G344" i="113" a="1"/>
  <c r="G344" i="113" s="1"/>
  <c r="D344" i="113" a="1"/>
  <c r="D344" i="113" s="1"/>
  <c r="E342" i="113" a="1"/>
  <c r="E342" i="113" s="1"/>
  <c r="E341" i="113" a="1"/>
  <c r="E341" i="113" s="1"/>
  <c r="D337" i="113" a="1"/>
  <c r="D337" i="113" s="1"/>
  <c r="D336" i="113" a="1"/>
  <c r="D336" i="113" s="1"/>
  <c r="F311" i="113" a="1"/>
  <c r="G315" i="113" s="1"/>
  <c r="D311" i="113" a="1"/>
  <c r="D311" i="113" s="1"/>
  <c r="E309" i="113" a="1"/>
  <c r="E309" i="113" s="1"/>
  <c r="E308" i="113" a="1"/>
  <c r="E308" i="113" s="1"/>
  <c r="D304" i="113" a="1"/>
  <c r="D304" i="113" s="1"/>
  <c r="D303" i="113" a="1"/>
  <c r="D303" i="113" s="1"/>
  <c r="G280" i="113" a="1"/>
  <c r="G280" i="113" s="1"/>
  <c r="D280" i="113" a="1"/>
  <c r="D280" i="113" s="1"/>
  <c r="E278" i="113" a="1"/>
  <c r="E278" i="113" s="1"/>
  <c r="E277" i="113" a="1"/>
  <c r="E277" i="113" s="1"/>
  <c r="D272" i="113" a="1"/>
  <c r="D272" i="113" s="1"/>
  <c r="D271" i="113" a="1"/>
  <c r="D271" i="113" s="1"/>
  <c r="G224" i="113" a="1"/>
  <c r="G224" i="113" s="1"/>
  <c r="D224" i="113" a="1"/>
  <c r="D224" i="113" s="1"/>
  <c r="E222" i="113" a="1"/>
  <c r="E222" i="113" s="1"/>
  <c r="E221" i="113" a="1"/>
  <c r="E221" i="113" s="1"/>
  <c r="D217" i="113" a="1"/>
  <c r="D217" i="113" s="1"/>
  <c r="D216" i="113" a="1"/>
  <c r="D216" i="113" s="1"/>
  <c r="D215" i="113" a="1"/>
  <c r="D215" i="113" s="1"/>
  <c r="G209" i="113" a="1"/>
  <c r="G209" i="113" s="1"/>
  <c r="D209" i="113" a="1"/>
  <c r="D209" i="113" s="1"/>
  <c r="E207" i="113" a="1"/>
  <c r="E207" i="113" s="1"/>
  <c r="E206" i="113" a="1"/>
  <c r="E206" i="113" s="1"/>
  <c r="D202" i="113" a="1"/>
  <c r="D202" i="113" s="1"/>
  <c r="D201" i="113" a="1"/>
  <c r="D201" i="113" s="1"/>
  <c r="G195" i="113" a="1"/>
  <c r="G195" i="113" s="1"/>
  <c r="D195" i="113" a="1"/>
  <c r="D195" i="113" s="1"/>
  <c r="E193" i="113" a="1"/>
  <c r="E193" i="113" s="1"/>
  <c r="E192" i="113" a="1"/>
  <c r="E192" i="113" s="1"/>
  <c r="D188" i="113" a="1"/>
  <c r="D188" i="113" s="1"/>
  <c r="D187" i="113" a="1"/>
  <c r="D187" i="113" s="1"/>
  <c r="D186" i="113" a="1"/>
  <c r="D186" i="113" s="1"/>
  <c r="E179" i="113"/>
  <c r="I179" i="113" s="1" a="1"/>
  <c r="I179" i="113" s="1"/>
  <c r="E178" i="113"/>
  <c r="I178" i="113" s="1" a="1"/>
  <c r="I178" i="113" s="1"/>
  <c r="E177" i="113"/>
  <c r="I177" i="113" s="1" a="1"/>
  <c r="I177" i="113" s="1"/>
  <c r="G172" i="113" a="1"/>
  <c r="G172" i="113" s="1"/>
  <c r="D172" i="113" a="1"/>
  <c r="D172" i="113" s="1"/>
  <c r="E170" i="113" a="1"/>
  <c r="E170" i="113" s="1"/>
  <c r="E169" i="113" a="1"/>
  <c r="E169" i="113" s="1"/>
  <c r="F168" i="113" a="1"/>
  <c r="F168" i="113" s="1"/>
  <c r="D165" i="113" a="1"/>
  <c r="D165" i="113" s="1"/>
  <c r="D164" i="113" a="1"/>
  <c r="D164" i="113" s="1"/>
  <c r="E153" i="113"/>
  <c r="E152" i="113"/>
  <c r="E151" i="113"/>
  <c r="E150" i="113"/>
  <c r="E149" i="113"/>
  <c r="E148" i="113"/>
  <c r="I148" i="113" s="1" a="1"/>
  <c r="I148" i="113" s="1"/>
  <c r="E140" i="113"/>
  <c r="E139" i="113"/>
  <c r="E138" i="113"/>
  <c r="I138" i="113" s="1" a="1"/>
  <c r="I138" i="113" s="1"/>
  <c r="E137" i="113"/>
  <c r="I137" i="113" s="1" a="1"/>
  <c r="I137" i="113" s="1"/>
  <c r="G107" i="113" a="1"/>
  <c r="G107" i="113" s="1"/>
  <c r="D107" i="113" a="1"/>
  <c r="D107" i="113" s="1"/>
  <c r="E105" i="113" a="1"/>
  <c r="E105" i="113" s="1"/>
  <c r="E104" i="113" a="1"/>
  <c r="E104" i="113" s="1"/>
  <c r="D100" i="113" a="1"/>
  <c r="D100" i="113" s="1"/>
  <c r="D99" i="113" a="1"/>
  <c r="D99" i="113" s="1"/>
  <c r="D98" i="113" a="1"/>
  <c r="D98" i="113" s="1"/>
  <c r="G13" i="113" a="1"/>
  <c r="G13" i="113" s="1"/>
  <c r="D13" i="113" a="1"/>
  <c r="D13" i="113" s="1"/>
  <c r="E11" i="113" a="1"/>
  <c r="E11" i="113" s="1"/>
  <c r="E10" i="113" a="1"/>
  <c r="E10" i="113" s="1"/>
  <c r="D6" i="113" a="1"/>
  <c r="D6" i="113" s="1"/>
  <c r="D5" i="113" a="1"/>
  <c r="D5" i="113"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E63" i="107" a="1"/>
  <c r="E63" i="107" s="1"/>
  <c r="D63" i="107" a="1"/>
  <c r="D63" i="107" s="1"/>
  <c r="E62" i="107" a="1"/>
  <c r="E62" i="107" s="1"/>
  <c r="D62" i="107" a="1"/>
  <c r="D62" i="107" s="1"/>
  <c r="E61" i="107" a="1"/>
  <c r="E61" i="107" s="1"/>
  <c r="D61" i="107" a="1"/>
  <c r="D61" i="107" s="1"/>
  <c r="E60" i="107" a="1"/>
  <c r="E60" i="107" s="1"/>
  <c r="D60" i="107" a="1"/>
  <c r="D60" i="107" s="1"/>
  <c r="E59" i="107" a="1"/>
  <c r="E59" i="107" s="1"/>
  <c r="D59" i="107" a="1"/>
  <c r="D59" i="107" s="1"/>
  <c r="E58" i="107" a="1"/>
  <c r="E58" i="107" s="1"/>
  <c r="D58" i="107" a="1"/>
  <c r="D58" i="107" s="1"/>
  <c r="D56" i="107" a="1"/>
  <c r="D56" i="107" s="1"/>
  <c r="D55" i="107" a="1"/>
  <c r="D55" i="107" s="1"/>
  <c r="D54" i="107" a="1"/>
  <c r="D54" i="107" s="1"/>
  <c r="D53" i="107" a="1"/>
  <c r="D53" i="107" s="1"/>
  <c r="D52" i="107" a="1"/>
  <c r="D52" i="107" s="1"/>
  <c r="G50" i="107" a="1"/>
  <c r="G50" i="107" s="1"/>
  <c r="F50" i="107" a="1"/>
  <c r="F50" i="107" s="1"/>
  <c r="E50" i="107" a="1"/>
  <c r="E50" i="107" s="1"/>
  <c r="O21" i="107" s="1"/>
  <c r="D50" i="107" a="1"/>
  <c r="D50" i="107" s="1"/>
  <c r="G49" i="107" a="1"/>
  <c r="G49" i="107" s="1"/>
  <c r="F49" i="107" a="1"/>
  <c r="F49" i="107" s="1"/>
  <c r="E49" i="107" a="1"/>
  <c r="E49" i="107" s="1"/>
  <c r="O20" i="107" s="1"/>
  <c r="D49" i="107" a="1"/>
  <c r="D49" i="107" s="1"/>
  <c r="G48" i="107" a="1"/>
  <c r="G48" i="107" s="1"/>
  <c r="F48" i="107" a="1"/>
  <c r="F48" i="107" s="1"/>
  <c r="E48" i="107" a="1"/>
  <c r="E48" i="107" s="1"/>
  <c r="O19" i="107" s="1"/>
  <c r="D48" i="107" a="1"/>
  <c r="D48" i="107" s="1"/>
  <c r="G47" i="107" a="1"/>
  <c r="G47" i="107" s="1"/>
  <c r="F47" i="107" a="1"/>
  <c r="F47" i="107" s="1"/>
  <c r="E47" i="107" a="1"/>
  <c r="E47" i="107" s="1"/>
  <c r="O18" i="107" s="1"/>
  <c r="D47" i="107" a="1"/>
  <c r="D47" i="107" s="1"/>
  <c r="G46" i="107" a="1"/>
  <c r="G46" i="107" s="1"/>
  <c r="F46" i="107" a="1"/>
  <c r="F46" i="107" s="1"/>
  <c r="E46" i="107" a="1"/>
  <c r="E46" i="107" s="1"/>
  <c r="O17" i="107" s="1"/>
  <c r="D46" i="107" a="1"/>
  <c r="D46" i="107" s="1"/>
  <c r="G45" i="107" a="1"/>
  <c r="G45" i="107" s="1"/>
  <c r="F45" i="107" a="1"/>
  <c r="F45" i="107" s="1"/>
  <c r="E45" i="107" a="1"/>
  <c r="E45" i="107" s="1"/>
  <c r="D45" i="107" a="1"/>
  <c r="D45" i="107" s="1"/>
  <c r="G44" i="107" a="1"/>
  <c r="G44" i="107" s="1"/>
  <c r="F44" i="107" a="1"/>
  <c r="F44" i="107" s="1"/>
  <c r="E44" i="107" a="1"/>
  <c r="E44" i="107" s="1"/>
  <c r="M21" i="107" s="1"/>
  <c r="D44" i="107" a="1"/>
  <c r="D44" i="107" s="1"/>
  <c r="G43" i="107" a="1"/>
  <c r="G43" i="107" s="1"/>
  <c r="F43" i="107" a="1"/>
  <c r="F43" i="107" s="1"/>
  <c r="E43" i="107" a="1"/>
  <c r="E43" i="107" s="1"/>
  <c r="M20" i="107" s="1"/>
  <c r="D43" i="107" a="1"/>
  <c r="D43" i="107" s="1"/>
  <c r="G42" i="107" a="1"/>
  <c r="G42" i="107" s="1"/>
  <c r="F42" i="107" a="1"/>
  <c r="F42" i="107" s="1"/>
  <c r="E42" i="107" a="1"/>
  <c r="E42" i="107" s="1"/>
  <c r="M19" i="107" s="1"/>
  <c r="D42" i="107" a="1"/>
  <c r="D42" i="107" s="1"/>
  <c r="G41" i="107" a="1"/>
  <c r="G41" i="107" s="1"/>
  <c r="F41" i="107" a="1"/>
  <c r="F41" i="107" s="1"/>
  <c r="E41" i="107" a="1"/>
  <c r="E41" i="107" s="1"/>
  <c r="M18" i="107" s="1"/>
  <c r="D41" i="107" a="1"/>
  <c r="D41" i="107" s="1"/>
  <c r="G40" i="107" a="1"/>
  <c r="G40" i="107" s="1"/>
  <c r="F40" i="107" a="1"/>
  <c r="F40" i="107" s="1"/>
  <c r="E40" i="107" a="1"/>
  <c r="E40" i="107" s="1"/>
  <c r="M17" i="107" s="1"/>
  <c r="D40" i="107" a="1"/>
  <c r="D40" i="107" s="1"/>
  <c r="G39" i="107" a="1"/>
  <c r="G39" i="107" s="1"/>
  <c r="F39" i="107" a="1"/>
  <c r="F39" i="107" s="1"/>
  <c r="E39" i="107" a="1"/>
  <c r="E39" i="107" s="1"/>
  <c r="D39" i="107" a="1"/>
  <c r="D39" i="107" s="1"/>
  <c r="G38" i="107" a="1"/>
  <c r="G38" i="107" s="1"/>
  <c r="F38" i="107" a="1"/>
  <c r="F38" i="107" s="1"/>
  <c r="E38" i="107" a="1"/>
  <c r="E38" i="107" s="1"/>
  <c r="K26" i="107" s="1"/>
  <c r="D38" i="107" a="1"/>
  <c r="D38" i="107" s="1"/>
  <c r="G37" i="107" a="1"/>
  <c r="G37" i="107" s="1"/>
  <c r="F37" i="107" a="1"/>
  <c r="F37" i="107" s="1"/>
  <c r="E37" i="107" a="1"/>
  <c r="E37" i="107" s="1"/>
  <c r="K25" i="107" s="1"/>
  <c r="D37" i="107" a="1"/>
  <c r="D37" i="107" s="1"/>
  <c r="G36" i="107" a="1"/>
  <c r="G36" i="107" s="1"/>
  <c r="F36" i="107" a="1"/>
  <c r="F36" i="107" s="1"/>
  <c r="E36" i="107" a="1"/>
  <c r="E36" i="107" s="1"/>
  <c r="K24" i="107" s="1"/>
  <c r="D36" i="107" a="1"/>
  <c r="D36" i="107" s="1"/>
  <c r="G35" i="107" a="1"/>
  <c r="G35" i="107" s="1"/>
  <c r="F35" i="107" a="1"/>
  <c r="F35" i="107" s="1"/>
  <c r="E35" i="107" a="1"/>
  <c r="E35" i="107" s="1"/>
  <c r="K23" i="107" s="1"/>
  <c r="D35" i="107" a="1"/>
  <c r="D35" i="107" s="1"/>
  <c r="G34" i="107" a="1"/>
  <c r="G34" i="107" s="1"/>
  <c r="F34" i="107" a="1"/>
  <c r="F34" i="107" s="1"/>
  <c r="E34" i="107" a="1"/>
  <c r="E34" i="107" s="1"/>
  <c r="K22" i="107" s="1"/>
  <c r="D34" i="107" a="1"/>
  <c r="D34" i="107" s="1"/>
  <c r="G33" i="107" a="1"/>
  <c r="G33" i="107" s="1"/>
  <c r="F33" i="107" a="1"/>
  <c r="F33" i="107" s="1"/>
  <c r="E33" i="107" a="1"/>
  <c r="E33" i="107" s="1"/>
  <c r="K21" i="107" s="1"/>
  <c r="D33" i="107" a="1"/>
  <c r="D33" i="107" s="1"/>
  <c r="G32" i="107" a="1"/>
  <c r="G32" i="107" s="1"/>
  <c r="F32" i="107" a="1"/>
  <c r="F32" i="107" s="1"/>
  <c r="E32" i="107" a="1"/>
  <c r="E32" i="107" s="1"/>
  <c r="K20" i="107" s="1"/>
  <c r="D32" i="107" a="1"/>
  <c r="D32" i="107" s="1"/>
  <c r="G31" i="107" a="1"/>
  <c r="G31" i="107" s="1"/>
  <c r="F31" i="107" a="1"/>
  <c r="F31" i="107" s="1"/>
  <c r="E31" i="107" a="1"/>
  <c r="E31" i="107" s="1"/>
  <c r="K19" i="107" s="1"/>
  <c r="D31" i="107" a="1"/>
  <c r="D31" i="107" s="1"/>
  <c r="G30" i="107" a="1"/>
  <c r="G30" i="107" s="1"/>
  <c r="F30" i="107" a="1"/>
  <c r="F30" i="107" s="1"/>
  <c r="E30" i="107" a="1"/>
  <c r="E30" i="107" s="1"/>
  <c r="K18" i="107" s="1"/>
  <c r="D30" i="107" a="1"/>
  <c r="D30" i="107" s="1"/>
  <c r="G29" i="107" a="1"/>
  <c r="G29" i="107" s="1"/>
  <c r="F29" i="107" a="1"/>
  <c r="F29" i="107" s="1"/>
  <c r="E29" i="107" a="1"/>
  <c r="E29" i="107" s="1"/>
  <c r="K17" i="107" s="1"/>
  <c r="D29" i="107" a="1"/>
  <c r="D29" i="107" s="1"/>
  <c r="G28" i="107" a="1"/>
  <c r="G28" i="107" s="1"/>
  <c r="F28" i="107" a="1"/>
  <c r="F28" i="107" s="1"/>
  <c r="E28" i="107" a="1"/>
  <c r="E28" i="107" s="1"/>
  <c r="D28" i="107" a="1"/>
  <c r="D28" i="107" s="1"/>
  <c r="G27" i="107" a="1"/>
  <c r="G27" i="107" s="1"/>
  <c r="F27" i="107" a="1"/>
  <c r="F27" i="107" s="1"/>
  <c r="E27" i="107" a="1"/>
  <c r="E27" i="107" s="1"/>
  <c r="I27" i="107" s="1"/>
  <c r="D27" i="107" a="1"/>
  <c r="D27" i="107" s="1"/>
  <c r="G26" i="107" a="1"/>
  <c r="G26" i="107" s="1"/>
  <c r="F26" i="107" a="1"/>
  <c r="F26" i="107" s="1"/>
  <c r="E26" i="107" a="1"/>
  <c r="E26" i="107" s="1"/>
  <c r="I26" i="107" s="1"/>
  <c r="D26" i="107" a="1"/>
  <c r="D26" i="107" s="1"/>
  <c r="G25" i="107" a="1"/>
  <c r="G25" i="107" s="1"/>
  <c r="F25" i="107" a="1"/>
  <c r="F25" i="107" s="1"/>
  <c r="E25" i="107" a="1"/>
  <c r="E25" i="107" s="1"/>
  <c r="I25" i="107" s="1"/>
  <c r="D25" i="107" a="1"/>
  <c r="D25" i="107" s="1"/>
  <c r="G24" i="107" a="1"/>
  <c r="G24" i="107" s="1"/>
  <c r="F24" i="107" a="1"/>
  <c r="F24" i="107" s="1"/>
  <c r="E24" i="107" a="1"/>
  <c r="E24" i="107" s="1"/>
  <c r="I24" i="107" s="1"/>
  <c r="D24" i="107" a="1"/>
  <c r="D24" i="107" s="1"/>
  <c r="G23" i="107" a="1"/>
  <c r="G23" i="107" s="1"/>
  <c r="F23" i="107" a="1"/>
  <c r="F23" i="107" s="1"/>
  <c r="E23" i="107" a="1"/>
  <c r="E23" i="107" s="1"/>
  <c r="I23" i="107" s="1"/>
  <c r="D23" i="107" a="1"/>
  <c r="D23" i="107" s="1"/>
  <c r="G22" i="107" a="1"/>
  <c r="G22" i="107" s="1"/>
  <c r="F22" i="107" a="1"/>
  <c r="F22" i="107" s="1"/>
  <c r="E22" i="107" a="1"/>
  <c r="E22" i="107" s="1"/>
  <c r="I22" i="107" s="1"/>
  <c r="D22" i="107" a="1"/>
  <c r="D22" i="107" s="1"/>
  <c r="G21" i="107" a="1"/>
  <c r="G21" i="107" s="1"/>
  <c r="F21" i="107" a="1"/>
  <c r="F21" i="107" s="1"/>
  <c r="E21" i="107" a="1"/>
  <c r="E21" i="107" s="1"/>
  <c r="I21" i="107" s="1"/>
  <c r="D21" i="107" a="1"/>
  <c r="D21" i="107" s="1"/>
  <c r="G20" i="107" a="1"/>
  <c r="G20" i="107" s="1"/>
  <c r="F20" i="107" a="1"/>
  <c r="F20" i="107" s="1"/>
  <c r="E20" i="107" a="1"/>
  <c r="E20" i="107" s="1"/>
  <c r="I20" i="107" s="1"/>
  <c r="D20" i="107" a="1"/>
  <c r="D20" i="107" s="1"/>
  <c r="G19" i="107" a="1"/>
  <c r="G19" i="107" s="1"/>
  <c r="F19" i="107" a="1"/>
  <c r="F19" i="107" s="1"/>
  <c r="E19" i="107" a="1"/>
  <c r="E19" i="107" s="1"/>
  <c r="I19" i="107" s="1"/>
  <c r="D19" i="107" a="1"/>
  <c r="D19" i="107" s="1"/>
  <c r="G18" i="107" a="1"/>
  <c r="G18" i="107" s="1"/>
  <c r="F18" i="107" a="1"/>
  <c r="F18" i="107" s="1"/>
  <c r="E18" i="107" a="1"/>
  <c r="E18" i="107" s="1"/>
  <c r="I18" i="107" s="1"/>
  <c r="D18" i="107" a="1"/>
  <c r="D18" i="107" s="1"/>
  <c r="G17" i="107" a="1"/>
  <c r="G17" i="107" s="1"/>
  <c r="F17" i="107" a="1"/>
  <c r="F17" i="107" s="1"/>
  <c r="E17" i="107" a="1"/>
  <c r="E17" i="107" s="1"/>
  <c r="D17" i="107" a="1"/>
  <c r="D17" i="107" s="1"/>
  <c r="D15" i="107" a="1"/>
  <c r="D15" i="107" s="1"/>
  <c r="D14" i="107" a="1"/>
  <c r="D14" i="107" s="1"/>
  <c r="D7" i="107" a="1"/>
  <c r="D7" i="107" s="1"/>
  <c r="D6" i="107" a="1"/>
  <c r="D6" i="107" s="1"/>
  <c r="D5" i="107" a="1"/>
  <c r="D5" i="107" s="1"/>
  <c r="H185" i="106"/>
  <c r="H179" i="106"/>
  <c r="H168" i="106"/>
  <c r="H144" i="106"/>
  <c r="H138" i="106"/>
  <c r="H127" i="106"/>
  <c r="H105" i="106" a="1"/>
  <c r="H105" i="106" s="1"/>
  <c r="D105" i="106" a="1"/>
  <c r="D105" i="106" s="1"/>
  <c r="E103" i="106" a="1"/>
  <c r="E103" i="106" s="1"/>
  <c r="E102" i="106" a="1"/>
  <c r="E102" i="106" s="1"/>
  <c r="D98" i="106" a="1"/>
  <c r="D98" i="106" s="1"/>
  <c r="D97" i="106" a="1"/>
  <c r="D97" i="106" s="1"/>
  <c r="D96" i="106" a="1"/>
  <c r="D96" i="106" s="1"/>
  <c r="J16" i="106" a="1"/>
  <c r="J16" i="106" s="1"/>
  <c r="I16" i="106" a="1"/>
  <c r="I16" i="106" s="1"/>
  <c r="J15" i="106" a="1"/>
  <c r="J15" i="106" s="1"/>
  <c r="I15" i="106" a="1"/>
  <c r="I15" i="106" s="1"/>
  <c r="J14" i="106" a="1"/>
  <c r="J14" i="106" s="1"/>
  <c r="I14" i="106" a="1"/>
  <c r="I14" i="106" s="1"/>
  <c r="J13" i="106" a="1"/>
  <c r="J13" i="106" s="1"/>
  <c r="I13" i="106" a="1"/>
  <c r="I13" i="106" s="1"/>
  <c r="G13" i="106" a="1"/>
  <c r="G13" i="106" s="1"/>
  <c r="D13" i="106" a="1"/>
  <c r="D13" i="106" s="1"/>
  <c r="E11" i="106" a="1"/>
  <c r="E11" i="106" s="1"/>
  <c r="E10" i="106" a="1"/>
  <c r="E10" i="106" s="1"/>
  <c r="D6" i="106" a="1"/>
  <c r="D6" i="106" s="1"/>
  <c r="D5" i="106" a="1"/>
  <c r="D5" i="106" s="1"/>
  <c r="AH223" i="104" a="1"/>
  <c r="AH223" i="104" s="1"/>
  <c r="AG223" i="104" a="1"/>
  <c r="AG223" i="104" s="1"/>
  <c r="AF223" i="104" a="1"/>
  <c r="AF223" i="104" s="1"/>
  <c r="AE223" i="104" a="1"/>
  <c r="AE223" i="104" s="1"/>
  <c r="AD223" i="104" a="1"/>
  <c r="AD223" i="104" s="1"/>
  <c r="AC223" i="104" a="1"/>
  <c r="AC223" i="104" s="1"/>
  <c r="AB223" i="104" a="1"/>
  <c r="AB223" i="104" s="1"/>
  <c r="AA223" i="104" a="1"/>
  <c r="AA223" i="104" s="1"/>
  <c r="Z223" i="104" a="1"/>
  <c r="Z223" i="104" s="1"/>
  <c r="Y223" i="104" a="1"/>
  <c r="Y223" i="104" s="1"/>
  <c r="X223" i="104" a="1"/>
  <c r="X223" i="104" s="1"/>
  <c r="W223" i="104" a="1"/>
  <c r="W223" i="104" s="1"/>
  <c r="V223" i="104" a="1"/>
  <c r="V223" i="104" s="1"/>
  <c r="U223" i="104" a="1"/>
  <c r="U223" i="104" s="1"/>
  <c r="T223" i="104" a="1"/>
  <c r="T223" i="104" s="1"/>
  <c r="S223" i="104" a="1"/>
  <c r="S223" i="104" s="1"/>
  <c r="R223" i="104" a="1"/>
  <c r="R223" i="104" s="1"/>
  <c r="Q223" i="104" a="1"/>
  <c r="Q223" i="104" s="1"/>
  <c r="P223" i="104" a="1"/>
  <c r="P223" i="104" s="1"/>
  <c r="O223" i="104" a="1"/>
  <c r="O223" i="104" s="1"/>
  <c r="N223" i="104" a="1"/>
  <c r="N223" i="104" s="1"/>
  <c r="M223" i="104" a="1"/>
  <c r="M223" i="104" s="1"/>
  <c r="L223" i="104" a="1"/>
  <c r="L223" i="104" s="1"/>
  <c r="K223" i="104" a="1"/>
  <c r="K223" i="104" s="1"/>
  <c r="J223" i="104" a="1"/>
  <c r="J223" i="104" s="1"/>
  <c r="I223" i="104" a="1"/>
  <c r="I223" i="104" s="1"/>
  <c r="H223" i="104" a="1"/>
  <c r="H223" i="104" s="1"/>
  <c r="G223" i="104" a="1"/>
  <c r="G223" i="104" s="1"/>
  <c r="F223" i="104" a="1"/>
  <c r="F223" i="104" s="1"/>
  <c r="E223" i="104" a="1"/>
  <c r="E223" i="104" s="1"/>
  <c r="D223" i="104" a="1"/>
  <c r="D223" i="104" s="1"/>
  <c r="AH222" i="104" a="1"/>
  <c r="AH222" i="104" s="1"/>
  <c r="AG222" i="104" a="1"/>
  <c r="AG222" i="104" s="1"/>
  <c r="AF222" i="104" a="1"/>
  <c r="AF222" i="104" s="1"/>
  <c r="AE222" i="104" a="1"/>
  <c r="AE222" i="104" s="1"/>
  <c r="AD222" i="104" a="1"/>
  <c r="AD222" i="104" s="1"/>
  <c r="AC222" i="104" a="1"/>
  <c r="AC222" i="104" s="1"/>
  <c r="AB222" i="104" a="1"/>
  <c r="AB222" i="104" s="1"/>
  <c r="AA222" i="104" a="1"/>
  <c r="AA222" i="104" s="1"/>
  <c r="Z222" i="104" a="1"/>
  <c r="Z222" i="104" s="1"/>
  <c r="Y222" i="104" a="1"/>
  <c r="Y222" i="104" s="1"/>
  <c r="X222" i="104" a="1"/>
  <c r="X222" i="104" s="1"/>
  <c r="W222" i="104" a="1"/>
  <c r="W222" i="104" s="1"/>
  <c r="V222" i="104" a="1"/>
  <c r="V222" i="104" s="1"/>
  <c r="U222" i="104" a="1"/>
  <c r="U222" i="104" s="1"/>
  <c r="T222" i="104" a="1"/>
  <c r="T222" i="104" s="1"/>
  <c r="S222" i="104" a="1"/>
  <c r="S222" i="104" s="1"/>
  <c r="R222" i="104" a="1"/>
  <c r="R222" i="104" s="1"/>
  <c r="Q222" i="104" a="1"/>
  <c r="Q222" i="104" s="1"/>
  <c r="P222" i="104" a="1"/>
  <c r="P222" i="104" s="1"/>
  <c r="O222" i="104" a="1"/>
  <c r="O222" i="104" s="1"/>
  <c r="N222" i="104" a="1"/>
  <c r="N222" i="104" s="1"/>
  <c r="M222" i="104" a="1"/>
  <c r="M222" i="104" s="1"/>
  <c r="L222" i="104" a="1"/>
  <c r="L222" i="104" s="1"/>
  <c r="K222" i="104" a="1"/>
  <c r="K222" i="104" s="1"/>
  <c r="J222" i="104" a="1"/>
  <c r="J222" i="104" s="1"/>
  <c r="I222" i="104" a="1"/>
  <c r="I222" i="104" s="1"/>
  <c r="H222" i="104" a="1"/>
  <c r="H222" i="104" s="1"/>
  <c r="G222" i="104" a="1"/>
  <c r="G222" i="104" s="1"/>
  <c r="F222" i="104" a="1"/>
  <c r="F222" i="104" s="1"/>
  <c r="E222" i="104" a="1"/>
  <c r="E222" i="104" s="1"/>
  <c r="D222" i="104" a="1"/>
  <c r="D222" i="104" s="1"/>
  <c r="AH221" i="104" a="1"/>
  <c r="AH221" i="104" s="1"/>
  <c r="AG221" i="104" a="1"/>
  <c r="AG221" i="104" s="1"/>
  <c r="AF221" i="104" a="1"/>
  <c r="AF221" i="104" s="1"/>
  <c r="AE221" i="104" a="1"/>
  <c r="AE221" i="104" s="1"/>
  <c r="AD221" i="104" a="1"/>
  <c r="AD221" i="104" s="1"/>
  <c r="AC221" i="104" a="1"/>
  <c r="AC221" i="104" s="1"/>
  <c r="AB221" i="104" a="1"/>
  <c r="AB221" i="104" s="1"/>
  <c r="AA221" i="104" a="1"/>
  <c r="AA221" i="104" s="1"/>
  <c r="Z221" i="104" a="1"/>
  <c r="Z221" i="104" s="1"/>
  <c r="Y221" i="104" a="1"/>
  <c r="Y221" i="104" s="1"/>
  <c r="X221" i="104" a="1"/>
  <c r="X221" i="104" s="1"/>
  <c r="W221" i="104" a="1"/>
  <c r="W221" i="104" s="1"/>
  <c r="V221" i="104" a="1"/>
  <c r="V221" i="104" s="1"/>
  <c r="U221" i="104" a="1"/>
  <c r="U221" i="104" s="1"/>
  <c r="T221" i="104" a="1"/>
  <c r="T221" i="104" s="1"/>
  <c r="S221" i="104" a="1"/>
  <c r="S221" i="104" s="1"/>
  <c r="R221" i="104" a="1"/>
  <c r="R221" i="104" s="1"/>
  <c r="Q221" i="104" a="1"/>
  <c r="Q221" i="104" s="1"/>
  <c r="P221" i="104" a="1"/>
  <c r="P221" i="104" s="1"/>
  <c r="O221" i="104" a="1"/>
  <c r="O221" i="104" s="1"/>
  <c r="N221" i="104" a="1"/>
  <c r="N221" i="104" s="1"/>
  <c r="M221" i="104" a="1"/>
  <c r="M221" i="104" s="1"/>
  <c r="L221" i="104" a="1"/>
  <c r="L221" i="104" s="1"/>
  <c r="K221" i="104" a="1"/>
  <c r="K221" i="104" s="1"/>
  <c r="J221" i="104" a="1"/>
  <c r="J221" i="104" s="1"/>
  <c r="I221" i="104" a="1"/>
  <c r="I221" i="104" s="1"/>
  <c r="H221" i="104" a="1"/>
  <c r="H221" i="104" s="1"/>
  <c r="G221" i="104" a="1"/>
  <c r="G221" i="104" s="1"/>
  <c r="F221" i="104" a="1"/>
  <c r="F221" i="104" s="1"/>
  <c r="E221" i="104" a="1"/>
  <c r="E221" i="104" s="1"/>
  <c r="D221" i="104" a="1"/>
  <c r="D221" i="104" s="1"/>
  <c r="AH220" i="104" a="1"/>
  <c r="AH220" i="104" s="1"/>
  <c r="AG220" i="104" a="1"/>
  <c r="AG220" i="104" s="1"/>
  <c r="AF220" i="104" a="1"/>
  <c r="AF220" i="104" s="1"/>
  <c r="AE220" i="104" a="1"/>
  <c r="AE220" i="104" s="1"/>
  <c r="AD220" i="104" a="1"/>
  <c r="AD220" i="104" s="1"/>
  <c r="AC220" i="104" a="1"/>
  <c r="AC220" i="104" s="1"/>
  <c r="AB220" i="104" a="1"/>
  <c r="AB220" i="104" s="1"/>
  <c r="AA220" i="104" a="1"/>
  <c r="AA220" i="104" s="1"/>
  <c r="Z220" i="104" a="1"/>
  <c r="Z220" i="104" s="1"/>
  <c r="Y220" i="104" a="1"/>
  <c r="Y220" i="104" s="1"/>
  <c r="X220" i="104" a="1"/>
  <c r="X220" i="104" s="1"/>
  <c r="W220" i="104" a="1"/>
  <c r="W220" i="104" s="1"/>
  <c r="V220" i="104" a="1"/>
  <c r="V220" i="104" s="1"/>
  <c r="U220" i="104" a="1"/>
  <c r="U220" i="104" s="1"/>
  <c r="T220" i="104" a="1"/>
  <c r="T220" i="104" s="1"/>
  <c r="S220" i="104" a="1"/>
  <c r="S220" i="104" s="1"/>
  <c r="R220" i="104" a="1"/>
  <c r="R220" i="104" s="1"/>
  <c r="Q220" i="104" a="1"/>
  <c r="Q220" i="104" s="1"/>
  <c r="P220" i="104" a="1"/>
  <c r="P220" i="104" s="1"/>
  <c r="O220" i="104" a="1"/>
  <c r="O220" i="104" s="1"/>
  <c r="N220" i="104" a="1"/>
  <c r="N220" i="104" s="1"/>
  <c r="M220" i="104" a="1"/>
  <c r="M220" i="104" s="1"/>
  <c r="L220" i="104" a="1"/>
  <c r="L220" i="104" s="1"/>
  <c r="K220" i="104" a="1"/>
  <c r="K220" i="104" s="1"/>
  <c r="J220" i="104" a="1"/>
  <c r="J220" i="104" s="1"/>
  <c r="I220" i="104" a="1"/>
  <c r="I220" i="104" s="1"/>
  <c r="H220" i="104" a="1"/>
  <c r="H220" i="104" s="1"/>
  <c r="G220" i="104" a="1"/>
  <c r="G220" i="104" s="1"/>
  <c r="F220" i="104" a="1"/>
  <c r="F220" i="104" s="1"/>
  <c r="E220" i="104" a="1"/>
  <c r="E220" i="104" s="1"/>
  <c r="D220" i="104" a="1"/>
  <c r="D220" i="104" s="1"/>
  <c r="AH219" i="104" a="1"/>
  <c r="AH219" i="104" s="1"/>
  <c r="AG219" i="104" a="1"/>
  <c r="AG219" i="104" s="1"/>
  <c r="AF219" i="104" a="1"/>
  <c r="AF219" i="104" s="1"/>
  <c r="AE219" i="104" a="1"/>
  <c r="AE219" i="104" s="1"/>
  <c r="AD219" i="104" a="1"/>
  <c r="AD219" i="104" s="1"/>
  <c r="AC219" i="104" a="1"/>
  <c r="AC219" i="104" s="1"/>
  <c r="AB219" i="104" a="1"/>
  <c r="AB219" i="104" s="1"/>
  <c r="AA219" i="104" a="1"/>
  <c r="AA219" i="104" s="1"/>
  <c r="Z219" i="104" a="1"/>
  <c r="Z219" i="104" s="1"/>
  <c r="Y219" i="104" a="1"/>
  <c r="Y219" i="104" s="1"/>
  <c r="X219" i="104" a="1"/>
  <c r="X219" i="104" s="1"/>
  <c r="W219" i="104" a="1"/>
  <c r="W219" i="104" s="1"/>
  <c r="V219" i="104" a="1"/>
  <c r="V219" i="104" s="1"/>
  <c r="U219" i="104" a="1"/>
  <c r="U219" i="104" s="1"/>
  <c r="T219" i="104" a="1"/>
  <c r="T219" i="104" s="1"/>
  <c r="S219" i="104" a="1"/>
  <c r="S219" i="104" s="1"/>
  <c r="R219" i="104" a="1"/>
  <c r="R219" i="104" s="1"/>
  <c r="Q219" i="104" a="1"/>
  <c r="Q219" i="104" s="1"/>
  <c r="P219" i="104" a="1"/>
  <c r="P219" i="104" s="1"/>
  <c r="O219" i="104" a="1"/>
  <c r="O219" i="104" s="1"/>
  <c r="N219" i="104" a="1"/>
  <c r="N219" i="104" s="1"/>
  <c r="M219" i="104" a="1"/>
  <c r="M219" i="104" s="1"/>
  <c r="L219" i="104" a="1"/>
  <c r="L219" i="104" s="1"/>
  <c r="K219" i="104" a="1"/>
  <c r="K219" i="104" s="1"/>
  <c r="J219" i="104" a="1"/>
  <c r="J219" i="104" s="1"/>
  <c r="I219" i="104" a="1"/>
  <c r="I219" i="104" s="1"/>
  <c r="H219" i="104" a="1"/>
  <c r="H219" i="104" s="1"/>
  <c r="G219" i="104" a="1"/>
  <c r="G219" i="104" s="1"/>
  <c r="F219" i="104" a="1"/>
  <c r="F219" i="104" s="1"/>
  <c r="E219" i="104" a="1"/>
  <c r="E219" i="104" s="1"/>
  <c r="D219" i="104" a="1"/>
  <c r="D219" i="104" s="1"/>
  <c r="AH218" i="104" a="1"/>
  <c r="AH218" i="104" s="1"/>
  <c r="AG218" i="104" a="1"/>
  <c r="AG218" i="104" s="1"/>
  <c r="AF218" i="104" a="1"/>
  <c r="AF218" i="104" s="1"/>
  <c r="AE218" i="104" a="1"/>
  <c r="AE218" i="104" s="1"/>
  <c r="AD218" i="104" a="1"/>
  <c r="AD218" i="104" s="1"/>
  <c r="AC218" i="104" a="1"/>
  <c r="AC218" i="104" s="1"/>
  <c r="AB218" i="104" a="1"/>
  <c r="AB218" i="104" s="1"/>
  <c r="AA218" i="104" a="1"/>
  <c r="AA218" i="104" s="1"/>
  <c r="Z218" i="104" a="1"/>
  <c r="Z218" i="104" s="1"/>
  <c r="Y218" i="104" a="1"/>
  <c r="Y218" i="104" s="1"/>
  <c r="X218" i="104" a="1"/>
  <c r="X218" i="104" s="1"/>
  <c r="W218" i="104" a="1"/>
  <c r="W218" i="104" s="1"/>
  <c r="V218" i="104" a="1"/>
  <c r="V218" i="104" s="1"/>
  <c r="U218" i="104" a="1"/>
  <c r="U218" i="104" s="1"/>
  <c r="T218" i="104" a="1"/>
  <c r="T218" i="104" s="1"/>
  <c r="S218" i="104" a="1"/>
  <c r="S218" i="104" s="1"/>
  <c r="R218" i="104" a="1"/>
  <c r="R218" i="104" s="1"/>
  <c r="Q218" i="104" a="1"/>
  <c r="Q218" i="104" s="1"/>
  <c r="P218" i="104" a="1"/>
  <c r="P218" i="104" s="1"/>
  <c r="O218" i="104" a="1"/>
  <c r="O218" i="104" s="1"/>
  <c r="N218" i="104" a="1"/>
  <c r="N218" i="104" s="1"/>
  <c r="M218" i="104" a="1"/>
  <c r="M218" i="104" s="1"/>
  <c r="L218" i="104" a="1"/>
  <c r="L218" i="104" s="1"/>
  <c r="K218" i="104" a="1"/>
  <c r="K218" i="104" s="1"/>
  <c r="J218" i="104" a="1"/>
  <c r="J218" i="104" s="1"/>
  <c r="I218" i="104" a="1"/>
  <c r="I218" i="104" s="1"/>
  <c r="H218" i="104" a="1"/>
  <c r="H218" i="104" s="1"/>
  <c r="G218" i="104" a="1"/>
  <c r="G218" i="104" s="1"/>
  <c r="F218" i="104" a="1"/>
  <c r="F218" i="104" s="1"/>
  <c r="E218" i="104" a="1"/>
  <c r="E218" i="104" s="1"/>
  <c r="D218" i="104" a="1"/>
  <c r="D218" i="104" s="1"/>
  <c r="AH217" i="104" a="1"/>
  <c r="AH217" i="104" s="1"/>
  <c r="AG217" i="104" a="1"/>
  <c r="AG217" i="104" s="1"/>
  <c r="AF217" i="104" a="1"/>
  <c r="AF217" i="104" s="1"/>
  <c r="AE217" i="104" a="1"/>
  <c r="AE217" i="104" s="1"/>
  <c r="AD217" i="104" a="1"/>
  <c r="AD217" i="104" s="1"/>
  <c r="AC217" i="104" a="1"/>
  <c r="AC217" i="104" s="1"/>
  <c r="AB217" i="104" a="1"/>
  <c r="AB217" i="104" s="1"/>
  <c r="AA217" i="104" a="1"/>
  <c r="AA217" i="104" s="1"/>
  <c r="Z217" i="104" a="1"/>
  <c r="Z217" i="104" s="1"/>
  <c r="Y217" i="104" a="1"/>
  <c r="Y217" i="104" s="1"/>
  <c r="X217" i="104" a="1"/>
  <c r="X217" i="104" s="1"/>
  <c r="W217" i="104" a="1"/>
  <c r="W217" i="104" s="1"/>
  <c r="V217" i="104" a="1"/>
  <c r="V217" i="104" s="1"/>
  <c r="U217" i="104" a="1"/>
  <c r="U217" i="104" s="1"/>
  <c r="T217" i="104" a="1"/>
  <c r="T217" i="104" s="1"/>
  <c r="S217" i="104" a="1"/>
  <c r="S217" i="104" s="1"/>
  <c r="R217" i="104" a="1"/>
  <c r="R217" i="104" s="1"/>
  <c r="Q217" i="104" a="1"/>
  <c r="Q217" i="104" s="1"/>
  <c r="P217" i="104" a="1"/>
  <c r="P217" i="104" s="1"/>
  <c r="O217" i="104" a="1"/>
  <c r="O217" i="104" s="1"/>
  <c r="N217" i="104" a="1"/>
  <c r="N217" i="104" s="1"/>
  <c r="M217" i="104" a="1"/>
  <c r="M217" i="104" s="1"/>
  <c r="L217" i="104" a="1"/>
  <c r="L217" i="104" s="1"/>
  <c r="K217" i="104" a="1"/>
  <c r="K217" i="104" s="1"/>
  <c r="J217" i="104" a="1"/>
  <c r="J217" i="104" s="1"/>
  <c r="I217" i="104" a="1"/>
  <c r="I217" i="104" s="1"/>
  <c r="H217" i="104" a="1"/>
  <c r="H217" i="104" s="1"/>
  <c r="G217" i="104" a="1"/>
  <c r="G217" i="104" s="1"/>
  <c r="F217" i="104" a="1"/>
  <c r="F217" i="104" s="1"/>
  <c r="E217" i="104" a="1"/>
  <c r="E217" i="104" s="1"/>
  <c r="D217" i="104" a="1"/>
  <c r="D217" i="104" s="1"/>
  <c r="AH216" i="104" a="1"/>
  <c r="AH216" i="104" s="1"/>
  <c r="AG216" i="104" a="1"/>
  <c r="AG216" i="104" s="1"/>
  <c r="AF216" i="104" a="1"/>
  <c r="AF216" i="104" s="1"/>
  <c r="AE216" i="104" a="1"/>
  <c r="AE216" i="104" s="1"/>
  <c r="AD216" i="104" a="1"/>
  <c r="AD216" i="104" s="1"/>
  <c r="AC216" i="104" a="1"/>
  <c r="AC216" i="104" s="1"/>
  <c r="AB216" i="104" a="1"/>
  <c r="AB216" i="104" s="1"/>
  <c r="AA216" i="104" a="1"/>
  <c r="AA216" i="104" s="1"/>
  <c r="Z216" i="104" a="1"/>
  <c r="Z216" i="104" s="1"/>
  <c r="Y216" i="104" a="1"/>
  <c r="Y216" i="104" s="1"/>
  <c r="X216" i="104" a="1"/>
  <c r="X216" i="104" s="1"/>
  <c r="W216" i="104" a="1"/>
  <c r="W216" i="104" s="1"/>
  <c r="V216" i="104" a="1"/>
  <c r="V216" i="104" s="1"/>
  <c r="U216" i="104" a="1"/>
  <c r="U216" i="104" s="1"/>
  <c r="T216" i="104" a="1"/>
  <c r="T216" i="104" s="1"/>
  <c r="S216" i="104" a="1"/>
  <c r="S216" i="104" s="1"/>
  <c r="R216" i="104" a="1"/>
  <c r="R216" i="104" s="1"/>
  <c r="Q216" i="104" a="1"/>
  <c r="Q216" i="104" s="1"/>
  <c r="P216" i="104" a="1"/>
  <c r="P216" i="104" s="1"/>
  <c r="O216" i="104" a="1"/>
  <c r="O216" i="104" s="1"/>
  <c r="N216" i="104" a="1"/>
  <c r="N216" i="104" s="1"/>
  <c r="M216" i="104" a="1"/>
  <c r="M216" i="104" s="1"/>
  <c r="L216" i="104" a="1"/>
  <c r="L216" i="104" s="1"/>
  <c r="K216" i="104" a="1"/>
  <c r="K216" i="104" s="1"/>
  <c r="J216" i="104" a="1"/>
  <c r="J216" i="104" s="1"/>
  <c r="I216" i="104" a="1"/>
  <c r="I216" i="104" s="1"/>
  <c r="H216" i="104" a="1"/>
  <c r="H216" i="104" s="1"/>
  <c r="G216" i="104" a="1"/>
  <c r="G216" i="104" s="1"/>
  <c r="F216" i="104" a="1"/>
  <c r="F216" i="104" s="1"/>
  <c r="E216" i="104" a="1"/>
  <c r="E216" i="104" s="1"/>
  <c r="D216" i="104" a="1"/>
  <c r="D216" i="104" s="1"/>
  <c r="AH215" i="104" a="1"/>
  <c r="AH215" i="104" s="1"/>
  <c r="AG215" i="104" a="1"/>
  <c r="AG215" i="104" s="1"/>
  <c r="AF215" i="104" a="1"/>
  <c r="AF215" i="104" s="1"/>
  <c r="AE215" i="104" a="1"/>
  <c r="AE215" i="104" s="1"/>
  <c r="AD215" i="104" a="1"/>
  <c r="AD215" i="104" s="1"/>
  <c r="AC215" i="104" a="1"/>
  <c r="AC215" i="104" s="1"/>
  <c r="AB215" i="104" a="1"/>
  <c r="AB215" i="104" s="1"/>
  <c r="AA215" i="104" a="1"/>
  <c r="AA215" i="104" s="1"/>
  <c r="Z215" i="104" a="1"/>
  <c r="Z215" i="104" s="1"/>
  <c r="Y215" i="104" a="1"/>
  <c r="Y215" i="104" s="1"/>
  <c r="X215" i="104" a="1"/>
  <c r="X215" i="104" s="1"/>
  <c r="W215" i="104" a="1"/>
  <c r="W215" i="104" s="1"/>
  <c r="V215" i="104" a="1"/>
  <c r="V215" i="104" s="1"/>
  <c r="U215" i="104" a="1"/>
  <c r="U215" i="104" s="1"/>
  <c r="T215" i="104" a="1"/>
  <c r="T215" i="104" s="1"/>
  <c r="S215" i="104" a="1"/>
  <c r="S215" i="104" s="1"/>
  <c r="R215" i="104" a="1"/>
  <c r="R215" i="104" s="1"/>
  <c r="Q215" i="104" a="1"/>
  <c r="Q215" i="104" s="1"/>
  <c r="P215" i="104" a="1"/>
  <c r="P215" i="104" s="1"/>
  <c r="O215" i="104" a="1"/>
  <c r="O215" i="104" s="1"/>
  <c r="N215" i="104" a="1"/>
  <c r="N215" i="104" s="1"/>
  <c r="M215" i="104" a="1"/>
  <c r="M215" i="104" s="1"/>
  <c r="L215" i="104" a="1"/>
  <c r="L215" i="104" s="1"/>
  <c r="K215" i="104" a="1"/>
  <c r="K215" i="104" s="1"/>
  <c r="J215" i="104" a="1"/>
  <c r="J215" i="104" s="1"/>
  <c r="I215" i="104" a="1"/>
  <c r="I215" i="104" s="1"/>
  <c r="H215" i="104" a="1"/>
  <c r="H215" i="104" s="1"/>
  <c r="G215" i="104" a="1"/>
  <c r="G215" i="104" s="1"/>
  <c r="F215" i="104" a="1"/>
  <c r="F215" i="104" s="1"/>
  <c r="E215" i="104" a="1"/>
  <c r="E215" i="104" s="1"/>
  <c r="D215" i="104" a="1"/>
  <c r="D215" i="104" s="1"/>
  <c r="AH214" i="104" a="1"/>
  <c r="AH214" i="104" s="1"/>
  <c r="AG214" i="104" a="1"/>
  <c r="AG214" i="104" s="1"/>
  <c r="AF214" i="104" a="1"/>
  <c r="AF214" i="104" s="1"/>
  <c r="AE214" i="104" a="1"/>
  <c r="AE214" i="104" s="1"/>
  <c r="AD214" i="104" a="1"/>
  <c r="AD214" i="104" s="1"/>
  <c r="AC214" i="104" a="1"/>
  <c r="AC214" i="104" s="1"/>
  <c r="AB214" i="104" a="1"/>
  <c r="AB214" i="104" s="1"/>
  <c r="AA214" i="104" a="1"/>
  <c r="AA214" i="104" s="1"/>
  <c r="Z214" i="104" a="1"/>
  <c r="Z214" i="104" s="1"/>
  <c r="Y214" i="104" a="1"/>
  <c r="Y214" i="104" s="1"/>
  <c r="X214" i="104" a="1"/>
  <c r="X214" i="104" s="1"/>
  <c r="W214" i="104" a="1"/>
  <c r="W214" i="104" s="1"/>
  <c r="V214" i="104" a="1"/>
  <c r="V214" i="104" s="1"/>
  <c r="U214" i="104" a="1"/>
  <c r="U214" i="104" s="1"/>
  <c r="T214" i="104" a="1"/>
  <c r="T214" i="104" s="1"/>
  <c r="S214" i="104" a="1"/>
  <c r="S214" i="104" s="1"/>
  <c r="R214" i="104" a="1"/>
  <c r="R214" i="104" s="1"/>
  <c r="Q214" i="104" a="1"/>
  <c r="Q214" i="104" s="1"/>
  <c r="P214" i="104" a="1"/>
  <c r="P214" i="104" s="1"/>
  <c r="O214" i="104" a="1"/>
  <c r="O214" i="104" s="1"/>
  <c r="N214" i="104" a="1"/>
  <c r="N214" i="104" s="1"/>
  <c r="M214" i="104" a="1"/>
  <c r="M214" i="104" s="1"/>
  <c r="L214" i="104" a="1"/>
  <c r="L214" i="104" s="1"/>
  <c r="K214" i="104" a="1"/>
  <c r="K214" i="104" s="1"/>
  <c r="J214" i="104" a="1"/>
  <c r="J214" i="104" s="1"/>
  <c r="I214" i="104" a="1"/>
  <c r="I214" i="104" s="1"/>
  <c r="H214" i="104" a="1"/>
  <c r="H214" i="104" s="1"/>
  <c r="G214" i="104" a="1"/>
  <c r="G214" i="104" s="1"/>
  <c r="F214" i="104" a="1"/>
  <c r="F214" i="104" s="1"/>
  <c r="E214" i="104" a="1"/>
  <c r="E214" i="104" s="1"/>
  <c r="D214" i="104" a="1"/>
  <c r="D214" i="104" s="1"/>
  <c r="AH213" i="104" a="1"/>
  <c r="AH213" i="104" s="1"/>
  <c r="AG213" i="104" a="1"/>
  <c r="AG213" i="104" s="1"/>
  <c r="AF213" i="104" a="1"/>
  <c r="AF213" i="104" s="1"/>
  <c r="AE213" i="104" a="1"/>
  <c r="AE213" i="104" s="1"/>
  <c r="AD213" i="104" a="1"/>
  <c r="AD213" i="104" s="1"/>
  <c r="AC213" i="104" a="1"/>
  <c r="AC213" i="104" s="1"/>
  <c r="AB213" i="104" a="1"/>
  <c r="AB213" i="104" s="1"/>
  <c r="AA213" i="104" a="1"/>
  <c r="AA213" i="104" s="1"/>
  <c r="Z213" i="104" a="1"/>
  <c r="Z213" i="104" s="1"/>
  <c r="Y213" i="104" a="1"/>
  <c r="Y213" i="104" s="1"/>
  <c r="X213" i="104" a="1"/>
  <c r="X213" i="104" s="1"/>
  <c r="W213" i="104" a="1"/>
  <c r="W213" i="104" s="1"/>
  <c r="V213" i="104" a="1"/>
  <c r="V213" i="104" s="1"/>
  <c r="U213" i="104" a="1"/>
  <c r="U213" i="104" s="1"/>
  <c r="T213" i="104" a="1"/>
  <c r="T213" i="104" s="1"/>
  <c r="S213" i="104" a="1"/>
  <c r="S213" i="104" s="1"/>
  <c r="R213" i="104" a="1"/>
  <c r="R213" i="104" s="1"/>
  <c r="Q213" i="104" a="1"/>
  <c r="Q213" i="104" s="1"/>
  <c r="P213" i="104" a="1"/>
  <c r="P213" i="104" s="1"/>
  <c r="O213" i="104" a="1"/>
  <c r="O213" i="104" s="1"/>
  <c r="N213" i="104" a="1"/>
  <c r="N213" i="104" s="1"/>
  <c r="M213" i="104" a="1"/>
  <c r="M213" i="104" s="1"/>
  <c r="L213" i="104" a="1"/>
  <c r="L213" i="104" s="1"/>
  <c r="K213" i="104" a="1"/>
  <c r="K213" i="104" s="1"/>
  <c r="J213" i="104" a="1"/>
  <c r="J213" i="104" s="1"/>
  <c r="I213" i="104" a="1"/>
  <c r="I213" i="104" s="1"/>
  <c r="H213" i="104" a="1"/>
  <c r="H213" i="104" s="1"/>
  <c r="G213" i="104" a="1"/>
  <c r="G213" i="104" s="1"/>
  <c r="F213" i="104" a="1"/>
  <c r="F213" i="104" s="1"/>
  <c r="E213" i="104" a="1"/>
  <c r="E213" i="104" s="1"/>
  <c r="D213" i="104" a="1"/>
  <c r="D213" i="104" s="1"/>
  <c r="AH212" i="104" a="1"/>
  <c r="AH212" i="104" s="1"/>
  <c r="AG212" i="104" a="1"/>
  <c r="AG212" i="104" s="1"/>
  <c r="AF212" i="104" a="1"/>
  <c r="AF212" i="104" s="1"/>
  <c r="AE212" i="104" a="1"/>
  <c r="AE212" i="104" s="1"/>
  <c r="AD212" i="104" a="1"/>
  <c r="AD212" i="104" s="1"/>
  <c r="AC212" i="104" a="1"/>
  <c r="AC212" i="104" s="1"/>
  <c r="AB212" i="104" a="1"/>
  <c r="AB212" i="104" s="1"/>
  <c r="AA212" i="104" a="1"/>
  <c r="AA212" i="104" s="1"/>
  <c r="Z212" i="104" a="1"/>
  <c r="Z212" i="104" s="1"/>
  <c r="Y212" i="104" a="1"/>
  <c r="Y212" i="104" s="1"/>
  <c r="X212" i="104" a="1"/>
  <c r="X212" i="104" s="1"/>
  <c r="W212" i="104" a="1"/>
  <c r="W212" i="104" s="1"/>
  <c r="V212" i="104" a="1"/>
  <c r="V212" i="104" s="1"/>
  <c r="U212" i="104" a="1"/>
  <c r="U212" i="104" s="1"/>
  <c r="T212" i="104" a="1"/>
  <c r="T212" i="104" s="1"/>
  <c r="S212" i="104" a="1"/>
  <c r="S212" i="104" s="1"/>
  <c r="R212" i="104" a="1"/>
  <c r="R212" i="104" s="1"/>
  <c r="Q212" i="104" a="1"/>
  <c r="Q212" i="104" s="1"/>
  <c r="P212" i="104" a="1"/>
  <c r="P212" i="104" s="1"/>
  <c r="O212" i="104" a="1"/>
  <c r="O212" i="104" s="1"/>
  <c r="N212" i="104" a="1"/>
  <c r="N212" i="104" s="1"/>
  <c r="M212" i="104" a="1"/>
  <c r="M212" i="104" s="1"/>
  <c r="L212" i="104" a="1"/>
  <c r="L212" i="104" s="1"/>
  <c r="K212" i="104" a="1"/>
  <c r="K212" i="104" s="1"/>
  <c r="J212" i="104" a="1"/>
  <c r="J212" i="104" s="1"/>
  <c r="I212" i="104" a="1"/>
  <c r="I212" i="104" s="1"/>
  <c r="H212" i="104" a="1"/>
  <c r="H212" i="104" s="1"/>
  <c r="G212" i="104" a="1"/>
  <c r="G212" i="104" s="1"/>
  <c r="F212" i="104" a="1"/>
  <c r="F212" i="104" s="1"/>
  <c r="E212" i="104" a="1"/>
  <c r="E212" i="104" s="1"/>
  <c r="D212" i="104" a="1"/>
  <c r="D212" i="104" s="1"/>
  <c r="AH211" i="104" a="1"/>
  <c r="AH211" i="104" s="1"/>
  <c r="AG211" i="104" a="1"/>
  <c r="AG211" i="104" s="1"/>
  <c r="AF211" i="104" a="1"/>
  <c r="AF211" i="104" s="1"/>
  <c r="AE211" i="104" a="1"/>
  <c r="AE211" i="104" s="1"/>
  <c r="AD211" i="104" a="1"/>
  <c r="AD211" i="104" s="1"/>
  <c r="AC211" i="104" a="1"/>
  <c r="AC211" i="104" s="1"/>
  <c r="AB211" i="104" a="1"/>
  <c r="AB211" i="104" s="1"/>
  <c r="AA211" i="104" a="1"/>
  <c r="AA211" i="104" s="1"/>
  <c r="Z211" i="104" a="1"/>
  <c r="Z211" i="104" s="1"/>
  <c r="Y211" i="104" a="1"/>
  <c r="Y211" i="104" s="1"/>
  <c r="X211" i="104" a="1"/>
  <c r="X211" i="104" s="1"/>
  <c r="W211" i="104" a="1"/>
  <c r="W211" i="104" s="1"/>
  <c r="V211" i="104" a="1"/>
  <c r="V211" i="104" s="1"/>
  <c r="U211" i="104" a="1"/>
  <c r="U211" i="104" s="1"/>
  <c r="T211" i="104" a="1"/>
  <c r="T211" i="104" s="1"/>
  <c r="S211" i="104" a="1"/>
  <c r="S211" i="104" s="1"/>
  <c r="R211" i="104" a="1"/>
  <c r="R211" i="104" s="1"/>
  <c r="Q211" i="104" a="1"/>
  <c r="Q211" i="104" s="1"/>
  <c r="P211" i="104" a="1"/>
  <c r="P211" i="104" s="1"/>
  <c r="O211" i="104" a="1"/>
  <c r="O211" i="104" s="1"/>
  <c r="N211" i="104" a="1"/>
  <c r="N211" i="104" s="1"/>
  <c r="M211" i="104" a="1"/>
  <c r="M211" i="104" s="1"/>
  <c r="L211" i="104" a="1"/>
  <c r="L211" i="104" s="1"/>
  <c r="K211" i="104" a="1"/>
  <c r="K211" i="104" s="1"/>
  <c r="J211" i="104" a="1"/>
  <c r="J211" i="104" s="1"/>
  <c r="I211" i="104" a="1"/>
  <c r="I211" i="104" s="1"/>
  <c r="H211" i="104" a="1"/>
  <c r="H211" i="104" s="1"/>
  <c r="G211" i="104" a="1"/>
  <c r="G211" i="104" s="1"/>
  <c r="F211" i="104" a="1"/>
  <c r="F211" i="104" s="1"/>
  <c r="E211" i="104" a="1"/>
  <c r="E211" i="104" s="1"/>
  <c r="D211" i="104" a="1"/>
  <c r="D211" i="104" s="1"/>
  <c r="AH210" i="104" a="1"/>
  <c r="AH210" i="104" s="1"/>
  <c r="AG210" i="104" a="1"/>
  <c r="AG210" i="104" s="1"/>
  <c r="AF210" i="104" a="1"/>
  <c r="AF210" i="104" s="1"/>
  <c r="AE210" i="104" a="1"/>
  <c r="AE210" i="104" s="1"/>
  <c r="AD210" i="104" a="1"/>
  <c r="AD210" i="104" s="1"/>
  <c r="AC210" i="104" a="1"/>
  <c r="AC210" i="104" s="1"/>
  <c r="AB210" i="104" a="1"/>
  <c r="AB210" i="104" s="1"/>
  <c r="AA210" i="104" a="1"/>
  <c r="AA210" i="104" s="1"/>
  <c r="Z210" i="104" a="1"/>
  <c r="Z210" i="104" s="1"/>
  <c r="Y210" i="104" a="1"/>
  <c r="Y210" i="104" s="1"/>
  <c r="X210" i="104" a="1"/>
  <c r="X210" i="104" s="1"/>
  <c r="W210" i="104" a="1"/>
  <c r="W210" i="104" s="1"/>
  <c r="V210" i="104" a="1"/>
  <c r="V210" i="104" s="1"/>
  <c r="U210" i="104" a="1"/>
  <c r="U210" i="104" s="1"/>
  <c r="T210" i="104" a="1"/>
  <c r="T210" i="104" s="1"/>
  <c r="S210" i="104" a="1"/>
  <c r="S210" i="104" s="1"/>
  <c r="R210" i="104" a="1"/>
  <c r="R210" i="104" s="1"/>
  <c r="Q210" i="104" a="1"/>
  <c r="Q210" i="104" s="1"/>
  <c r="P210" i="104" a="1"/>
  <c r="P210" i="104" s="1"/>
  <c r="O210" i="104" a="1"/>
  <c r="O210" i="104" s="1"/>
  <c r="N210" i="104" a="1"/>
  <c r="N210" i="104" s="1"/>
  <c r="M210" i="104" a="1"/>
  <c r="M210" i="104" s="1"/>
  <c r="L210" i="104" a="1"/>
  <c r="L210" i="104" s="1"/>
  <c r="K210" i="104" a="1"/>
  <c r="K210" i="104" s="1"/>
  <c r="J210" i="104" a="1"/>
  <c r="J210" i="104" s="1"/>
  <c r="I210" i="104" a="1"/>
  <c r="I210" i="104" s="1"/>
  <c r="H210" i="104" a="1"/>
  <c r="H210" i="104" s="1"/>
  <c r="G210" i="104" a="1"/>
  <c r="G210" i="104" s="1"/>
  <c r="F210" i="104" a="1"/>
  <c r="F210" i="104" s="1"/>
  <c r="E210" i="104" a="1"/>
  <c r="E210" i="104" s="1"/>
  <c r="D210" i="104" a="1"/>
  <c r="D210" i="104" s="1"/>
  <c r="AH209" i="104" a="1"/>
  <c r="AH209" i="104" s="1"/>
  <c r="AG209" i="104" a="1"/>
  <c r="AG209" i="104" s="1"/>
  <c r="AF209" i="104" a="1"/>
  <c r="AF209" i="104" s="1"/>
  <c r="AE209" i="104" a="1"/>
  <c r="AE209" i="104" s="1"/>
  <c r="AD209" i="104" a="1"/>
  <c r="AD209" i="104" s="1"/>
  <c r="AC209" i="104" a="1"/>
  <c r="AC209" i="104" s="1"/>
  <c r="AB209" i="104" a="1"/>
  <c r="AB209" i="104" s="1"/>
  <c r="AA209" i="104" a="1"/>
  <c r="AA209" i="104" s="1"/>
  <c r="Z209" i="104" a="1"/>
  <c r="Z209" i="104" s="1"/>
  <c r="Y209" i="104" a="1"/>
  <c r="Y209" i="104" s="1"/>
  <c r="X209" i="104" a="1"/>
  <c r="X209" i="104" s="1"/>
  <c r="W209" i="104" a="1"/>
  <c r="W209" i="104" s="1"/>
  <c r="V209" i="104" a="1"/>
  <c r="V209" i="104" s="1"/>
  <c r="U209" i="104" a="1"/>
  <c r="U209" i="104" s="1"/>
  <c r="T209" i="104" a="1"/>
  <c r="T209" i="104" s="1"/>
  <c r="S209" i="104" a="1"/>
  <c r="S209" i="104" s="1"/>
  <c r="R209" i="104" a="1"/>
  <c r="R209" i="104" s="1"/>
  <c r="Q209" i="104" a="1"/>
  <c r="Q209" i="104" s="1"/>
  <c r="P209" i="104" a="1"/>
  <c r="P209" i="104" s="1"/>
  <c r="O209" i="104" a="1"/>
  <c r="O209" i="104" s="1"/>
  <c r="N209" i="104" a="1"/>
  <c r="N209" i="104" s="1"/>
  <c r="M209" i="104" a="1"/>
  <c r="M209" i="104" s="1"/>
  <c r="L209" i="104" a="1"/>
  <c r="L209" i="104" s="1"/>
  <c r="K209" i="104" a="1"/>
  <c r="K209" i="104" s="1"/>
  <c r="J209" i="104" a="1"/>
  <c r="J209" i="104" s="1"/>
  <c r="I209" i="104" a="1"/>
  <c r="I209" i="104" s="1"/>
  <c r="H209" i="104" a="1"/>
  <c r="H209" i="104" s="1"/>
  <c r="G209" i="104" a="1"/>
  <c r="G209" i="104" s="1"/>
  <c r="F209" i="104" a="1"/>
  <c r="F209" i="104" s="1"/>
  <c r="E209" i="104" a="1"/>
  <c r="E209" i="104" s="1"/>
  <c r="D209" i="104" a="1"/>
  <c r="D209" i="104" s="1"/>
  <c r="AH208" i="104" a="1"/>
  <c r="AH208" i="104" s="1"/>
  <c r="AG208" i="104" a="1"/>
  <c r="AG208" i="104" s="1"/>
  <c r="AF208" i="104" a="1"/>
  <c r="AF208" i="104" s="1"/>
  <c r="AE208" i="104" a="1"/>
  <c r="AE208" i="104" s="1"/>
  <c r="AD208" i="104" a="1"/>
  <c r="AD208" i="104" s="1"/>
  <c r="AC208" i="104" a="1"/>
  <c r="AC208" i="104" s="1"/>
  <c r="AB208" i="104" a="1"/>
  <c r="AB208" i="104" s="1"/>
  <c r="AA208" i="104" a="1"/>
  <c r="AA208" i="104" s="1"/>
  <c r="Z208" i="104" a="1"/>
  <c r="Z208" i="104" s="1"/>
  <c r="Y208" i="104" a="1"/>
  <c r="Y208" i="104" s="1"/>
  <c r="X208" i="104" a="1"/>
  <c r="X208" i="104" s="1"/>
  <c r="W208" i="104" a="1"/>
  <c r="W208" i="104" s="1"/>
  <c r="V208" i="104" a="1"/>
  <c r="V208" i="104" s="1"/>
  <c r="U208" i="104" a="1"/>
  <c r="U208" i="104" s="1"/>
  <c r="T208" i="104" a="1"/>
  <c r="T208" i="104" s="1"/>
  <c r="S208" i="104" a="1"/>
  <c r="S208" i="104" s="1"/>
  <c r="R208" i="104" a="1"/>
  <c r="R208" i="104" s="1"/>
  <c r="Q208" i="104" a="1"/>
  <c r="Q208" i="104" s="1"/>
  <c r="P208" i="104" a="1"/>
  <c r="P208" i="104" s="1"/>
  <c r="O208" i="104" a="1"/>
  <c r="O208" i="104" s="1"/>
  <c r="N208" i="104" a="1"/>
  <c r="N208" i="104" s="1"/>
  <c r="M208" i="104" a="1"/>
  <c r="M208" i="104" s="1"/>
  <c r="L208" i="104" a="1"/>
  <c r="L208" i="104" s="1"/>
  <c r="K208" i="104" a="1"/>
  <c r="K208" i="104" s="1"/>
  <c r="J208" i="104" a="1"/>
  <c r="J208" i="104" s="1"/>
  <c r="I208" i="104" a="1"/>
  <c r="I208" i="104" s="1"/>
  <c r="H208" i="104" a="1"/>
  <c r="H208" i="104" s="1"/>
  <c r="G208" i="104" a="1"/>
  <c r="G208" i="104" s="1"/>
  <c r="F208" i="104" a="1"/>
  <c r="F208" i="104" s="1"/>
  <c r="E208" i="104" a="1"/>
  <c r="E208" i="104" s="1"/>
  <c r="D208" i="104" a="1"/>
  <c r="D208" i="104" s="1"/>
  <c r="AH207" i="104" a="1"/>
  <c r="AH207" i="104" s="1"/>
  <c r="AG207" i="104" a="1"/>
  <c r="AG207" i="104" s="1"/>
  <c r="AF207" i="104" a="1"/>
  <c r="AF207" i="104" s="1"/>
  <c r="AE207" i="104" a="1"/>
  <c r="AE207" i="104" s="1"/>
  <c r="AD207" i="104" a="1"/>
  <c r="AD207" i="104" s="1"/>
  <c r="AC207" i="104" a="1"/>
  <c r="AC207" i="104" s="1"/>
  <c r="AB207" i="104" a="1"/>
  <c r="AB207" i="104" s="1"/>
  <c r="AA207" i="104" a="1"/>
  <c r="AA207" i="104" s="1"/>
  <c r="Z207" i="104" a="1"/>
  <c r="Z207" i="104" s="1"/>
  <c r="Y207" i="104" a="1"/>
  <c r="Y207" i="104" s="1"/>
  <c r="X207" i="104" a="1"/>
  <c r="X207" i="104" s="1"/>
  <c r="W207" i="104" a="1"/>
  <c r="W207" i="104" s="1"/>
  <c r="V207" i="104" a="1"/>
  <c r="V207" i="104" s="1"/>
  <c r="U207" i="104" a="1"/>
  <c r="U207" i="104" s="1"/>
  <c r="T207" i="104" a="1"/>
  <c r="T207" i="104" s="1"/>
  <c r="S207" i="104" a="1"/>
  <c r="S207" i="104" s="1"/>
  <c r="R207" i="104" a="1"/>
  <c r="R207" i="104" s="1"/>
  <c r="Q207" i="104" a="1"/>
  <c r="Q207" i="104" s="1"/>
  <c r="P207" i="104" a="1"/>
  <c r="P207" i="104" s="1"/>
  <c r="O207" i="104" a="1"/>
  <c r="O207" i="104" s="1"/>
  <c r="N207" i="104" a="1"/>
  <c r="N207" i="104" s="1"/>
  <c r="M207" i="104" a="1"/>
  <c r="M207" i="104" s="1"/>
  <c r="L207" i="104" a="1"/>
  <c r="L207" i="104" s="1"/>
  <c r="K207" i="104" a="1"/>
  <c r="K207" i="104" s="1"/>
  <c r="J207" i="104" a="1"/>
  <c r="J207" i="104" s="1"/>
  <c r="I207" i="104" a="1"/>
  <c r="I207" i="104" s="1"/>
  <c r="H207" i="104" a="1"/>
  <c r="H207" i="104" s="1"/>
  <c r="G207" i="104" a="1"/>
  <c r="G207" i="104" s="1"/>
  <c r="F207" i="104" a="1"/>
  <c r="F207" i="104" s="1"/>
  <c r="E207" i="104" a="1"/>
  <c r="E207" i="104" s="1"/>
  <c r="D207" i="104" a="1"/>
  <c r="D207" i="104" s="1"/>
  <c r="AH206" i="104" a="1"/>
  <c r="AH206" i="104" s="1"/>
  <c r="AG206" i="104" a="1"/>
  <c r="AG206" i="104" s="1"/>
  <c r="AF206" i="104" a="1"/>
  <c r="AF206" i="104" s="1"/>
  <c r="AE206" i="104" a="1"/>
  <c r="AE206" i="104" s="1"/>
  <c r="AD206" i="104" a="1"/>
  <c r="AD206" i="104" s="1"/>
  <c r="AC206" i="104" a="1"/>
  <c r="AC206" i="104" s="1"/>
  <c r="AB206" i="104" a="1"/>
  <c r="AB206" i="104" s="1"/>
  <c r="AA206" i="104" a="1"/>
  <c r="AA206" i="104" s="1"/>
  <c r="Z206" i="104" a="1"/>
  <c r="Z206" i="104" s="1"/>
  <c r="Y206" i="104" a="1"/>
  <c r="Y206" i="104" s="1"/>
  <c r="X206" i="104" a="1"/>
  <c r="X206" i="104" s="1"/>
  <c r="W206" i="104" a="1"/>
  <c r="W206" i="104" s="1"/>
  <c r="V206" i="104" a="1"/>
  <c r="V206" i="104" s="1"/>
  <c r="U206" i="104" a="1"/>
  <c r="U206" i="104" s="1"/>
  <c r="T206" i="104" a="1"/>
  <c r="T206" i="104" s="1"/>
  <c r="S206" i="104" a="1"/>
  <c r="S206" i="104" s="1"/>
  <c r="R206" i="104" a="1"/>
  <c r="R206" i="104" s="1"/>
  <c r="Q206" i="104" a="1"/>
  <c r="Q206" i="104" s="1"/>
  <c r="P206" i="104" a="1"/>
  <c r="P206" i="104" s="1"/>
  <c r="O206" i="104" a="1"/>
  <c r="O206" i="104" s="1"/>
  <c r="N206" i="104" a="1"/>
  <c r="N206" i="104" s="1"/>
  <c r="M206" i="104" a="1"/>
  <c r="M206" i="104" s="1"/>
  <c r="L206" i="104" a="1"/>
  <c r="L206" i="104" s="1"/>
  <c r="K206" i="104" a="1"/>
  <c r="K206" i="104" s="1"/>
  <c r="J206" i="104" a="1"/>
  <c r="J206" i="104" s="1"/>
  <c r="I206" i="104" a="1"/>
  <c r="I206" i="104" s="1"/>
  <c r="H206" i="104" a="1"/>
  <c r="H206" i="104" s="1"/>
  <c r="G206" i="104" a="1"/>
  <c r="G206" i="104" s="1"/>
  <c r="F206" i="104" a="1"/>
  <c r="F206" i="104" s="1"/>
  <c r="E206" i="104" a="1"/>
  <c r="E206" i="104" s="1"/>
  <c r="D206" i="104" a="1"/>
  <c r="D206" i="104" s="1"/>
  <c r="AH205" i="104" a="1"/>
  <c r="AH205" i="104" s="1"/>
  <c r="AG205" i="104" a="1"/>
  <c r="AG205" i="104" s="1"/>
  <c r="AF205" i="104" a="1"/>
  <c r="AF205" i="104" s="1"/>
  <c r="AE205" i="104" a="1"/>
  <c r="AE205" i="104" s="1"/>
  <c r="AD205" i="104" a="1"/>
  <c r="AD205" i="104" s="1"/>
  <c r="AC205" i="104" a="1"/>
  <c r="AC205" i="104" s="1"/>
  <c r="AB205" i="104" a="1"/>
  <c r="AB205" i="104" s="1"/>
  <c r="AA205" i="104" a="1"/>
  <c r="AA205" i="104" s="1"/>
  <c r="Z205" i="104" a="1"/>
  <c r="Z205" i="104" s="1"/>
  <c r="Y205" i="104" a="1"/>
  <c r="Y205" i="104" s="1"/>
  <c r="X205" i="104" a="1"/>
  <c r="X205" i="104" s="1"/>
  <c r="W205" i="104" a="1"/>
  <c r="W205" i="104" s="1"/>
  <c r="V205" i="104" a="1"/>
  <c r="V205" i="104" s="1"/>
  <c r="U205" i="104" a="1"/>
  <c r="U205" i="104" s="1"/>
  <c r="T205" i="104" a="1"/>
  <c r="T205" i="104" s="1"/>
  <c r="S205" i="104" a="1"/>
  <c r="S205" i="104" s="1"/>
  <c r="R205" i="104" a="1"/>
  <c r="R205" i="104" s="1"/>
  <c r="Q205" i="104" a="1"/>
  <c r="Q205" i="104" s="1"/>
  <c r="P205" i="104" a="1"/>
  <c r="P205" i="104" s="1"/>
  <c r="O205" i="104" a="1"/>
  <c r="O205" i="104" s="1"/>
  <c r="N205" i="104" a="1"/>
  <c r="N205" i="104" s="1"/>
  <c r="M205" i="104" a="1"/>
  <c r="M205" i="104" s="1"/>
  <c r="L205" i="104" a="1"/>
  <c r="L205" i="104" s="1"/>
  <c r="K205" i="104" a="1"/>
  <c r="K205" i="104" s="1"/>
  <c r="J205" i="104" a="1"/>
  <c r="J205" i="104" s="1"/>
  <c r="I205" i="104" a="1"/>
  <c r="I205" i="104" s="1"/>
  <c r="H205" i="104" a="1"/>
  <c r="H205" i="104" s="1"/>
  <c r="G205" i="104" a="1"/>
  <c r="G205" i="104" s="1"/>
  <c r="F205" i="104" a="1"/>
  <c r="F205" i="104" s="1"/>
  <c r="E205" i="104" a="1"/>
  <c r="E205" i="104" s="1"/>
  <c r="D205" i="104" a="1"/>
  <c r="D205" i="104" s="1"/>
  <c r="AH204" i="104" a="1"/>
  <c r="AH204" i="104" s="1"/>
  <c r="AG204" i="104" a="1"/>
  <c r="AG204" i="104" s="1"/>
  <c r="AF204" i="104" a="1"/>
  <c r="AF204" i="104" s="1"/>
  <c r="AE204" i="104" a="1"/>
  <c r="AE204" i="104" s="1"/>
  <c r="AD204" i="104" a="1"/>
  <c r="AD204" i="104" s="1"/>
  <c r="AC204" i="104" a="1"/>
  <c r="AC204" i="104" s="1"/>
  <c r="AB204" i="104" a="1"/>
  <c r="AB204" i="104" s="1"/>
  <c r="AA204" i="104" a="1"/>
  <c r="AA204" i="104" s="1"/>
  <c r="Z204" i="104" a="1"/>
  <c r="Z204" i="104" s="1"/>
  <c r="Y204" i="104" a="1"/>
  <c r="Y204" i="104" s="1"/>
  <c r="X204" i="104" a="1"/>
  <c r="X204" i="104" s="1"/>
  <c r="W204" i="104" a="1"/>
  <c r="W204" i="104" s="1"/>
  <c r="V204" i="104" a="1"/>
  <c r="V204" i="104" s="1"/>
  <c r="U204" i="104" a="1"/>
  <c r="U204" i="104" s="1"/>
  <c r="T204" i="104" a="1"/>
  <c r="T204" i="104" s="1"/>
  <c r="S204" i="104" a="1"/>
  <c r="S204" i="104" s="1"/>
  <c r="R204" i="104" a="1"/>
  <c r="R204" i="104" s="1"/>
  <c r="Q204" i="104" a="1"/>
  <c r="Q204" i="104" s="1"/>
  <c r="P204" i="104" a="1"/>
  <c r="P204" i="104" s="1"/>
  <c r="O204" i="104" a="1"/>
  <c r="O204" i="104" s="1"/>
  <c r="N204" i="104" a="1"/>
  <c r="N204" i="104" s="1"/>
  <c r="M204" i="104" a="1"/>
  <c r="M204" i="104" s="1"/>
  <c r="L204" i="104" a="1"/>
  <c r="L204" i="104" s="1"/>
  <c r="K204" i="104" a="1"/>
  <c r="K204" i="104" s="1"/>
  <c r="J204" i="104" a="1"/>
  <c r="J204" i="104" s="1"/>
  <c r="I204" i="104" a="1"/>
  <c r="I204" i="104" s="1"/>
  <c r="H204" i="104" a="1"/>
  <c r="H204" i="104" s="1"/>
  <c r="G204" i="104" a="1"/>
  <c r="G204" i="104" s="1"/>
  <c r="F204" i="104" a="1"/>
  <c r="F204" i="104" s="1"/>
  <c r="E204" i="104" a="1"/>
  <c r="E204" i="104" s="1"/>
  <c r="D204" i="104" a="1"/>
  <c r="D204" i="104" s="1"/>
  <c r="AH203" i="104" a="1"/>
  <c r="AH203" i="104" s="1"/>
  <c r="AG203" i="104" a="1"/>
  <c r="AG203" i="104" s="1"/>
  <c r="AF203" i="104" a="1"/>
  <c r="AF203" i="104" s="1"/>
  <c r="AE203" i="104" a="1"/>
  <c r="AE203" i="104" s="1"/>
  <c r="AD203" i="104" a="1"/>
  <c r="AD203" i="104" s="1"/>
  <c r="AC203" i="104" a="1"/>
  <c r="AC203" i="104" s="1"/>
  <c r="AB203" i="104" a="1"/>
  <c r="AB203" i="104" s="1"/>
  <c r="AA203" i="104" a="1"/>
  <c r="AA203" i="104" s="1"/>
  <c r="Z203" i="104" a="1"/>
  <c r="Z203" i="104" s="1"/>
  <c r="Y203" i="104" a="1"/>
  <c r="Y203" i="104" s="1"/>
  <c r="X203" i="104" a="1"/>
  <c r="X203" i="104" s="1"/>
  <c r="W203" i="104" a="1"/>
  <c r="W203" i="104" s="1"/>
  <c r="V203" i="104" a="1"/>
  <c r="V203" i="104" s="1"/>
  <c r="U203" i="104" a="1"/>
  <c r="U203" i="104" s="1"/>
  <c r="T203" i="104" a="1"/>
  <c r="T203" i="104" s="1"/>
  <c r="S203" i="104" a="1"/>
  <c r="S203" i="104" s="1"/>
  <c r="R203" i="104" a="1"/>
  <c r="R203" i="104" s="1"/>
  <c r="Q203" i="104" a="1"/>
  <c r="Q203" i="104" s="1"/>
  <c r="P203" i="104" a="1"/>
  <c r="P203" i="104" s="1"/>
  <c r="O203" i="104" a="1"/>
  <c r="O203" i="104" s="1"/>
  <c r="N203" i="104" a="1"/>
  <c r="N203" i="104" s="1"/>
  <c r="M203" i="104" a="1"/>
  <c r="M203" i="104" s="1"/>
  <c r="L203" i="104" a="1"/>
  <c r="L203" i="104" s="1"/>
  <c r="K203" i="104" a="1"/>
  <c r="K203" i="104" s="1"/>
  <c r="J203" i="104" a="1"/>
  <c r="J203" i="104" s="1"/>
  <c r="I203" i="104" a="1"/>
  <c r="I203" i="104" s="1"/>
  <c r="H203" i="104" a="1"/>
  <c r="H203" i="104" s="1"/>
  <c r="G203" i="104" a="1"/>
  <c r="G203" i="104" s="1"/>
  <c r="F203" i="104" a="1"/>
  <c r="F203" i="104" s="1"/>
  <c r="E203" i="104" a="1"/>
  <c r="E203" i="104" s="1"/>
  <c r="D203" i="104" a="1"/>
  <c r="D203" i="104" s="1"/>
  <c r="AH202" i="104" a="1"/>
  <c r="AH202" i="104" s="1"/>
  <c r="AG202" i="104" a="1"/>
  <c r="AG202" i="104" s="1"/>
  <c r="AF202" i="104" a="1"/>
  <c r="AF202" i="104" s="1"/>
  <c r="AE202" i="104" a="1"/>
  <c r="AE202" i="104" s="1"/>
  <c r="AD202" i="104" a="1"/>
  <c r="AD202" i="104" s="1"/>
  <c r="AC202" i="104" a="1"/>
  <c r="AC202" i="104" s="1"/>
  <c r="AB202" i="104" a="1"/>
  <c r="AB202" i="104" s="1"/>
  <c r="AA202" i="104" a="1"/>
  <c r="AA202" i="104" s="1"/>
  <c r="Z202" i="104" a="1"/>
  <c r="Z202" i="104" s="1"/>
  <c r="Y202" i="104" a="1"/>
  <c r="Y202" i="104" s="1"/>
  <c r="X202" i="104" a="1"/>
  <c r="X202" i="104" s="1"/>
  <c r="W202" i="104" a="1"/>
  <c r="W202" i="104" s="1"/>
  <c r="V202" i="104" a="1"/>
  <c r="V202" i="104" s="1"/>
  <c r="U202" i="104" a="1"/>
  <c r="U202" i="104" s="1"/>
  <c r="T202" i="104" a="1"/>
  <c r="T202" i="104" s="1"/>
  <c r="S202" i="104" a="1"/>
  <c r="S202" i="104" s="1"/>
  <c r="R202" i="104" a="1"/>
  <c r="R202" i="104" s="1"/>
  <c r="Q202" i="104" a="1"/>
  <c r="Q202" i="104" s="1"/>
  <c r="P202" i="104" a="1"/>
  <c r="P202" i="104" s="1"/>
  <c r="O202" i="104" a="1"/>
  <c r="O202" i="104" s="1"/>
  <c r="N202" i="104" a="1"/>
  <c r="N202" i="104" s="1"/>
  <c r="M202" i="104" a="1"/>
  <c r="M202" i="104" s="1"/>
  <c r="L202" i="104" a="1"/>
  <c r="L202" i="104" s="1"/>
  <c r="K202" i="104" a="1"/>
  <c r="K202" i="104" s="1"/>
  <c r="J202" i="104" a="1"/>
  <c r="J202" i="104" s="1"/>
  <c r="I202" i="104" a="1"/>
  <c r="I202" i="104" s="1"/>
  <c r="H202" i="104" a="1"/>
  <c r="H202" i="104" s="1"/>
  <c r="G202" i="104" a="1"/>
  <c r="G202" i="104" s="1"/>
  <c r="F202" i="104" a="1"/>
  <c r="F202" i="104" s="1"/>
  <c r="E202" i="104" a="1"/>
  <c r="E202" i="104" s="1"/>
  <c r="D202" i="104" a="1"/>
  <c r="D202" i="104" s="1"/>
  <c r="AH201" i="104" a="1"/>
  <c r="AH201" i="104" s="1"/>
  <c r="AG201" i="104" a="1"/>
  <c r="AG201" i="104" s="1"/>
  <c r="AF201" i="104" a="1"/>
  <c r="AF201" i="104" s="1"/>
  <c r="AE201" i="104" a="1"/>
  <c r="AE201" i="104" s="1"/>
  <c r="AD201" i="104" a="1"/>
  <c r="AD201" i="104" s="1"/>
  <c r="AC201" i="104" a="1"/>
  <c r="AC201" i="104" s="1"/>
  <c r="AB201" i="104" a="1"/>
  <c r="AB201" i="104" s="1"/>
  <c r="AA201" i="104" a="1"/>
  <c r="AA201" i="104" s="1"/>
  <c r="Z201" i="104" a="1"/>
  <c r="Z201" i="104" s="1"/>
  <c r="Y201" i="104" a="1"/>
  <c r="Y201" i="104" s="1"/>
  <c r="X201" i="104" a="1"/>
  <c r="X201" i="104" s="1"/>
  <c r="W201" i="104" a="1"/>
  <c r="W201" i="104" s="1"/>
  <c r="V201" i="104" a="1"/>
  <c r="V201" i="104" s="1"/>
  <c r="U201" i="104" a="1"/>
  <c r="U201" i="104" s="1"/>
  <c r="T201" i="104" a="1"/>
  <c r="T201" i="104" s="1"/>
  <c r="S201" i="104" a="1"/>
  <c r="S201" i="104" s="1"/>
  <c r="R201" i="104" a="1"/>
  <c r="R201" i="104" s="1"/>
  <c r="Q201" i="104" a="1"/>
  <c r="Q201" i="104" s="1"/>
  <c r="P201" i="104" a="1"/>
  <c r="P201" i="104" s="1"/>
  <c r="O201" i="104" a="1"/>
  <c r="O201" i="104" s="1"/>
  <c r="N201" i="104" a="1"/>
  <c r="N201" i="104" s="1"/>
  <c r="M201" i="104" a="1"/>
  <c r="M201" i="104" s="1"/>
  <c r="L201" i="104" a="1"/>
  <c r="L201" i="104" s="1"/>
  <c r="K201" i="104" a="1"/>
  <c r="K201" i="104" s="1"/>
  <c r="J201" i="104" a="1"/>
  <c r="J201" i="104" s="1"/>
  <c r="I201" i="104" a="1"/>
  <c r="I201" i="104" s="1"/>
  <c r="H201" i="104" a="1"/>
  <c r="H201" i="104" s="1"/>
  <c r="G201" i="104" a="1"/>
  <c r="G201" i="104" s="1"/>
  <c r="F201" i="104" a="1"/>
  <c r="F201" i="104" s="1"/>
  <c r="E201" i="104" a="1"/>
  <c r="E201" i="104" s="1"/>
  <c r="D201" i="104" a="1"/>
  <c r="D201" i="104" s="1"/>
  <c r="AH200" i="104" a="1"/>
  <c r="AH200" i="104" s="1"/>
  <c r="AG200" i="104" a="1"/>
  <c r="AG200" i="104" s="1"/>
  <c r="AF200" i="104" a="1"/>
  <c r="AF200" i="104" s="1"/>
  <c r="AE200" i="104" a="1"/>
  <c r="AE200" i="104" s="1"/>
  <c r="AD200" i="104" a="1"/>
  <c r="AD200" i="104" s="1"/>
  <c r="AC200" i="104" a="1"/>
  <c r="AC200" i="104" s="1"/>
  <c r="AB200" i="104" a="1"/>
  <c r="AB200" i="104" s="1"/>
  <c r="AA200" i="104" a="1"/>
  <c r="AA200" i="104" s="1"/>
  <c r="Z200" i="104" a="1"/>
  <c r="Z200" i="104" s="1"/>
  <c r="Y200" i="104" a="1"/>
  <c r="Y200" i="104" s="1"/>
  <c r="X200" i="104" a="1"/>
  <c r="X200" i="104" s="1"/>
  <c r="W200" i="104" a="1"/>
  <c r="W200" i="104" s="1"/>
  <c r="V200" i="104" a="1"/>
  <c r="V200" i="104" s="1"/>
  <c r="U200" i="104" a="1"/>
  <c r="U200" i="104" s="1"/>
  <c r="T200" i="104" a="1"/>
  <c r="T200" i="104" s="1"/>
  <c r="S200" i="104" a="1"/>
  <c r="S200" i="104" s="1"/>
  <c r="R200" i="104" a="1"/>
  <c r="R200" i="104" s="1"/>
  <c r="Q200" i="104" a="1"/>
  <c r="Q200" i="104" s="1"/>
  <c r="P200" i="104" a="1"/>
  <c r="P200" i="104" s="1"/>
  <c r="O200" i="104" a="1"/>
  <c r="O200" i="104" s="1"/>
  <c r="N200" i="104" a="1"/>
  <c r="N200" i="104" s="1"/>
  <c r="M200" i="104" a="1"/>
  <c r="M200" i="104" s="1"/>
  <c r="L200" i="104" a="1"/>
  <c r="L200" i="104" s="1"/>
  <c r="K200" i="104" a="1"/>
  <c r="K200" i="104" s="1"/>
  <c r="J200" i="104" a="1"/>
  <c r="J200" i="104" s="1"/>
  <c r="I200" i="104" a="1"/>
  <c r="I200" i="104" s="1"/>
  <c r="H200" i="104" a="1"/>
  <c r="H200" i="104" s="1"/>
  <c r="G200" i="104" a="1"/>
  <c r="G200" i="104" s="1"/>
  <c r="F200" i="104" a="1"/>
  <c r="F200" i="104" s="1"/>
  <c r="E200" i="104" a="1"/>
  <c r="E200" i="104" s="1"/>
  <c r="D200" i="104" a="1"/>
  <c r="D200" i="104" s="1"/>
  <c r="AH199" i="104" a="1"/>
  <c r="AH199" i="104" s="1"/>
  <c r="AG199" i="104" a="1"/>
  <c r="AG199" i="104" s="1"/>
  <c r="AF199" i="104" a="1"/>
  <c r="AF199" i="104" s="1"/>
  <c r="AE199" i="104" a="1"/>
  <c r="AE199" i="104" s="1"/>
  <c r="AD199" i="104" a="1"/>
  <c r="AD199" i="104" s="1"/>
  <c r="AC199" i="104" a="1"/>
  <c r="AC199" i="104" s="1"/>
  <c r="AB199" i="104" a="1"/>
  <c r="AB199" i="104" s="1"/>
  <c r="AA199" i="104" a="1"/>
  <c r="AA199" i="104" s="1"/>
  <c r="Z199" i="104" a="1"/>
  <c r="Z199" i="104" s="1"/>
  <c r="Y199" i="104" a="1"/>
  <c r="Y199" i="104" s="1"/>
  <c r="X199" i="104" a="1"/>
  <c r="X199" i="104" s="1"/>
  <c r="W199" i="104" a="1"/>
  <c r="W199" i="104" s="1"/>
  <c r="V199" i="104" a="1"/>
  <c r="V199" i="104" s="1"/>
  <c r="U199" i="104" a="1"/>
  <c r="U199" i="104" s="1"/>
  <c r="T199" i="104" a="1"/>
  <c r="T199" i="104" s="1"/>
  <c r="S199" i="104" a="1"/>
  <c r="S199" i="104" s="1"/>
  <c r="R199" i="104" a="1"/>
  <c r="R199" i="104" s="1"/>
  <c r="Q199" i="104" a="1"/>
  <c r="Q199" i="104" s="1"/>
  <c r="P199" i="104" a="1"/>
  <c r="P199" i="104" s="1"/>
  <c r="O199" i="104" a="1"/>
  <c r="O199" i="104" s="1"/>
  <c r="N199" i="104" a="1"/>
  <c r="N199" i="104" s="1"/>
  <c r="M199" i="104" a="1"/>
  <c r="M199" i="104" s="1"/>
  <c r="L199" i="104" a="1"/>
  <c r="L199" i="104" s="1"/>
  <c r="K199" i="104" a="1"/>
  <c r="K199" i="104" s="1"/>
  <c r="J199" i="104" a="1"/>
  <c r="J199" i="104" s="1"/>
  <c r="I199" i="104" a="1"/>
  <c r="I199" i="104" s="1"/>
  <c r="H199" i="104" a="1"/>
  <c r="H199" i="104" s="1"/>
  <c r="G199" i="104" a="1"/>
  <c r="G199" i="104" s="1"/>
  <c r="F199" i="104" a="1"/>
  <c r="F199" i="104" s="1"/>
  <c r="E199" i="104" a="1"/>
  <c r="E199" i="104" s="1"/>
  <c r="D199" i="104" a="1"/>
  <c r="D199" i="104" s="1"/>
  <c r="AH198" i="104" a="1"/>
  <c r="AH198" i="104" s="1"/>
  <c r="AG198" i="104" a="1"/>
  <c r="AG198" i="104" s="1"/>
  <c r="AF198" i="104" a="1"/>
  <c r="AF198" i="104" s="1"/>
  <c r="AE198" i="104" a="1"/>
  <c r="AE198" i="104" s="1"/>
  <c r="AD198" i="104" a="1"/>
  <c r="AD198" i="104" s="1"/>
  <c r="AC198" i="104" a="1"/>
  <c r="AC198" i="104" s="1"/>
  <c r="AB198" i="104" a="1"/>
  <c r="AB198" i="104" s="1"/>
  <c r="AA198" i="104" a="1"/>
  <c r="AA198" i="104" s="1"/>
  <c r="Z198" i="104" a="1"/>
  <c r="Z198" i="104" s="1"/>
  <c r="Y198" i="104" a="1"/>
  <c r="Y198" i="104" s="1"/>
  <c r="X198" i="104" a="1"/>
  <c r="X198" i="104" s="1"/>
  <c r="W198" i="104" a="1"/>
  <c r="W198" i="104" s="1"/>
  <c r="V198" i="104" a="1"/>
  <c r="V198" i="104" s="1"/>
  <c r="U198" i="104" a="1"/>
  <c r="U198" i="104" s="1"/>
  <c r="T198" i="104" a="1"/>
  <c r="T198" i="104" s="1"/>
  <c r="S198" i="104" a="1"/>
  <c r="S198" i="104" s="1"/>
  <c r="R198" i="104" a="1"/>
  <c r="R198" i="104" s="1"/>
  <c r="Q198" i="104" a="1"/>
  <c r="Q198" i="104" s="1"/>
  <c r="P198" i="104" a="1"/>
  <c r="P198" i="104" s="1"/>
  <c r="O198" i="104" a="1"/>
  <c r="O198" i="104" s="1"/>
  <c r="N198" i="104" a="1"/>
  <c r="N198" i="104" s="1"/>
  <c r="M198" i="104" a="1"/>
  <c r="M198" i="104" s="1"/>
  <c r="L198" i="104" a="1"/>
  <c r="L198" i="104" s="1"/>
  <c r="K198" i="104" a="1"/>
  <c r="K198" i="104" s="1"/>
  <c r="J198" i="104" a="1"/>
  <c r="J198" i="104" s="1"/>
  <c r="I198" i="104" a="1"/>
  <c r="I198" i="104" s="1"/>
  <c r="H198" i="104" a="1"/>
  <c r="H198" i="104" s="1"/>
  <c r="G198" i="104" a="1"/>
  <c r="G198" i="104" s="1"/>
  <c r="F198" i="104" a="1"/>
  <c r="F198" i="104" s="1"/>
  <c r="E198" i="104" a="1"/>
  <c r="E198" i="104" s="1"/>
  <c r="D198" i="104" a="1"/>
  <c r="D198" i="104" s="1"/>
  <c r="AH197" i="104" a="1"/>
  <c r="AH197" i="104" s="1"/>
  <c r="AG197" i="104" a="1"/>
  <c r="AG197" i="104" s="1"/>
  <c r="AF197" i="104" a="1"/>
  <c r="AF197" i="104" s="1"/>
  <c r="AE197" i="104" a="1"/>
  <c r="AE197" i="104" s="1"/>
  <c r="AD197" i="104" a="1"/>
  <c r="AD197" i="104" s="1"/>
  <c r="AC197" i="104" a="1"/>
  <c r="AC197" i="104" s="1"/>
  <c r="AB197" i="104" a="1"/>
  <c r="AB197" i="104" s="1"/>
  <c r="AA197" i="104" a="1"/>
  <c r="AA197" i="104" s="1"/>
  <c r="Z197" i="104" a="1"/>
  <c r="Z197" i="104" s="1"/>
  <c r="Y197" i="104" a="1"/>
  <c r="Y197" i="104" s="1"/>
  <c r="X197" i="104" a="1"/>
  <c r="X197" i="104" s="1"/>
  <c r="W197" i="104" a="1"/>
  <c r="W197" i="104" s="1"/>
  <c r="V197" i="104" a="1"/>
  <c r="V197" i="104" s="1"/>
  <c r="U197" i="104" a="1"/>
  <c r="U197" i="104" s="1"/>
  <c r="T197" i="104" a="1"/>
  <c r="T197" i="104" s="1"/>
  <c r="S197" i="104" a="1"/>
  <c r="S197" i="104" s="1"/>
  <c r="R197" i="104" a="1"/>
  <c r="R197" i="104" s="1"/>
  <c r="Q197" i="104" a="1"/>
  <c r="Q197" i="104" s="1"/>
  <c r="P197" i="104" a="1"/>
  <c r="P197" i="104" s="1"/>
  <c r="O197" i="104" a="1"/>
  <c r="O197" i="104" s="1"/>
  <c r="N197" i="104" a="1"/>
  <c r="N197" i="104" s="1"/>
  <c r="M197" i="104" a="1"/>
  <c r="M197" i="104" s="1"/>
  <c r="L197" i="104" a="1"/>
  <c r="L197" i="104" s="1"/>
  <c r="K197" i="104" a="1"/>
  <c r="K197" i="104" s="1"/>
  <c r="J197" i="104" a="1"/>
  <c r="J197" i="104" s="1"/>
  <c r="I197" i="104" a="1"/>
  <c r="I197" i="104" s="1"/>
  <c r="H197" i="104" a="1"/>
  <c r="H197" i="104" s="1"/>
  <c r="G197" i="104" a="1"/>
  <c r="G197" i="104" s="1"/>
  <c r="F197" i="104" a="1"/>
  <c r="F197" i="104" s="1"/>
  <c r="E197" i="104" a="1"/>
  <c r="E197" i="104" s="1"/>
  <c r="D197" i="104" a="1"/>
  <c r="D197" i="104" s="1"/>
  <c r="AH196" i="104" a="1"/>
  <c r="AH196" i="104" s="1"/>
  <c r="AG196" i="104" a="1"/>
  <c r="AG196" i="104" s="1"/>
  <c r="AF196" i="104" a="1"/>
  <c r="AF196" i="104" s="1"/>
  <c r="AE196" i="104" a="1"/>
  <c r="AE196" i="104" s="1"/>
  <c r="AD196" i="104" a="1"/>
  <c r="AD196" i="104" s="1"/>
  <c r="AC196" i="104" a="1"/>
  <c r="AC196" i="104" s="1"/>
  <c r="AB196" i="104" a="1"/>
  <c r="AB196" i="104" s="1"/>
  <c r="AA196" i="104" a="1"/>
  <c r="AA196" i="104" s="1"/>
  <c r="Z196" i="104" a="1"/>
  <c r="Z196" i="104" s="1"/>
  <c r="Y196" i="104" a="1"/>
  <c r="Y196" i="104" s="1"/>
  <c r="X196" i="104" a="1"/>
  <c r="X196" i="104" s="1"/>
  <c r="W196" i="104" a="1"/>
  <c r="W196" i="104" s="1"/>
  <c r="V196" i="104" a="1"/>
  <c r="V196" i="104" s="1"/>
  <c r="U196" i="104" a="1"/>
  <c r="U196" i="104" s="1"/>
  <c r="T196" i="104" a="1"/>
  <c r="T196" i="104" s="1"/>
  <c r="S196" i="104" a="1"/>
  <c r="S196" i="104" s="1"/>
  <c r="R196" i="104" a="1"/>
  <c r="R196" i="104" s="1"/>
  <c r="Q196" i="104" a="1"/>
  <c r="Q196" i="104" s="1"/>
  <c r="P196" i="104" a="1"/>
  <c r="P196" i="104" s="1"/>
  <c r="O196" i="104" a="1"/>
  <c r="O196" i="104" s="1"/>
  <c r="N196" i="104" a="1"/>
  <c r="N196" i="104" s="1"/>
  <c r="M196" i="104" a="1"/>
  <c r="M196" i="104" s="1"/>
  <c r="L196" i="104" a="1"/>
  <c r="L196" i="104" s="1"/>
  <c r="K196" i="104" a="1"/>
  <c r="K196" i="104" s="1"/>
  <c r="J196" i="104" a="1"/>
  <c r="J196" i="104" s="1"/>
  <c r="I196" i="104" a="1"/>
  <c r="I196" i="104" s="1"/>
  <c r="H196" i="104" a="1"/>
  <c r="H196" i="104" s="1"/>
  <c r="G196" i="104" a="1"/>
  <c r="G196" i="104" s="1"/>
  <c r="F196" i="104" a="1"/>
  <c r="F196" i="104" s="1"/>
  <c r="E196" i="104" a="1"/>
  <c r="E196" i="104" s="1"/>
  <c r="D196" i="104" a="1"/>
  <c r="D196" i="104" s="1"/>
  <c r="AH195" i="104" a="1"/>
  <c r="AH195" i="104" s="1"/>
  <c r="AG195" i="104" a="1"/>
  <c r="AG195" i="104" s="1"/>
  <c r="AF195" i="104" a="1"/>
  <c r="AF195" i="104" s="1"/>
  <c r="AE195" i="104" a="1"/>
  <c r="AE195" i="104" s="1"/>
  <c r="AD195" i="104" a="1"/>
  <c r="AD195" i="104" s="1"/>
  <c r="AC195" i="104" a="1"/>
  <c r="AC195" i="104" s="1"/>
  <c r="AB195" i="104" a="1"/>
  <c r="AB195" i="104" s="1"/>
  <c r="AA195" i="104" a="1"/>
  <c r="AA195" i="104" s="1"/>
  <c r="Z195" i="104" a="1"/>
  <c r="Z195" i="104" s="1"/>
  <c r="Y195" i="104" a="1"/>
  <c r="Y195" i="104" s="1"/>
  <c r="X195" i="104" a="1"/>
  <c r="X195" i="104" s="1"/>
  <c r="W195" i="104" a="1"/>
  <c r="W195" i="104" s="1"/>
  <c r="V195" i="104" a="1"/>
  <c r="V195" i="104" s="1"/>
  <c r="U195" i="104" a="1"/>
  <c r="U195" i="104" s="1"/>
  <c r="T195" i="104" a="1"/>
  <c r="T195" i="104" s="1"/>
  <c r="S195" i="104" a="1"/>
  <c r="S195" i="104" s="1"/>
  <c r="R195" i="104" a="1"/>
  <c r="R195" i="104" s="1"/>
  <c r="Q195" i="104" a="1"/>
  <c r="Q195" i="104" s="1"/>
  <c r="P195" i="104" a="1"/>
  <c r="P195" i="104" s="1"/>
  <c r="O195" i="104" a="1"/>
  <c r="O195" i="104" s="1"/>
  <c r="N195" i="104" a="1"/>
  <c r="N195" i="104" s="1"/>
  <c r="M195" i="104" a="1"/>
  <c r="M195" i="104" s="1"/>
  <c r="L195" i="104" a="1"/>
  <c r="L195" i="104" s="1"/>
  <c r="K195" i="104" a="1"/>
  <c r="K195" i="104" s="1"/>
  <c r="J195" i="104" a="1"/>
  <c r="J195" i="104" s="1"/>
  <c r="I195" i="104" a="1"/>
  <c r="I195" i="104" s="1"/>
  <c r="H195" i="104" a="1"/>
  <c r="H195" i="104" s="1"/>
  <c r="G195" i="104" a="1"/>
  <c r="G195" i="104" s="1"/>
  <c r="F195" i="104" a="1"/>
  <c r="F195" i="104" s="1"/>
  <c r="E195" i="104" a="1"/>
  <c r="E195" i="104" s="1"/>
  <c r="D195" i="104" a="1"/>
  <c r="D195" i="104" s="1"/>
  <c r="AH194" i="104" a="1"/>
  <c r="AH194" i="104" s="1"/>
  <c r="AG194" i="104" a="1"/>
  <c r="AG194" i="104" s="1"/>
  <c r="AF194" i="104" a="1"/>
  <c r="AF194" i="104" s="1"/>
  <c r="AE194" i="104" a="1"/>
  <c r="AE194" i="104" s="1"/>
  <c r="AD194" i="104" a="1"/>
  <c r="AD194" i="104" s="1"/>
  <c r="AC194" i="104" a="1"/>
  <c r="AC194" i="104" s="1"/>
  <c r="AB194" i="104" a="1"/>
  <c r="AB194" i="104" s="1"/>
  <c r="AA194" i="104" a="1"/>
  <c r="AA194" i="104" s="1"/>
  <c r="Z194" i="104" a="1"/>
  <c r="Z194" i="104" s="1"/>
  <c r="Y194" i="104" a="1"/>
  <c r="Y194" i="104" s="1"/>
  <c r="X194" i="104" a="1"/>
  <c r="X194" i="104" s="1"/>
  <c r="W194" i="104" a="1"/>
  <c r="W194" i="104" s="1"/>
  <c r="V194" i="104" a="1"/>
  <c r="V194" i="104" s="1"/>
  <c r="U194" i="104" a="1"/>
  <c r="U194" i="104" s="1"/>
  <c r="T194" i="104" a="1"/>
  <c r="T194" i="104" s="1"/>
  <c r="S194" i="104" a="1"/>
  <c r="S194" i="104" s="1"/>
  <c r="R194" i="104" a="1"/>
  <c r="R194" i="104" s="1"/>
  <c r="Q194" i="104" a="1"/>
  <c r="Q194" i="104" s="1"/>
  <c r="P194" i="104" a="1"/>
  <c r="P194" i="104" s="1"/>
  <c r="O194" i="104" a="1"/>
  <c r="O194" i="104" s="1"/>
  <c r="N194" i="104" a="1"/>
  <c r="N194" i="104" s="1"/>
  <c r="M194" i="104" a="1"/>
  <c r="M194" i="104" s="1"/>
  <c r="L194" i="104" a="1"/>
  <c r="L194" i="104" s="1"/>
  <c r="K194" i="104" a="1"/>
  <c r="K194" i="104" s="1"/>
  <c r="J194" i="104" a="1"/>
  <c r="J194" i="104" s="1"/>
  <c r="I194" i="104" a="1"/>
  <c r="I194" i="104" s="1"/>
  <c r="H194" i="104" a="1"/>
  <c r="H194" i="104" s="1"/>
  <c r="G194" i="104" a="1"/>
  <c r="G194" i="104" s="1"/>
  <c r="F194" i="104" a="1"/>
  <c r="F194" i="104" s="1"/>
  <c r="E194" i="104" a="1"/>
  <c r="E194" i="104" s="1"/>
  <c r="D194" i="104" a="1"/>
  <c r="D194" i="104" s="1"/>
  <c r="AH193" i="104" a="1"/>
  <c r="AH193" i="104" s="1"/>
  <c r="AG193" i="104" a="1"/>
  <c r="AG193" i="104" s="1"/>
  <c r="AF193" i="104" a="1"/>
  <c r="AF193" i="104" s="1"/>
  <c r="AE193" i="104" a="1"/>
  <c r="AE193" i="104" s="1"/>
  <c r="AD193" i="104" a="1"/>
  <c r="AD193" i="104" s="1"/>
  <c r="AC193" i="104" a="1"/>
  <c r="AC193" i="104" s="1"/>
  <c r="AB193" i="104" a="1"/>
  <c r="AB193" i="104" s="1"/>
  <c r="AA193" i="104" a="1"/>
  <c r="AA193" i="104" s="1"/>
  <c r="Z193" i="104" a="1"/>
  <c r="Z193" i="104" s="1"/>
  <c r="Y193" i="104" a="1"/>
  <c r="Y193" i="104" s="1"/>
  <c r="X193" i="104" a="1"/>
  <c r="X193" i="104" s="1"/>
  <c r="W193" i="104" a="1"/>
  <c r="W193" i="104" s="1"/>
  <c r="V193" i="104" a="1"/>
  <c r="V193" i="104" s="1"/>
  <c r="U193" i="104" a="1"/>
  <c r="U193" i="104" s="1"/>
  <c r="T193" i="104" a="1"/>
  <c r="T193" i="104" s="1"/>
  <c r="S193" i="104" a="1"/>
  <c r="S193" i="104" s="1"/>
  <c r="R193" i="104" a="1"/>
  <c r="R193" i="104" s="1"/>
  <c r="Q193" i="104" a="1"/>
  <c r="Q193" i="104" s="1"/>
  <c r="P193" i="104" a="1"/>
  <c r="P193" i="104" s="1"/>
  <c r="O193" i="104" a="1"/>
  <c r="O193" i="104" s="1"/>
  <c r="N193" i="104" a="1"/>
  <c r="N193" i="104" s="1"/>
  <c r="M193" i="104" a="1"/>
  <c r="M193" i="104" s="1"/>
  <c r="L193" i="104" a="1"/>
  <c r="L193" i="104" s="1"/>
  <c r="K193" i="104" a="1"/>
  <c r="K193" i="104" s="1"/>
  <c r="J193" i="104" a="1"/>
  <c r="J193" i="104" s="1"/>
  <c r="I193" i="104" a="1"/>
  <c r="I193" i="104" s="1"/>
  <c r="H193" i="104" a="1"/>
  <c r="H193" i="104" s="1"/>
  <c r="G193" i="104" a="1"/>
  <c r="G193" i="104" s="1"/>
  <c r="F193" i="104" a="1"/>
  <c r="F193" i="104" s="1"/>
  <c r="E193" i="104" a="1"/>
  <c r="E193" i="104" s="1"/>
  <c r="D193" i="104" a="1"/>
  <c r="D193" i="104" s="1"/>
  <c r="AH192" i="104" a="1"/>
  <c r="AH192" i="104" s="1"/>
  <c r="AG192" i="104" a="1"/>
  <c r="AG192" i="104" s="1"/>
  <c r="AF192" i="104" a="1"/>
  <c r="AF192" i="104" s="1"/>
  <c r="AE192" i="104" a="1"/>
  <c r="AE192" i="104" s="1"/>
  <c r="AD192" i="104" a="1"/>
  <c r="AD192" i="104" s="1"/>
  <c r="AC192" i="104" a="1"/>
  <c r="AC192" i="104" s="1"/>
  <c r="AB192" i="104" a="1"/>
  <c r="AB192" i="104" s="1"/>
  <c r="AA192" i="104" a="1"/>
  <c r="AA192" i="104" s="1"/>
  <c r="Z192" i="104" a="1"/>
  <c r="Z192" i="104" s="1"/>
  <c r="Y192" i="104" a="1"/>
  <c r="Y192" i="104" s="1"/>
  <c r="X192" i="104" a="1"/>
  <c r="X192" i="104" s="1"/>
  <c r="W192" i="104" a="1"/>
  <c r="W192" i="104" s="1"/>
  <c r="V192" i="104" a="1"/>
  <c r="V192" i="104" s="1"/>
  <c r="U192" i="104" a="1"/>
  <c r="U192" i="104" s="1"/>
  <c r="T192" i="104" a="1"/>
  <c r="T192" i="104" s="1"/>
  <c r="S192" i="104" a="1"/>
  <c r="S192" i="104" s="1"/>
  <c r="R192" i="104" a="1"/>
  <c r="R192" i="104" s="1"/>
  <c r="Q192" i="104" a="1"/>
  <c r="Q192" i="104" s="1"/>
  <c r="P192" i="104" a="1"/>
  <c r="P192" i="104" s="1"/>
  <c r="O192" i="104" a="1"/>
  <c r="O192" i="104" s="1"/>
  <c r="N192" i="104" a="1"/>
  <c r="N192" i="104" s="1"/>
  <c r="M192" i="104" a="1"/>
  <c r="M192" i="104" s="1"/>
  <c r="L192" i="104" a="1"/>
  <c r="L192" i="104" s="1"/>
  <c r="K192" i="104" a="1"/>
  <c r="K192" i="104" s="1"/>
  <c r="J192" i="104" a="1"/>
  <c r="J192" i="104" s="1"/>
  <c r="I192" i="104" a="1"/>
  <c r="I192" i="104" s="1"/>
  <c r="H192" i="104" a="1"/>
  <c r="H192" i="104" s="1"/>
  <c r="G192" i="104" a="1"/>
  <c r="G192" i="104" s="1"/>
  <c r="F192" i="104" a="1"/>
  <c r="F192" i="104" s="1"/>
  <c r="E192" i="104" a="1"/>
  <c r="E192" i="104" s="1"/>
  <c r="D192" i="104" a="1"/>
  <c r="D192" i="104" s="1"/>
  <c r="AH191" i="104" a="1"/>
  <c r="AH191" i="104" s="1"/>
  <c r="AG191" i="104" a="1"/>
  <c r="AG191" i="104" s="1"/>
  <c r="AF191" i="104" a="1"/>
  <c r="AF191" i="104" s="1"/>
  <c r="AE191" i="104" a="1"/>
  <c r="AE191" i="104" s="1"/>
  <c r="AD191" i="104" a="1"/>
  <c r="AD191" i="104" s="1"/>
  <c r="AC191" i="104" a="1"/>
  <c r="AC191" i="104" s="1"/>
  <c r="AB191" i="104" a="1"/>
  <c r="AB191" i="104" s="1"/>
  <c r="AA191" i="104" a="1"/>
  <c r="AA191" i="104" s="1"/>
  <c r="Z191" i="104" a="1"/>
  <c r="Z191" i="104" s="1"/>
  <c r="Y191" i="104" a="1"/>
  <c r="Y191" i="104" s="1"/>
  <c r="X191" i="104" a="1"/>
  <c r="X191" i="104" s="1"/>
  <c r="W191" i="104" a="1"/>
  <c r="W191" i="104" s="1"/>
  <c r="V191" i="104" a="1"/>
  <c r="V191" i="104" s="1"/>
  <c r="U191" i="104" a="1"/>
  <c r="U191" i="104" s="1"/>
  <c r="T191" i="104" a="1"/>
  <c r="T191" i="104" s="1"/>
  <c r="S191" i="104" a="1"/>
  <c r="S191" i="104" s="1"/>
  <c r="R191" i="104" a="1"/>
  <c r="R191" i="104" s="1"/>
  <c r="Q191" i="104" a="1"/>
  <c r="Q191" i="104" s="1"/>
  <c r="P191" i="104" a="1"/>
  <c r="P191" i="104" s="1"/>
  <c r="O191" i="104" a="1"/>
  <c r="O191" i="104" s="1"/>
  <c r="N191" i="104" a="1"/>
  <c r="N191" i="104" s="1"/>
  <c r="M191" i="104" a="1"/>
  <c r="M191" i="104" s="1"/>
  <c r="L191" i="104" a="1"/>
  <c r="L191" i="104" s="1"/>
  <c r="K191" i="104" a="1"/>
  <c r="K191" i="104" s="1"/>
  <c r="J191" i="104" a="1"/>
  <c r="J191" i="104" s="1"/>
  <c r="I191" i="104" a="1"/>
  <c r="I191" i="104" s="1"/>
  <c r="H191" i="104" a="1"/>
  <c r="H191" i="104" s="1"/>
  <c r="G191" i="104" a="1"/>
  <c r="G191" i="104" s="1"/>
  <c r="F191" i="104" a="1"/>
  <c r="F191" i="104" s="1"/>
  <c r="E191" i="104" a="1"/>
  <c r="E191" i="104" s="1"/>
  <c r="D191" i="104" a="1"/>
  <c r="D191" i="104" s="1"/>
  <c r="AH190" i="104" a="1"/>
  <c r="AH190" i="104" s="1"/>
  <c r="AG190" i="104" a="1"/>
  <c r="AG190" i="104" s="1"/>
  <c r="AF190" i="104" a="1"/>
  <c r="AF190" i="104" s="1"/>
  <c r="AE190" i="104" a="1"/>
  <c r="AE190" i="104" s="1"/>
  <c r="AD190" i="104" a="1"/>
  <c r="AD190" i="104" s="1"/>
  <c r="AC190" i="104" a="1"/>
  <c r="AC190" i="104" s="1"/>
  <c r="AB190" i="104" a="1"/>
  <c r="AB190" i="104" s="1"/>
  <c r="AA190" i="104" a="1"/>
  <c r="AA190" i="104" s="1"/>
  <c r="Z190" i="104" a="1"/>
  <c r="Z190" i="104" s="1"/>
  <c r="Y190" i="104" a="1"/>
  <c r="Y190" i="104" s="1"/>
  <c r="X190" i="104" a="1"/>
  <c r="X190" i="104" s="1"/>
  <c r="W190" i="104" a="1"/>
  <c r="W190" i="104" s="1"/>
  <c r="V190" i="104" a="1"/>
  <c r="V190" i="104" s="1"/>
  <c r="U190" i="104" a="1"/>
  <c r="U190" i="104" s="1"/>
  <c r="T190" i="104" a="1"/>
  <c r="T190" i="104" s="1"/>
  <c r="S190" i="104" a="1"/>
  <c r="S190" i="104" s="1"/>
  <c r="R190" i="104" a="1"/>
  <c r="R190" i="104" s="1"/>
  <c r="Q190" i="104" a="1"/>
  <c r="Q190" i="104" s="1"/>
  <c r="P190" i="104" a="1"/>
  <c r="P190" i="104" s="1"/>
  <c r="O190" i="104" a="1"/>
  <c r="O190" i="104" s="1"/>
  <c r="N190" i="104" a="1"/>
  <c r="N190" i="104" s="1"/>
  <c r="M190" i="104" a="1"/>
  <c r="M190" i="104" s="1"/>
  <c r="L190" i="104" a="1"/>
  <c r="L190" i="104" s="1"/>
  <c r="K190" i="104" a="1"/>
  <c r="K190" i="104" s="1"/>
  <c r="J190" i="104" a="1"/>
  <c r="J190" i="104" s="1"/>
  <c r="I190" i="104" a="1"/>
  <c r="I190" i="104" s="1"/>
  <c r="H190" i="104" a="1"/>
  <c r="H190" i="104" s="1"/>
  <c r="G190" i="104" a="1"/>
  <c r="G190" i="104" s="1"/>
  <c r="F190" i="104" a="1"/>
  <c r="F190" i="104" s="1"/>
  <c r="E190" i="104" a="1"/>
  <c r="E190" i="104" s="1"/>
  <c r="D190" i="104" a="1"/>
  <c r="D190" i="104" s="1"/>
  <c r="AH189" i="104" a="1"/>
  <c r="AH189" i="104" s="1"/>
  <c r="AG189" i="104" a="1"/>
  <c r="AG189" i="104" s="1"/>
  <c r="AF189" i="104" a="1"/>
  <c r="AF189" i="104" s="1"/>
  <c r="AE189" i="104" a="1"/>
  <c r="AE189" i="104" s="1"/>
  <c r="AD189" i="104" a="1"/>
  <c r="AD189" i="104" s="1"/>
  <c r="AC189" i="104" a="1"/>
  <c r="AC189" i="104" s="1"/>
  <c r="AB189" i="104" a="1"/>
  <c r="AB189" i="104" s="1"/>
  <c r="AA189" i="104" a="1"/>
  <c r="AA189" i="104" s="1"/>
  <c r="Z189" i="104" a="1"/>
  <c r="Z189" i="104" s="1"/>
  <c r="Y189" i="104" a="1"/>
  <c r="Y189" i="104" s="1"/>
  <c r="X189" i="104" a="1"/>
  <c r="X189" i="104" s="1"/>
  <c r="W189" i="104" a="1"/>
  <c r="W189" i="104" s="1"/>
  <c r="V189" i="104" a="1"/>
  <c r="V189" i="104" s="1"/>
  <c r="U189" i="104" a="1"/>
  <c r="U189" i="104" s="1"/>
  <c r="T189" i="104" a="1"/>
  <c r="T189" i="104" s="1"/>
  <c r="S189" i="104" a="1"/>
  <c r="S189" i="104" s="1"/>
  <c r="R189" i="104" a="1"/>
  <c r="R189" i="104" s="1"/>
  <c r="Q189" i="104" a="1"/>
  <c r="Q189" i="104" s="1"/>
  <c r="P189" i="104" a="1"/>
  <c r="P189" i="104" s="1"/>
  <c r="O189" i="104" a="1"/>
  <c r="O189" i="104" s="1"/>
  <c r="N189" i="104" a="1"/>
  <c r="N189" i="104" s="1"/>
  <c r="M189" i="104" a="1"/>
  <c r="M189" i="104" s="1"/>
  <c r="L189" i="104" a="1"/>
  <c r="L189" i="104" s="1"/>
  <c r="K189" i="104" a="1"/>
  <c r="K189" i="104" s="1"/>
  <c r="J189" i="104" a="1"/>
  <c r="J189" i="104" s="1"/>
  <c r="I189" i="104" a="1"/>
  <c r="I189" i="104" s="1"/>
  <c r="H189" i="104" a="1"/>
  <c r="H189" i="104" s="1"/>
  <c r="G189" i="104" a="1"/>
  <c r="G189" i="104" s="1"/>
  <c r="F189" i="104" a="1"/>
  <c r="F189" i="104" s="1"/>
  <c r="E189" i="104" a="1"/>
  <c r="E189" i="104" s="1"/>
  <c r="D189" i="104" a="1"/>
  <c r="D189" i="104" s="1"/>
  <c r="AH188" i="104" a="1"/>
  <c r="AH188" i="104" s="1"/>
  <c r="AG188" i="104" a="1"/>
  <c r="AG188" i="104" s="1"/>
  <c r="AF188" i="104" a="1"/>
  <c r="AF188" i="104" s="1"/>
  <c r="AE188" i="104" a="1"/>
  <c r="AE188" i="104" s="1"/>
  <c r="AD188" i="104" a="1"/>
  <c r="AD188" i="104" s="1"/>
  <c r="AC188" i="104" a="1"/>
  <c r="AC188" i="104" s="1"/>
  <c r="AB188" i="104" a="1"/>
  <c r="AB188" i="104" s="1"/>
  <c r="AA188" i="104" a="1"/>
  <c r="AA188" i="104" s="1"/>
  <c r="Z188" i="104" a="1"/>
  <c r="Z188" i="104" s="1"/>
  <c r="Y188" i="104" a="1"/>
  <c r="Y188" i="104" s="1"/>
  <c r="X188" i="104" a="1"/>
  <c r="X188" i="104" s="1"/>
  <c r="W188" i="104" a="1"/>
  <c r="W188" i="104" s="1"/>
  <c r="V188" i="104" a="1"/>
  <c r="V188" i="104" s="1"/>
  <c r="U188" i="104" a="1"/>
  <c r="U188" i="104" s="1"/>
  <c r="T188" i="104" a="1"/>
  <c r="T188" i="104" s="1"/>
  <c r="S188" i="104" a="1"/>
  <c r="S188" i="104" s="1"/>
  <c r="R188" i="104" a="1"/>
  <c r="R188" i="104" s="1"/>
  <c r="Q188" i="104" a="1"/>
  <c r="Q188" i="104" s="1"/>
  <c r="P188" i="104" a="1"/>
  <c r="P188" i="104" s="1"/>
  <c r="O188" i="104" a="1"/>
  <c r="O188" i="104" s="1"/>
  <c r="N188" i="104" a="1"/>
  <c r="N188" i="104" s="1"/>
  <c r="M188" i="104" a="1"/>
  <c r="M188" i="104" s="1"/>
  <c r="L188" i="104" a="1"/>
  <c r="L188" i="104" s="1"/>
  <c r="K188" i="104" a="1"/>
  <c r="K188" i="104" s="1"/>
  <c r="J188" i="104" a="1"/>
  <c r="J188" i="104" s="1"/>
  <c r="I188" i="104" a="1"/>
  <c r="I188" i="104" s="1"/>
  <c r="H188" i="104" a="1"/>
  <c r="H188" i="104" s="1"/>
  <c r="G188" i="104" a="1"/>
  <c r="G188" i="104" s="1"/>
  <c r="F188" i="104" a="1"/>
  <c r="F188" i="104" s="1"/>
  <c r="E188" i="104" a="1"/>
  <c r="E188" i="104" s="1"/>
  <c r="D188" i="104" a="1"/>
  <c r="D188" i="104" s="1"/>
  <c r="AH187" i="104" a="1"/>
  <c r="AH187" i="104" s="1"/>
  <c r="AG187" i="104" a="1"/>
  <c r="AG187" i="104" s="1"/>
  <c r="AF187" i="104" a="1"/>
  <c r="AF187" i="104" s="1"/>
  <c r="AE187" i="104" a="1"/>
  <c r="AE187" i="104" s="1"/>
  <c r="AD187" i="104" a="1"/>
  <c r="AD187" i="104" s="1"/>
  <c r="AC187" i="104" a="1"/>
  <c r="AC187" i="104" s="1"/>
  <c r="AB187" i="104" a="1"/>
  <c r="AB187" i="104" s="1"/>
  <c r="AA187" i="104" a="1"/>
  <c r="AA187" i="104" s="1"/>
  <c r="Z187" i="104" a="1"/>
  <c r="Z187" i="104" s="1"/>
  <c r="Y187" i="104" a="1"/>
  <c r="Y187" i="104" s="1"/>
  <c r="X187" i="104" a="1"/>
  <c r="X187" i="104" s="1"/>
  <c r="W187" i="104" a="1"/>
  <c r="W187" i="104" s="1"/>
  <c r="V187" i="104" a="1"/>
  <c r="V187" i="104" s="1"/>
  <c r="U187" i="104" a="1"/>
  <c r="U187" i="104" s="1"/>
  <c r="T187" i="104" a="1"/>
  <c r="T187" i="104" s="1"/>
  <c r="S187" i="104" a="1"/>
  <c r="S187" i="104" s="1"/>
  <c r="R187" i="104" a="1"/>
  <c r="R187" i="104" s="1"/>
  <c r="Q187" i="104" a="1"/>
  <c r="Q187" i="104" s="1"/>
  <c r="P187" i="104" a="1"/>
  <c r="P187" i="104" s="1"/>
  <c r="O187" i="104" a="1"/>
  <c r="O187" i="104" s="1"/>
  <c r="N187" i="104" a="1"/>
  <c r="N187" i="104" s="1"/>
  <c r="M187" i="104" a="1"/>
  <c r="M187" i="104" s="1"/>
  <c r="L187" i="104" a="1"/>
  <c r="L187" i="104" s="1"/>
  <c r="K187" i="104" a="1"/>
  <c r="K187" i="104" s="1"/>
  <c r="J187" i="104" a="1"/>
  <c r="J187" i="104" s="1"/>
  <c r="I187" i="104" a="1"/>
  <c r="I187" i="104" s="1"/>
  <c r="H187" i="104" a="1"/>
  <c r="H187" i="104" s="1"/>
  <c r="G187" i="104" a="1"/>
  <c r="G187" i="104" s="1"/>
  <c r="F187" i="104" a="1"/>
  <c r="F187" i="104" s="1"/>
  <c r="E187" i="104" a="1"/>
  <c r="E187" i="104" s="1"/>
  <c r="D187" i="104" a="1"/>
  <c r="D187" i="104" s="1"/>
  <c r="AH186" i="104" a="1"/>
  <c r="AH186" i="104" s="1"/>
  <c r="AG186" i="104" a="1"/>
  <c r="AG186" i="104" s="1"/>
  <c r="AF186" i="104" a="1"/>
  <c r="AF186" i="104" s="1"/>
  <c r="AE186" i="104" a="1"/>
  <c r="AE186" i="104" s="1"/>
  <c r="AD186" i="104" a="1"/>
  <c r="AD186" i="104" s="1"/>
  <c r="AC186" i="104" a="1"/>
  <c r="AC186" i="104" s="1"/>
  <c r="AB186" i="104" a="1"/>
  <c r="AB186" i="104" s="1"/>
  <c r="AA186" i="104" a="1"/>
  <c r="AA186" i="104" s="1"/>
  <c r="Z186" i="104" a="1"/>
  <c r="Z186" i="104" s="1"/>
  <c r="Y186" i="104" a="1"/>
  <c r="Y186" i="104" s="1"/>
  <c r="X186" i="104" a="1"/>
  <c r="X186" i="104" s="1"/>
  <c r="W186" i="104" a="1"/>
  <c r="W186" i="104" s="1"/>
  <c r="V186" i="104" a="1"/>
  <c r="V186" i="104" s="1"/>
  <c r="U186" i="104" a="1"/>
  <c r="U186" i="104" s="1"/>
  <c r="T186" i="104" a="1"/>
  <c r="T186" i="104" s="1"/>
  <c r="S186" i="104" a="1"/>
  <c r="S186" i="104" s="1"/>
  <c r="R186" i="104" a="1"/>
  <c r="R186" i="104" s="1"/>
  <c r="Q186" i="104" a="1"/>
  <c r="Q186" i="104" s="1"/>
  <c r="P186" i="104" a="1"/>
  <c r="P186" i="104" s="1"/>
  <c r="O186" i="104" a="1"/>
  <c r="O186" i="104" s="1"/>
  <c r="N186" i="104" a="1"/>
  <c r="N186" i="104" s="1"/>
  <c r="M186" i="104" a="1"/>
  <c r="M186" i="104" s="1"/>
  <c r="L186" i="104" a="1"/>
  <c r="L186" i="104" s="1"/>
  <c r="K186" i="104" a="1"/>
  <c r="K186" i="104" s="1"/>
  <c r="J186" i="104" a="1"/>
  <c r="J186" i="104" s="1"/>
  <c r="I186" i="104" a="1"/>
  <c r="I186" i="104" s="1"/>
  <c r="H186" i="104" a="1"/>
  <c r="H186" i="104" s="1"/>
  <c r="G186" i="104" a="1"/>
  <c r="G186" i="104" s="1"/>
  <c r="F186" i="104" a="1"/>
  <c r="F186" i="104" s="1"/>
  <c r="E186" i="104" a="1"/>
  <c r="E186" i="104" s="1"/>
  <c r="D186" i="104" a="1"/>
  <c r="D186" i="104" s="1"/>
  <c r="AH185" i="104" a="1"/>
  <c r="AH185" i="104" s="1"/>
  <c r="AG185" i="104" a="1"/>
  <c r="AG185" i="104" s="1"/>
  <c r="AF185" i="104" a="1"/>
  <c r="AF185" i="104" s="1"/>
  <c r="AE185" i="104" a="1"/>
  <c r="AE185" i="104" s="1"/>
  <c r="AD185" i="104" a="1"/>
  <c r="AD185" i="104" s="1"/>
  <c r="AC185" i="104" a="1"/>
  <c r="AC185" i="104" s="1"/>
  <c r="AB185" i="104" a="1"/>
  <c r="AB185" i="104" s="1"/>
  <c r="AA185" i="104" a="1"/>
  <c r="AA185" i="104" s="1"/>
  <c r="Z185" i="104" a="1"/>
  <c r="Z185" i="104" s="1"/>
  <c r="Y185" i="104" a="1"/>
  <c r="Y185" i="104" s="1"/>
  <c r="X185" i="104" a="1"/>
  <c r="X185" i="104" s="1"/>
  <c r="W185" i="104" a="1"/>
  <c r="W185" i="104" s="1"/>
  <c r="V185" i="104" a="1"/>
  <c r="V185" i="104" s="1"/>
  <c r="U185" i="104" a="1"/>
  <c r="U185" i="104" s="1"/>
  <c r="T185" i="104" a="1"/>
  <c r="T185" i="104" s="1"/>
  <c r="S185" i="104" a="1"/>
  <c r="S185" i="104" s="1"/>
  <c r="R185" i="104" a="1"/>
  <c r="R185" i="104" s="1"/>
  <c r="Q185" i="104" a="1"/>
  <c r="Q185" i="104" s="1"/>
  <c r="P185" i="104" a="1"/>
  <c r="P185" i="104" s="1"/>
  <c r="O185" i="104" a="1"/>
  <c r="O185" i="104" s="1"/>
  <c r="N185" i="104" a="1"/>
  <c r="N185" i="104" s="1"/>
  <c r="M185" i="104" a="1"/>
  <c r="M185" i="104" s="1"/>
  <c r="L185" i="104" a="1"/>
  <c r="L185" i="104" s="1"/>
  <c r="K185" i="104" a="1"/>
  <c r="K185" i="104" s="1"/>
  <c r="J185" i="104" a="1"/>
  <c r="J185" i="104" s="1"/>
  <c r="I185" i="104" a="1"/>
  <c r="I185" i="104" s="1"/>
  <c r="H185" i="104" a="1"/>
  <c r="H185" i="104" s="1"/>
  <c r="G185" i="104" a="1"/>
  <c r="G185" i="104" s="1"/>
  <c r="F185" i="104" a="1"/>
  <c r="F185" i="104" s="1"/>
  <c r="E185" i="104" a="1"/>
  <c r="E185" i="104" s="1"/>
  <c r="D185" i="104" a="1"/>
  <c r="D185" i="104" s="1"/>
  <c r="AH184" i="104" a="1"/>
  <c r="AH184" i="104" s="1"/>
  <c r="AG184" i="104" a="1"/>
  <c r="AG184" i="104" s="1"/>
  <c r="AF184" i="104" a="1"/>
  <c r="AF184" i="104" s="1"/>
  <c r="AE184" i="104" a="1"/>
  <c r="AE184" i="104" s="1"/>
  <c r="AD184" i="104" a="1"/>
  <c r="AD184" i="104" s="1"/>
  <c r="AC184" i="104" a="1"/>
  <c r="AC184" i="104" s="1"/>
  <c r="AB184" i="104" a="1"/>
  <c r="AB184" i="104" s="1"/>
  <c r="AA184" i="104" a="1"/>
  <c r="AA184" i="104" s="1"/>
  <c r="Z184" i="104" a="1"/>
  <c r="Z184" i="104" s="1"/>
  <c r="Y184" i="104" a="1"/>
  <c r="Y184" i="104" s="1"/>
  <c r="X184" i="104" a="1"/>
  <c r="X184" i="104" s="1"/>
  <c r="W184" i="104" a="1"/>
  <c r="W184" i="104" s="1"/>
  <c r="V184" i="104" a="1"/>
  <c r="V184" i="104" s="1"/>
  <c r="U184" i="104" a="1"/>
  <c r="U184" i="104" s="1"/>
  <c r="T184" i="104" a="1"/>
  <c r="T184" i="104" s="1"/>
  <c r="S184" i="104" a="1"/>
  <c r="S184" i="104" s="1"/>
  <c r="R184" i="104" a="1"/>
  <c r="R184" i="104" s="1"/>
  <c r="Q184" i="104" a="1"/>
  <c r="Q184" i="104" s="1"/>
  <c r="P184" i="104" a="1"/>
  <c r="P184" i="104" s="1"/>
  <c r="O184" i="104" a="1"/>
  <c r="O184" i="104" s="1"/>
  <c r="N184" i="104" a="1"/>
  <c r="N184" i="104" s="1"/>
  <c r="M184" i="104" a="1"/>
  <c r="M184" i="104" s="1"/>
  <c r="L184" i="104" a="1"/>
  <c r="L184" i="104" s="1"/>
  <c r="K184" i="104" a="1"/>
  <c r="K184" i="104" s="1"/>
  <c r="J184" i="104" a="1"/>
  <c r="J184" i="104" s="1"/>
  <c r="I184" i="104" a="1"/>
  <c r="I184" i="104" s="1"/>
  <c r="H184" i="104" a="1"/>
  <c r="H184" i="104" s="1"/>
  <c r="G184" i="104" a="1"/>
  <c r="G184" i="104" s="1"/>
  <c r="F184" i="104" a="1"/>
  <c r="F184" i="104" s="1"/>
  <c r="E184" i="104" a="1"/>
  <c r="E184" i="104" s="1"/>
  <c r="D184" i="104" a="1"/>
  <c r="D184" i="104" s="1"/>
  <c r="AH183" i="104" a="1"/>
  <c r="AH183" i="104" s="1"/>
  <c r="AG183" i="104" a="1"/>
  <c r="AG183" i="104" s="1"/>
  <c r="AF183" i="104" a="1"/>
  <c r="AF183" i="104" s="1"/>
  <c r="AE183" i="104" a="1"/>
  <c r="AE183" i="104" s="1"/>
  <c r="AD183" i="104" a="1"/>
  <c r="AD183" i="104" s="1"/>
  <c r="AC183" i="104" a="1"/>
  <c r="AC183" i="104" s="1"/>
  <c r="AB183" i="104" a="1"/>
  <c r="AB183" i="104" s="1"/>
  <c r="AA183" i="104" a="1"/>
  <c r="AA183" i="104" s="1"/>
  <c r="Z183" i="104" a="1"/>
  <c r="Z183" i="104" s="1"/>
  <c r="Y183" i="104" a="1"/>
  <c r="Y183" i="104" s="1"/>
  <c r="X183" i="104" a="1"/>
  <c r="X183" i="104" s="1"/>
  <c r="W183" i="104" a="1"/>
  <c r="W183" i="104" s="1"/>
  <c r="V183" i="104" a="1"/>
  <c r="V183" i="104" s="1"/>
  <c r="U183" i="104" a="1"/>
  <c r="U183" i="104" s="1"/>
  <c r="T183" i="104" a="1"/>
  <c r="T183" i="104" s="1"/>
  <c r="S183" i="104" a="1"/>
  <c r="S183" i="104" s="1"/>
  <c r="R183" i="104" a="1"/>
  <c r="R183" i="104" s="1"/>
  <c r="Q183" i="104" a="1"/>
  <c r="Q183" i="104" s="1"/>
  <c r="P183" i="104" a="1"/>
  <c r="P183" i="104" s="1"/>
  <c r="O183" i="104" a="1"/>
  <c r="O183" i="104" s="1"/>
  <c r="N183" i="104" a="1"/>
  <c r="N183" i="104" s="1"/>
  <c r="M183" i="104" a="1"/>
  <c r="M183" i="104" s="1"/>
  <c r="L183" i="104" a="1"/>
  <c r="L183" i="104" s="1"/>
  <c r="K183" i="104" a="1"/>
  <c r="K183" i="104" s="1"/>
  <c r="J183" i="104" a="1"/>
  <c r="J183" i="104" s="1"/>
  <c r="I183" i="104" a="1"/>
  <c r="I183" i="104" s="1"/>
  <c r="H183" i="104" a="1"/>
  <c r="H183" i="104" s="1"/>
  <c r="G183" i="104" a="1"/>
  <c r="G183" i="104" s="1"/>
  <c r="F183" i="104" a="1"/>
  <c r="F183" i="104" s="1"/>
  <c r="E183" i="104" a="1"/>
  <c r="E183" i="104" s="1"/>
  <c r="D183" i="104" a="1"/>
  <c r="D183" i="104" s="1"/>
  <c r="AH182" i="104" a="1"/>
  <c r="AH182" i="104" s="1"/>
  <c r="AG182" i="104" a="1"/>
  <c r="AG182" i="104" s="1"/>
  <c r="AF182" i="104" a="1"/>
  <c r="AF182" i="104" s="1"/>
  <c r="AE182" i="104" a="1"/>
  <c r="AE182" i="104" s="1"/>
  <c r="AD182" i="104" a="1"/>
  <c r="AD182" i="104" s="1"/>
  <c r="AC182" i="104" a="1"/>
  <c r="AC182" i="104" s="1"/>
  <c r="AB182" i="104" a="1"/>
  <c r="AB182" i="104" s="1"/>
  <c r="AA182" i="104" a="1"/>
  <c r="AA182" i="104" s="1"/>
  <c r="Z182" i="104" a="1"/>
  <c r="Z182" i="104" s="1"/>
  <c r="Y182" i="104" a="1"/>
  <c r="Y182" i="104" s="1"/>
  <c r="X182" i="104" a="1"/>
  <c r="X182" i="104" s="1"/>
  <c r="W182" i="104" a="1"/>
  <c r="W182" i="104" s="1"/>
  <c r="V182" i="104" a="1"/>
  <c r="V182" i="104" s="1"/>
  <c r="U182" i="104" a="1"/>
  <c r="U182" i="104" s="1"/>
  <c r="T182" i="104" a="1"/>
  <c r="T182" i="104" s="1"/>
  <c r="S182" i="104" a="1"/>
  <c r="S182" i="104" s="1"/>
  <c r="R182" i="104" a="1"/>
  <c r="R182" i="104" s="1"/>
  <c r="Q182" i="104" a="1"/>
  <c r="Q182" i="104" s="1"/>
  <c r="P182" i="104" a="1"/>
  <c r="P182" i="104" s="1"/>
  <c r="O182" i="104" a="1"/>
  <c r="O182" i="104" s="1"/>
  <c r="N182" i="104" a="1"/>
  <c r="N182" i="104" s="1"/>
  <c r="M182" i="104" a="1"/>
  <c r="M182" i="104" s="1"/>
  <c r="L182" i="104" a="1"/>
  <c r="L182" i="104" s="1"/>
  <c r="K182" i="104" a="1"/>
  <c r="K182" i="104" s="1"/>
  <c r="J182" i="104" a="1"/>
  <c r="J182" i="104" s="1"/>
  <c r="I182" i="104" a="1"/>
  <c r="I182" i="104" s="1"/>
  <c r="H182" i="104" a="1"/>
  <c r="H182" i="104" s="1"/>
  <c r="G182" i="104" a="1"/>
  <c r="G182" i="104" s="1"/>
  <c r="F182" i="104" a="1"/>
  <c r="F182" i="104" s="1"/>
  <c r="E182" i="104" a="1"/>
  <c r="E182" i="104" s="1"/>
  <c r="D182" i="104" a="1"/>
  <c r="D182" i="104" s="1"/>
  <c r="AH181" i="104" a="1"/>
  <c r="AH181" i="104" s="1"/>
  <c r="AG181" i="104" a="1"/>
  <c r="AG181" i="104" s="1"/>
  <c r="AF181" i="104" a="1"/>
  <c r="AF181" i="104" s="1"/>
  <c r="AE181" i="104" a="1"/>
  <c r="AE181" i="104" s="1"/>
  <c r="AD181" i="104" a="1"/>
  <c r="AD181" i="104" s="1"/>
  <c r="AC181" i="104" a="1"/>
  <c r="AC181" i="104" s="1"/>
  <c r="AB181" i="104" a="1"/>
  <c r="AB181" i="104" s="1"/>
  <c r="AA181" i="104" a="1"/>
  <c r="AA181" i="104" s="1"/>
  <c r="Z181" i="104" a="1"/>
  <c r="Z181" i="104" s="1"/>
  <c r="Y181" i="104" a="1"/>
  <c r="Y181" i="104" s="1"/>
  <c r="X181" i="104" a="1"/>
  <c r="X181" i="104" s="1"/>
  <c r="W181" i="104" a="1"/>
  <c r="W181" i="104" s="1"/>
  <c r="V181" i="104" a="1"/>
  <c r="V181" i="104" s="1"/>
  <c r="U181" i="104" a="1"/>
  <c r="U181" i="104" s="1"/>
  <c r="T181" i="104" a="1"/>
  <c r="T181" i="104" s="1"/>
  <c r="S181" i="104" a="1"/>
  <c r="S181" i="104" s="1"/>
  <c r="R181" i="104" a="1"/>
  <c r="R181" i="104" s="1"/>
  <c r="Q181" i="104" a="1"/>
  <c r="Q181" i="104" s="1"/>
  <c r="P181" i="104" a="1"/>
  <c r="P181" i="104" s="1"/>
  <c r="O181" i="104" a="1"/>
  <c r="O181" i="104" s="1"/>
  <c r="N181" i="104" a="1"/>
  <c r="N181" i="104" s="1"/>
  <c r="M181" i="104" a="1"/>
  <c r="M181" i="104" s="1"/>
  <c r="L181" i="104" a="1"/>
  <c r="L181" i="104" s="1"/>
  <c r="K181" i="104" a="1"/>
  <c r="K181" i="104" s="1"/>
  <c r="J181" i="104" a="1"/>
  <c r="J181" i="104" s="1"/>
  <c r="I181" i="104" a="1"/>
  <c r="I181" i="104" s="1"/>
  <c r="H181" i="104" a="1"/>
  <c r="H181" i="104" s="1"/>
  <c r="G181" i="104" a="1"/>
  <c r="G181" i="104" s="1"/>
  <c r="F181" i="104" a="1"/>
  <c r="F181" i="104" s="1"/>
  <c r="E181" i="104" a="1"/>
  <c r="E181" i="104" s="1"/>
  <c r="D181" i="104" a="1"/>
  <c r="D181" i="104" s="1"/>
  <c r="AH180" i="104" a="1"/>
  <c r="AH180" i="104" s="1"/>
  <c r="AG180" i="104" a="1"/>
  <c r="AG180" i="104" s="1"/>
  <c r="AF180" i="104" a="1"/>
  <c r="AF180" i="104" s="1"/>
  <c r="AE180" i="104" a="1"/>
  <c r="AE180" i="104" s="1"/>
  <c r="AD180" i="104" a="1"/>
  <c r="AD180" i="104" s="1"/>
  <c r="AC180" i="104" a="1"/>
  <c r="AC180" i="104" s="1"/>
  <c r="AB180" i="104" a="1"/>
  <c r="AB180" i="104" s="1"/>
  <c r="AA180" i="104" a="1"/>
  <c r="AA180" i="104" s="1"/>
  <c r="Z180" i="104" a="1"/>
  <c r="Z180" i="104" s="1"/>
  <c r="Y180" i="104" a="1"/>
  <c r="Y180" i="104" s="1"/>
  <c r="X180" i="104" a="1"/>
  <c r="X180" i="104" s="1"/>
  <c r="W180" i="104" a="1"/>
  <c r="W180" i="104" s="1"/>
  <c r="V180" i="104" a="1"/>
  <c r="V180" i="104" s="1"/>
  <c r="U180" i="104" a="1"/>
  <c r="U180" i="104" s="1"/>
  <c r="T180" i="104" a="1"/>
  <c r="T180" i="104" s="1"/>
  <c r="S180" i="104" a="1"/>
  <c r="S180" i="104" s="1"/>
  <c r="R180" i="104" a="1"/>
  <c r="R180" i="104" s="1"/>
  <c r="Q180" i="104" a="1"/>
  <c r="Q180" i="104" s="1"/>
  <c r="P180" i="104" a="1"/>
  <c r="P180" i="104" s="1"/>
  <c r="O180" i="104" a="1"/>
  <c r="O180" i="104" s="1"/>
  <c r="N180" i="104" a="1"/>
  <c r="N180" i="104" s="1"/>
  <c r="M180" i="104" a="1"/>
  <c r="M180" i="104" s="1"/>
  <c r="L180" i="104" a="1"/>
  <c r="L180" i="104" s="1"/>
  <c r="K180" i="104" a="1"/>
  <c r="K180" i="104" s="1"/>
  <c r="J180" i="104" a="1"/>
  <c r="J180" i="104" s="1"/>
  <c r="I180" i="104" a="1"/>
  <c r="I180" i="104" s="1"/>
  <c r="H180" i="104" a="1"/>
  <c r="H180" i="104" s="1"/>
  <c r="G180" i="104" a="1"/>
  <c r="G180" i="104" s="1"/>
  <c r="F180" i="104" a="1"/>
  <c r="F180" i="104" s="1"/>
  <c r="E180" i="104" a="1"/>
  <c r="E180" i="104" s="1"/>
  <c r="D180" i="104" a="1"/>
  <c r="D180" i="104" s="1"/>
  <c r="AH179" i="104" a="1"/>
  <c r="AH179" i="104" s="1"/>
  <c r="AG179" i="104" a="1"/>
  <c r="AG179" i="104" s="1"/>
  <c r="AF179" i="104" a="1"/>
  <c r="AF179" i="104" s="1"/>
  <c r="AE179" i="104" a="1"/>
  <c r="AE179" i="104" s="1"/>
  <c r="AD179" i="104" a="1"/>
  <c r="AD179" i="104" s="1"/>
  <c r="AC179" i="104" a="1"/>
  <c r="AC179" i="104" s="1"/>
  <c r="AB179" i="104" a="1"/>
  <c r="AB179" i="104" s="1"/>
  <c r="AA179" i="104" a="1"/>
  <c r="AA179" i="104" s="1"/>
  <c r="Z179" i="104" a="1"/>
  <c r="Z179" i="104" s="1"/>
  <c r="Y179" i="104" a="1"/>
  <c r="Y179" i="104" s="1"/>
  <c r="X179" i="104" a="1"/>
  <c r="X179" i="104" s="1"/>
  <c r="W179" i="104" a="1"/>
  <c r="W179" i="104" s="1"/>
  <c r="V179" i="104" a="1"/>
  <c r="V179" i="104" s="1"/>
  <c r="U179" i="104" a="1"/>
  <c r="U179" i="104" s="1"/>
  <c r="T179" i="104" a="1"/>
  <c r="T179" i="104" s="1"/>
  <c r="S179" i="104" a="1"/>
  <c r="S179" i="104" s="1"/>
  <c r="R179" i="104" a="1"/>
  <c r="R179" i="104" s="1"/>
  <c r="Q179" i="104" a="1"/>
  <c r="Q179" i="104" s="1"/>
  <c r="P179" i="104" a="1"/>
  <c r="P179" i="104" s="1"/>
  <c r="O179" i="104" a="1"/>
  <c r="O179" i="104" s="1"/>
  <c r="N179" i="104" a="1"/>
  <c r="N179" i="104" s="1"/>
  <c r="M179" i="104" a="1"/>
  <c r="M179" i="104" s="1"/>
  <c r="L179" i="104" a="1"/>
  <c r="L179" i="104" s="1"/>
  <c r="K179" i="104" a="1"/>
  <c r="K179" i="104" s="1"/>
  <c r="J179" i="104" a="1"/>
  <c r="J179" i="104" s="1"/>
  <c r="I179" i="104" a="1"/>
  <c r="I179" i="104" s="1"/>
  <c r="H179" i="104" a="1"/>
  <c r="H179" i="104" s="1"/>
  <c r="G179" i="104" a="1"/>
  <c r="G179" i="104" s="1"/>
  <c r="F179" i="104" a="1"/>
  <c r="F179" i="104" s="1"/>
  <c r="E179" i="104" a="1"/>
  <c r="E179" i="104" s="1"/>
  <c r="D179" i="104" a="1"/>
  <c r="D179" i="104" s="1"/>
  <c r="AH178" i="104" a="1"/>
  <c r="AH178" i="104" s="1"/>
  <c r="AG178" i="104" a="1"/>
  <c r="AG178" i="104" s="1"/>
  <c r="AF178" i="104" a="1"/>
  <c r="AF178" i="104" s="1"/>
  <c r="AE178" i="104" a="1"/>
  <c r="AE178" i="104" s="1"/>
  <c r="AD178" i="104" a="1"/>
  <c r="AD178" i="104" s="1"/>
  <c r="AC178" i="104" a="1"/>
  <c r="AC178" i="104" s="1"/>
  <c r="AB178" i="104" a="1"/>
  <c r="AB178" i="104" s="1"/>
  <c r="AA178" i="104" a="1"/>
  <c r="AA178" i="104" s="1"/>
  <c r="Z178" i="104" a="1"/>
  <c r="Z178" i="104" s="1"/>
  <c r="Y178" i="104" a="1"/>
  <c r="Y178" i="104" s="1"/>
  <c r="X178" i="104" a="1"/>
  <c r="X178" i="104" s="1"/>
  <c r="W178" i="104" a="1"/>
  <c r="W178" i="104" s="1"/>
  <c r="V178" i="104" a="1"/>
  <c r="V178" i="104" s="1"/>
  <c r="U178" i="104" a="1"/>
  <c r="U178" i="104" s="1"/>
  <c r="T178" i="104" a="1"/>
  <c r="T178" i="104" s="1"/>
  <c r="S178" i="104" a="1"/>
  <c r="S178" i="104" s="1"/>
  <c r="R178" i="104" a="1"/>
  <c r="R178" i="104" s="1"/>
  <c r="Q178" i="104" a="1"/>
  <c r="Q178" i="104" s="1"/>
  <c r="P178" i="104" a="1"/>
  <c r="P178" i="104" s="1"/>
  <c r="O178" i="104" a="1"/>
  <c r="O178" i="104" s="1"/>
  <c r="N178" i="104" a="1"/>
  <c r="N178" i="104" s="1"/>
  <c r="M178" i="104" a="1"/>
  <c r="M178" i="104" s="1"/>
  <c r="L178" i="104" a="1"/>
  <c r="L178" i="104" s="1"/>
  <c r="K178" i="104" a="1"/>
  <c r="K178" i="104" s="1"/>
  <c r="J178" i="104" a="1"/>
  <c r="J178" i="104" s="1"/>
  <c r="I178" i="104" a="1"/>
  <c r="I178" i="104" s="1"/>
  <c r="H178" i="104" a="1"/>
  <c r="H178" i="104" s="1"/>
  <c r="G178" i="104" a="1"/>
  <c r="G178" i="104" s="1"/>
  <c r="F178" i="104" a="1"/>
  <c r="F178" i="104" s="1"/>
  <c r="E178" i="104" a="1"/>
  <c r="E178" i="104" s="1"/>
  <c r="D178" i="104" a="1"/>
  <c r="D178" i="104" s="1"/>
  <c r="AH177" i="104" a="1"/>
  <c r="AH177" i="104" s="1"/>
  <c r="AG177" i="104" a="1"/>
  <c r="AG177" i="104" s="1"/>
  <c r="AF177" i="104" a="1"/>
  <c r="AF177" i="104" s="1"/>
  <c r="AE177" i="104" a="1"/>
  <c r="AE177" i="104" s="1"/>
  <c r="AD177" i="104" a="1"/>
  <c r="AD177" i="104" s="1"/>
  <c r="AC177" i="104" a="1"/>
  <c r="AC177" i="104" s="1"/>
  <c r="AB177" i="104" a="1"/>
  <c r="AB177" i="104" s="1"/>
  <c r="AA177" i="104" a="1"/>
  <c r="AA177" i="104" s="1"/>
  <c r="Z177" i="104" a="1"/>
  <c r="Z177" i="104" s="1"/>
  <c r="Y177" i="104" a="1"/>
  <c r="Y177" i="104" s="1"/>
  <c r="X177" i="104" a="1"/>
  <c r="X177" i="104" s="1"/>
  <c r="W177" i="104" a="1"/>
  <c r="W177" i="104" s="1"/>
  <c r="V177" i="104" a="1"/>
  <c r="V177" i="104" s="1"/>
  <c r="U177" i="104" a="1"/>
  <c r="U177" i="104" s="1"/>
  <c r="T177" i="104" a="1"/>
  <c r="T177" i="104" s="1"/>
  <c r="S177" i="104" a="1"/>
  <c r="S177" i="104" s="1"/>
  <c r="R177" i="104" a="1"/>
  <c r="R177" i="104" s="1"/>
  <c r="Q177" i="104" a="1"/>
  <c r="Q177" i="104" s="1"/>
  <c r="P177" i="104" a="1"/>
  <c r="P177" i="104" s="1"/>
  <c r="O177" i="104" a="1"/>
  <c r="O177" i="104" s="1"/>
  <c r="N177" i="104" a="1"/>
  <c r="N177" i="104" s="1"/>
  <c r="M177" i="104" a="1"/>
  <c r="M177" i="104" s="1"/>
  <c r="L177" i="104" a="1"/>
  <c r="L177" i="104" s="1"/>
  <c r="K177" i="104" a="1"/>
  <c r="K177" i="104" s="1"/>
  <c r="J177" i="104" a="1"/>
  <c r="J177" i="104" s="1"/>
  <c r="I177" i="104" a="1"/>
  <c r="I177" i="104" s="1"/>
  <c r="H177" i="104" a="1"/>
  <c r="H177" i="104" s="1"/>
  <c r="G177" i="104" a="1"/>
  <c r="G177" i="104" s="1"/>
  <c r="F177" i="104" a="1"/>
  <c r="F177" i="104" s="1"/>
  <c r="E177" i="104" a="1"/>
  <c r="E177" i="104" s="1"/>
  <c r="D177" i="104" a="1"/>
  <c r="D177" i="104" s="1"/>
  <c r="AH176" i="104" a="1"/>
  <c r="AH176" i="104" s="1"/>
  <c r="AG176" i="104" a="1"/>
  <c r="AG176" i="104" s="1"/>
  <c r="AF176" i="104" a="1"/>
  <c r="AF176" i="104" s="1"/>
  <c r="AE176" i="104" a="1"/>
  <c r="AE176" i="104" s="1"/>
  <c r="AD176" i="104" a="1"/>
  <c r="AD176" i="104" s="1"/>
  <c r="AC176" i="104" a="1"/>
  <c r="AC176" i="104" s="1"/>
  <c r="AB176" i="104" a="1"/>
  <c r="AB176" i="104" s="1"/>
  <c r="AA176" i="104" a="1"/>
  <c r="AA176" i="104" s="1"/>
  <c r="Z176" i="104" a="1"/>
  <c r="Z176" i="104" s="1"/>
  <c r="Y176" i="104" a="1"/>
  <c r="Y176" i="104" s="1"/>
  <c r="X176" i="104" a="1"/>
  <c r="X176" i="104" s="1"/>
  <c r="W176" i="104" a="1"/>
  <c r="W176" i="104" s="1"/>
  <c r="V176" i="104" a="1"/>
  <c r="V176" i="104" s="1"/>
  <c r="U176" i="104" a="1"/>
  <c r="U176" i="104" s="1"/>
  <c r="T176" i="104" a="1"/>
  <c r="T176" i="104" s="1"/>
  <c r="S176" i="104" a="1"/>
  <c r="S176" i="104" s="1"/>
  <c r="R176" i="104" a="1"/>
  <c r="R176" i="104" s="1"/>
  <c r="Q176" i="104" a="1"/>
  <c r="Q176" i="104" s="1"/>
  <c r="P176" i="104" a="1"/>
  <c r="P176" i="104" s="1"/>
  <c r="O176" i="104" a="1"/>
  <c r="O176" i="104" s="1"/>
  <c r="N176" i="104" a="1"/>
  <c r="N176" i="104" s="1"/>
  <c r="M176" i="104" a="1"/>
  <c r="M176" i="104" s="1"/>
  <c r="L176" i="104" a="1"/>
  <c r="L176" i="104" s="1"/>
  <c r="K176" i="104" a="1"/>
  <c r="K176" i="104" s="1"/>
  <c r="J176" i="104" a="1"/>
  <c r="J176" i="104" s="1"/>
  <c r="I176" i="104" a="1"/>
  <c r="I176" i="104" s="1"/>
  <c r="H176" i="104" a="1"/>
  <c r="H176" i="104" s="1"/>
  <c r="G176" i="104" a="1"/>
  <c r="G176" i="104" s="1"/>
  <c r="F176" i="104" a="1"/>
  <c r="F176" i="104" s="1"/>
  <c r="E176" i="104" a="1"/>
  <c r="E176" i="104" s="1"/>
  <c r="D176" i="104" a="1"/>
  <c r="D176" i="104" s="1"/>
  <c r="AH175" i="104" a="1"/>
  <c r="AH175" i="104" s="1"/>
  <c r="AG175" i="104" a="1"/>
  <c r="AG175" i="104" s="1"/>
  <c r="AF175" i="104" a="1"/>
  <c r="AF175" i="104" s="1"/>
  <c r="AE175" i="104" a="1"/>
  <c r="AE175" i="104" s="1"/>
  <c r="AD175" i="104" a="1"/>
  <c r="AD175" i="104" s="1"/>
  <c r="AC175" i="104" a="1"/>
  <c r="AC175" i="104" s="1"/>
  <c r="AB175" i="104" a="1"/>
  <c r="AB175" i="104" s="1"/>
  <c r="AA175" i="104" a="1"/>
  <c r="AA175" i="104" s="1"/>
  <c r="Z175" i="104" a="1"/>
  <c r="Z175" i="104" s="1"/>
  <c r="Y175" i="104" a="1"/>
  <c r="Y175" i="104" s="1"/>
  <c r="X175" i="104" a="1"/>
  <c r="X175" i="104" s="1"/>
  <c r="W175" i="104" a="1"/>
  <c r="W175" i="104" s="1"/>
  <c r="V175" i="104" a="1"/>
  <c r="V175" i="104" s="1"/>
  <c r="U175" i="104" a="1"/>
  <c r="U175" i="104" s="1"/>
  <c r="T175" i="104" a="1"/>
  <c r="T175" i="104" s="1"/>
  <c r="S175" i="104" a="1"/>
  <c r="S175" i="104" s="1"/>
  <c r="R175" i="104" a="1"/>
  <c r="R175" i="104" s="1"/>
  <c r="Q175" i="104" a="1"/>
  <c r="Q175" i="104" s="1"/>
  <c r="P175" i="104" a="1"/>
  <c r="P175" i="104" s="1"/>
  <c r="O175" i="104" a="1"/>
  <c r="O175" i="104" s="1"/>
  <c r="N175" i="104" a="1"/>
  <c r="N175" i="104" s="1"/>
  <c r="M175" i="104" a="1"/>
  <c r="M175" i="104" s="1"/>
  <c r="L175" i="104" a="1"/>
  <c r="L175" i="104" s="1"/>
  <c r="K175" i="104" a="1"/>
  <c r="K175" i="104" s="1"/>
  <c r="J175" i="104" a="1"/>
  <c r="J175" i="104" s="1"/>
  <c r="I175" i="104" a="1"/>
  <c r="I175" i="104" s="1"/>
  <c r="H175" i="104" a="1"/>
  <c r="H175" i="104" s="1"/>
  <c r="G175" i="104" a="1"/>
  <c r="G175" i="104" s="1"/>
  <c r="F175" i="104" a="1"/>
  <c r="F175" i="104" s="1"/>
  <c r="E175" i="104" a="1"/>
  <c r="E175" i="104" s="1"/>
  <c r="D175" i="104" a="1"/>
  <c r="D175" i="104" s="1"/>
  <c r="AH174" i="104" a="1"/>
  <c r="AH174" i="104" s="1"/>
  <c r="AG174" i="104" a="1"/>
  <c r="AG174" i="104" s="1"/>
  <c r="AF174" i="104" a="1"/>
  <c r="AF174" i="104" s="1"/>
  <c r="AE174" i="104" a="1"/>
  <c r="AE174" i="104" s="1"/>
  <c r="AD174" i="104" a="1"/>
  <c r="AD174" i="104" s="1"/>
  <c r="AC174" i="104" a="1"/>
  <c r="AC174" i="104" s="1"/>
  <c r="AB174" i="104" a="1"/>
  <c r="AB174" i="104" s="1"/>
  <c r="AA174" i="104" a="1"/>
  <c r="AA174" i="104" s="1"/>
  <c r="Z174" i="104" a="1"/>
  <c r="Z174" i="104" s="1"/>
  <c r="Y174" i="104" a="1"/>
  <c r="Y174" i="104" s="1"/>
  <c r="X174" i="104" a="1"/>
  <c r="X174" i="104" s="1"/>
  <c r="W174" i="104" a="1"/>
  <c r="W174" i="104" s="1"/>
  <c r="V174" i="104" a="1"/>
  <c r="V174" i="104" s="1"/>
  <c r="U174" i="104" a="1"/>
  <c r="U174" i="104" s="1"/>
  <c r="T174" i="104" a="1"/>
  <c r="T174" i="104" s="1"/>
  <c r="S174" i="104" a="1"/>
  <c r="S174" i="104" s="1"/>
  <c r="R174" i="104" a="1"/>
  <c r="R174" i="104" s="1"/>
  <c r="Q174" i="104" a="1"/>
  <c r="Q174" i="104" s="1"/>
  <c r="P174" i="104" a="1"/>
  <c r="P174" i="104" s="1"/>
  <c r="O174" i="104" a="1"/>
  <c r="O174" i="104" s="1"/>
  <c r="N174" i="104" a="1"/>
  <c r="N174" i="104" s="1"/>
  <c r="M174" i="104" a="1"/>
  <c r="M174" i="104" s="1"/>
  <c r="L174" i="104" a="1"/>
  <c r="L174" i="104" s="1"/>
  <c r="K174" i="104" a="1"/>
  <c r="K174" i="104" s="1"/>
  <c r="J174" i="104" a="1"/>
  <c r="J174" i="104" s="1"/>
  <c r="I174" i="104" a="1"/>
  <c r="I174" i="104" s="1"/>
  <c r="H174" i="104" a="1"/>
  <c r="H174" i="104" s="1"/>
  <c r="G174" i="104" a="1"/>
  <c r="G174" i="104" s="1"/>
  <c r="F174" i="104" a="1"/>
  <c r="F174" i="104" s="1"/>
  <c r="E174" i="104" a="1"/>
  <c r="E174" i="104" s="1"/>
  <c r="D174" i="104" a="1"/>
  <c r="D174" i="104" s="1"/>
  <c r="AH173" i="104" a="1"/>
  <c r="AH173" i="104" s="1"/>
  <c r="AG173" i="104" a="1"/>
  <c r="AG173" i="104" s="1"/>
  <c r="AF173" i="104" a="1"/>
  <c r="AF173" i="104" s="1"/>
  <c r="AE173" i="104" a="1"/>
  <c r="AE173" i="104" s="1"/>
  <c r="AD173" i="104" a="1"/>
  <c r="AD173" i="104" s="1"/>
  <c r="AC173" i="104" a="1"/>
  <c r="AC173" i="104" s="1"/>
  <c r="AB173" i="104" a="1"/>
  <c r="AB173" i="104" s="1"/>
  <c r="AA173" i="104" a="1"/>
  <c r="AA173" i="104" s="1"/>
  <c r="Z173" i="104" a="1"/>
  <c r="Z173" i="104" s="1"/>
  <c r="Y173" i="104" a="1"/>
  <c r="Y173" i="104" s="1"/>
  <c r="X173" i="104" a="1"/>
  <c r="X173" i="104" s="1"/>
  <c r="W173" i="104" a="1"/>
  <c r="W173" i="104" s="1"/>
  <c r="V173" i="104" a="1"/>
  <c r="V173" i="104" s="1"/>
  <c r="U173" i="104" a="1"/>
  <c r="U173" i="104" s="1"/>
  <c r="T173" i="104" a="1"/>
  <c r="T173" i="104" s="1"/>
  <c r="S173" i="104" a="1"/>
  <c r="S173" i="104" s="1"/>
  <c r="R173" i="104" a="1"/>
  <c r="R173" i="104" s="1"/>
  <c r="Q173" i="104" a="1"/>
  <c r="Q173" i="104" s="1"/>
  <c r="P173" i="104" a="1"/>
  <c r="P173" i="104" s="1"/>
  <c r="O173" i="104" a="1"/>
  <c r="O173" i="104" s="1"/>
  <c r="N173" i="104" a="1"/>
  <c r="N173" i="104" s="1"/>
  <c r="M173" i="104" a="1"/>
  <c r="M173" i="104" s="1"/>
  <c r="L173" i="104" a="1"/>
  <c r="L173" i="104" s="1"/>
  <c r="K173" i="104" a="1"/>
  <c r="K173" i="104" s="1"/>
  <c r="J173" i="104" a="1"/>
  <c r="J173" i="104" s="1"/>
  <c r="I173" i="104" a="1"/>
  <c r="I173" i="104" s="1"/>
  <c r="H173" i="104" a="1"/>
  <c r="H173" i="104" s="1"/>
  <c r="G173" i="104" a="1"/>
  <c r="G173" i="104" s="1"/>
  <c r="F173" i="104" a="1"/>
  <c r="F173" i="104" s="1"/>
  <c r="E173" i="104" a="1"/>
  <c r="E173" i="104" s="1"/>
  <c r="D173" i="104" a="1"/>
  <c r="D173" i="104" s="1"/>
  <c r="AH172" i="104" a="1"/>
  <c r="AH172" i="104" s="1"/>
  <c r="AG172" i="104" a="1"/>
  <c r="AG172" i="104" s="1"/>
  <c r="AF172" i="104" a="1"/>
  <c r="AF172" i="104" s="1"/>
  <c r="AE172" i="104" a="1"/>
  <c r="AE172" i="104" s="1"/>
  <c r="AD172" i="104" a="1"/>
  <c r="AD172" i="104" s="1"/>
  <c r="AC172" i="104" a="1"/>
  <c r="AC172" i="104" s="1"/>
  <c r="AB172" i="104" a="1"/>
  <c r="AB172" i="104" s="1"/>
  <c r="AA172" i="104" a="1"/>
  <c r="AA172" i="104" s="1"/>
  <c r="Z172" i="104" a="1"/>
  <c r="Z172" i="104" s="1"/>
  <c r="Y172" i="104" a="1"/>
  <c r="Y172" i="104" s="1"/>
  <c r="X172" i="104" a="1"/>
  <c r="X172" i="104" s="1"/>
  <c r="W172" i="104" a="1"/>
  <c r="W172" i="104" s="1"/>
  <c r="V172" i="104" a="1"/>
  <c r="V172" i="104" s="1"/>
  <c r="U172" i="104" a="1"/>
  <c r="U172" i="104" s="1"/>
  <c r="T172" i="104" a="1"/>
  <c r="T172" i="104" s="1"/>
  <c r="S172" i="104" a="1"/>
  <c r="S172" i="104" s="1"/>
  <c r="R172" i="104" a="1"/>
  <c r="R172" i="104" s="1"/>
  <c r="Q172" i="104" a="1"/>
  <c r="Q172" i="104" s="1"/>
  <c r="P172" i="104" a="1"/>
  <c r="P172" i="104" s="1"/>
  <c r="O172" i="104" a="1"/>
  <c r="O172" i="104" s="1"/>
  <c r="N172" i="104" a="1"/>
  <c r="N172" i="104" s="1"/>
  <c r="M172" i="104" a="1"/>
  <c r="M172" i="104" s="1"/>
  <c r="L172" i="104" a="1"/>
  <c r="L172" i="104" s="1"/>
  <c r="K172" i="104" a="1"/>
  <c r="K172" i="104" s="1"/>
  <c r="J172" i="104" a="1"/>
  <c r="J172" i="104" s="1"/>
  <c r="I172" i="104" a="1"/>
  <c r="I172" i="104" s="1"/>
  <c r="H172" i="104" a="1"/>
  <c r="H172" i="104" s="1"/>
  <c r="G172" i="104" a="1"/>
  <c r="G172" i="104" s="1"/>
  <c r="F172" i="104" a="1"/>
  <c r="F172" i="104" s="1"/>
  <c r="E172" i="104" a="1"/>
  <c r="E172" i="104" s="1"/>
  <c r="D172" i="104" a="1"/>
  <c r="D172" i="104" s="1"/>
  <c r="AH171" i="104" a="1"/>
  <c r="AH171" i="104" s="1"/>
  <c r="AG171" i="104" a="1"/>
  <c r="AG171" i="104" s="1"/>
  <c r="AF171" i="104" a="1"/>
  <c r="AF171" i="104" s="1"/>
  <c r="AE171" i="104" a="1"/>
  <c r="AE171" i="104" s="1"/>
  <c r="AD171" i="104" a="1"/>
  <c r="AD171" i="104" s="1"/>
  <c r="AC171" i="104" a="1"/>
  <c r="AC171" i="104" s="1"/>
  <c r="AB171" i="104" a="1"/>
  <c r="AB171" i="104" s="1"/>
  <c r="AA171" i="104" a="1"/>
  <c r="AA171" i="104" s="1"/>
  <c r="Z171" i="104" a="1"/>
  <c r="Z171" i="104" s="1"/>
  <c r="Y171" i="104" a="1"/>
  <c r="Y171" i="104" s="1"/>
  <c r="X171" i="104" a="1"/>
  <c r="X171" i="104" s="1"/>
  <c r="W171" i="104" a="1"/>
  <c r="W171" i="104" s="1"/>
  <c r="V171" i="104" a="1"/>
  <c r="V171" i="104" s="1"/>
  <c r="U171" i="104" a="1"/>
  <c r="U171" i="104" s="1"/>
  <c r="T171" i="104" a="1"/>
  <c r="T171" i="104" s="1"/>
  <c r="S171" i="104" a="1"/>
  <c r="S171" i="104" s="1"/>
  <c r="R171" i="104" a="1"/>
  <c r="R171" i="104" s="1"/>
  <c r="Q171" i="104" a="1"/>
  <c r="Q171" i="104" s="1"/>
  <c r="P171" i="104" a="1"/>
  <c r="P171" i="104" s="1"/>
  <c r="O171" i="104" a="1"/>
  <c r="O171" i="104" s="1"/>
  <c r="N171" i="104" a="1"/>
  <c r="N171" i="104" s="1"/>
  <c r="M171" i="104" a="1"/>
  <c r="M171" i="104" s="1"/>
  <c r="L171" i="104" a="1"/>
  <c r="L171" i="104" s="1"/>
  <c r="K171" i="104" a="1"/>
  <c r="K171" i="104" s="1"/>
  <c r="J171" i="104" a="1"/>
  <c r="J171" i="104" s="1"/>
  <c r="I171" i="104" a="1"/>
  <c r="I171" i="104" s="1"/>
  <c r="H171" i="104" a="1"/>
  <c r="H171" i="104" s="1"/>
  <c r="G171" i="104" a="1"/>
  <c r="G171" i="104" s="1"/>
  <c r="F171" i="104" a="1"/>
  <c r="F171" i="104" s="1"/>
  <c r="E171" i="104" a="1"/>
  <c r="E171" i="104" s="1"/>
  <c r="D171" i="104" a="1"/>
  <c r="D171" i="104" s="1"/>
  <c r="AH170" i="104" a="1"/>
  <c r="AH170" i="104" s="1"/>
  <c r="AG170" i="104" a="1"/>
  <c r="AG170" i="104" s="1"/>
  <c r="AF170" i="104" a="1"/>
  <c r="AF170" i="104" s="1"/>
  <c r="AE170" i="104" a="1"/>
  <c r="AE170" i="104" s="1"/>
  <c r="AD170" i="104" a="1"/>
  <c r="AD170" i="104" s="1"/>
  <c r="AC170" i="104" a="1"/>
  <c r="AC170" i="104" s="1"/>
  <c r="AB170" i="104" a="1"/>
  <c r="AB170" i="104" s="1"/>
  <c r="AA170" i="104" a="1"/>
  <c r="AA170" i="104" s="1"/>
  <c r="Z170" i="104" a="1"/>
  <c r="Z170" i="104" s="1"/>
  <c r="Y170" i="104" a="1"/>
  <c r="Y170" i="104" s="1"/>
  <c r="X170" i="104" a="1"/>
  <c r="X170" i="104" s="1"/>
  <c r="W170" i="104" a="1"/>
  <c r="W170" i="104" s="1"/>
  <c r="V170" i="104" a="1"/>
  <c r="V170" i="104" s="1"/>
  <c r="U170" i="104" a="1"/>
  <c r="U170" i="104" s="1"/>
  <c r="T170" i="104" a="1"/>
  <c r="T170" i="104" s="1"/>
  <c r="S170" i="104" a="1"/>
  <c r="S170" i="104" s="1"/>
  <c r="R170" i="104" a="1"/>
  <c r="R170" i="104" s="1"/>
  <c r="Q170" i="104" a="1"/>
  <c r="Q170" i="104" s="1"/>
  <c r="P170" i="104" a="1"/>
  <c r="P170" i="104" s="1"/>
  <c r="O170" i="104" a="1"/>
  <c r="O170" i="104" s="1"/>
  <c r="N170" i="104" a="1"/>
  <c r="N170" i="104" s="1"/>
  <c r="M170" i="104" a="1"/>
  <c r="M170" i="104" s="1"/>
  <c r="L170" i="104" a="1"/>
  <c r="L170" i="104" s="1"/>
  <c r="K170" i="104" a="1"/>
  <c r="K170" i="104" s="1"/>
  <c r="J170" i="104" a="1"/>
  <c r="J170" i="104" s="1"/>
  <c r="I170" i="104" a="1"/>
  <c r="I170" i="104" s="1"/>
  <c r="H170" i="104" a="1"/>
  <c r="H170" i="104" s="1"/>
  <c r="G170" i="104" a="1"/>
  <c r="G170" i="104" s="1"/>
  <c r="F170" i="104" a="1"/>
  <c r="F170" i="104" s="1"/>
  <c r="E170" i="104" a="1"/>
  <c r="E170" i="104" s="1"/>
  <c r="D170" i="104" a="1"/>
  <c r="D170" i="104" s="1"/>
  <c r="AH169" i="104" a="1"/>
  <c r="AH169" i="104" s="1"/>
  <c r="AG169" i="104" a="1"/>
  <c r="AG169" i="104" s="1"/>
  <c r="AF169" i="104" a="1"/>
  <c r="AF169" i="104" s="1"/>
  <c r="AE169" i="104" a="1"/>
  <c r="AE169" i="104" s="1"/>
  <c r="AD169" i="104" a="1"/>
  <c r="AD169" i="104" s="1"/>
  <c r="AC169" i="104" a="1"/>
  <c r="AC169" i="104" s="1"/>
  <c r="AB169" i="104" a="1"/>
  <c r="AB169" i="104" s="1"/>
  <c r="AA169" i="104" a="1"/>
  <c r="AA169" i="104" s="1"/>
  <c r="Z169" i="104" a="1"/>
  <c r="Z169" i="104" s="1"/>
  <c r="Y169" i="104" a="1"/>
  <c r="Y169" i="104" s="1"/>
  <c r="X169" i="104" a="1"/>
  <c r="X169" i="104" s="1"/>
  <c r="W169" i="104" a="1"/>
  <c r="W169" i="104" s="1"/>
  <c r="V169" i="104" a="1"/>
  <c r="V169" i="104" s="1"/>
  <c r="U169" i="104" a="1"/>
  <c r="U169" i="104" s="1"/>
  <c r="T169" i="104" a="1"/>
  <c r="T169" i="104" s="1"/>
  <c r="S169" i="104" a="1"/>
  <c r="S169" i="104" s="1"/>
  <c r="R169" i="104" a="1"/>
  <c r="R169" i="104" s="1"/>
  <c r="Q169" i="104" a="1"/>
  <c r="Q169" i="104" s="1"/>
  <c r="P169" i="104" a="1"/>
  <c r="P169" i="104" s="1"/>
  <c r="O169" i="104" a="1"/>
  <c r="O169" i="104" s="1"/>
  <c r="N169" i="104" a="1"/>
  <c r="N169" i="104" s="1"/>
  <c r="M169" i="104" a="1"/>
  <c r="M169" i="104" s="1"/>
  <c r="L169" i="104" a="1"/>
  <c r="L169" i="104" s="1"/>
  <c r="K169" i="104" a="1"/>
  <c r="K169" i="104" s="1"/>
  <c r="J169" i="104" a="1"/>
  <c r="J169" i="104" s="1"/>
  <c r="I169" i="104" a="1"/>
  <c r="I169" i="104" s="1"/>
  <c r="H169" i="104" a="1"/>
  <c r="H169" i="104" s="1"/>
  <c r="G169" i="104" a="1"/>
  <c r="G169" i="104" s="1"/>
  <c r="F169" i="104" a="1"/>
  <c r="F169" i="104" s="1"/>
  <c r="E169" i="104" a="1"/>
  <c r="E169" i="104" s="1"/>
  <c r="D169" i="104" a="1"/>
  <c r="D169" i="104" s="1"/>
  <c r="AH168" i="104" a="1"/>
  <c r="AH168" i="104" s="1"/>
  <c r="AG168" i="104" a="1"/>
  <c r="AG168" i="104" s="1"/>
  <c r="AF168" i="104" a="1"/>
  <c r="AF168" i="104" s="1"/>
  <c r="AE168" i="104" a="1"/>
  <c r="AE168" i="104" s="1"/>
  <c r="AD168" i="104" a="1"/>
  <c r="AD168" i="104" s="1"/>
  <c r="AC168" i="104" a="1"/>
  <c r="AC168" i="104" s="1"/>
  <c r="AB168" i="104" a="1"/>
  <c r="AB168" i="104" s="1"/>
  <c r="AA168" i="104" a="1"/>
  <c r="AA168" i="104" s="1"/>
  <c r="Z168" i="104" a="1"/>
  <c r="Z168" i="104" s="1"/>
  <c r="Y168" i="104" a="1"/>
  <c r="Y168" i="104" s="1"/>
  <c r="X168" i="104" a="1"/>
  <c r="X168" i="104" s="1"/>
  <c r="W168" i="104" a="1"/>
  <c r="W168" i="104" s="1"/>
  <c r="V168" i="104" a="1"/>
  <c r="V168" i="104" s="1"/>
  <c r="U168" i="104" a="1"/>
  <c r="U168" i="104" s="1"/>
  <c r="T168" i="104" a="1"/>
  <c r="T168" i="104" s="1"/>
  <c r="S168" i="104" a="1"/>
  <c r="S168" i="104" s="1"/>
  <c r="R168" i="104" a="1"/>
  <c r="R168" i="104" s="1"/>
  <c r="Q168" i="104" a="1"/>
  <c r="Q168" i="104" s="1"/>
  <c r="P168" i="104" a="1"/>
  <c r="P168" i="104" s="1"/>
  <c r="O168" i="104" a="1"/>
  <c r="O168" i="104" s="1"/>
  <c r="N168" i="104" a="1"/>
  <c r="N168" i="104" s="1"/>
  <c r="M168" i="104" a="1"/>
  <c r="M168" i="104" s="1"/>
  <c r="L168" i="104" a="1"/>
  <c r="L168" i="104" s="1"/>
  <c r="K168" i="104" a="1"/>
  <c r="K168" i="104" s="1"/>
  <c r="J168" i="104" a="1"/>
  <c r="J168" i="104" s="1"/>
  <c r="I168" i="104" a="1"/>
  <c r="I168" i="104" s="1"/>
  <c r="H168" i="104" a="1"/>
  <c r="H168" i="104" s="1"/>
  <c r="G168" i="104" a="1"/>
  <c r="G168" i="104" s="1"/>
  <c r="F168" i="104" a="1"/>
  <c r="F168" i="104" s="1"/>
  <c r="E168" i="104" a="1"/>
  <c r="E168" i="104" s="1"/>
  <c r="D168" i="104" a="1"/>
  <c r="D168" i="104" s="1"/>
  <c r="AH167" i="104" a="1"/>
  <c r="AH167" i="104" s="1"/>
  <c r="AG167" i="104" a="1"/>
  <c r="AG167" i="104" s="1"/>
  <c r="AF167" i="104" a="1"/>
  <c r="AF167" i="104" s="1"/>
  <c r="AE167" i="104" a="1"/>
  <c r="AE167" i="104" s="1"/>
  <c r="AD167" i="104" a="1"/>
  <c r="AD167" i="104" s="1"/>
  <c r="AC167" i="104" a="1"/>
  <c r="AC167" i="104" s="1"/>
  <c r="AB167" i="104" a="1"/>
  <c r="AB167" i="104" s="1"/>
  <c r="AA167" i="104" a="1"/>
  <c r="AA167" i="104" s="1"/>
  <c r="Z167" i="104" a="1"/>
  <c r="Z167" i="104" s="1"/>
  <c r="Y167" i="104" a="1"/>
  <c r="Y167" i="104" s="1"/>
  <c r="X167" i="104" a="1"/>
  <c r="X167" i="104" s="1"/>
  <c r="W167" i="104" a="1"/>
  <c r="W167" i="104" s="1"/>
  <c r="V167" i="104" a="1"/>
  <c r="V167" i="104" s="1"/>
  <c r="U167" i="104" a="1"/>
  <c r="U167" i="104" s="1"/>
  <c r="T167" i="104" a="1"/>
  <c r="T167" i="104" s="1"/>
  <c r="S167" i="104" a="1"/>
  <c r="S167" i="104" s="1"/>
  <c r="R167" i="104" a="1"/>
  <c r="R167" i="104" s="1"/>
  <c r="Q167" i="104" a="1"/>
  <c r="Q167" i="104" s="1"/>
  <c r="P167" i="104" a="1"/>
  <c r="P167" i="104" s="1"/>
  <c r="O167" i="104" a="1"/>
  <c r="O167" i="104" s="1"/>
  <c r="N167" i="104" a="1"/>
  <c r="N167" i="104" s="1"/>
  <c r="M167" i="104" a="1"/>
  <c r="M167" i="104" s="1"/>
  <c r="L167" i="104" a="1"/>
  <c r="L167" i="104" s="1"/>
  <c r="K167" i="104" a="1"/>
  <c r="K167" i="104" s="1"/>
  <c r="J167" i="104" a="1"/>
  <c r="J167" i="104" s="1"/>
  <c r="I167" i="104" a="1"/>
  <c r="I167" i="104" s="1"/>
  <c r="H167" i="104" a="1"/>
  <c r="H167" i="104" s="1"/>
  <c r="G167" i="104" a="1"/>
  <c r="G167" i="104" s="1"/>
  <c r="F167" i="104" a="1"/>
  <c r="F167" i="104" s="1"/>
  <c r="E167" i="104" a="1"/>
  <c r="E167" i="104" s="1"/>
  <c r="D167" i="104" a="1"/>
  <c r="D167" i="104" s="1"/>
  <c r="AH166" i="104" a="1"/>
  <c r="AH166" i="104" s="1"/>
  <c r="AG166" i="104" a="1"/>
  <c r="AG166" i="104" s="1"/>
  <c r="AF166" i="104" a="1"/>
  <c r="AF166" i="104" s="1"/>
  <c r="AE166" i="104" a="1"/>
  <c r="AE166" i="104" s="1"/>
  <c r="AD166" i="104" a="1"/>
  <c r="AD166" i="104" s="1"/>
  <c r="AC166" i="104" a="1"/>
  <c r="AC166" i="104" s="1"/>
  <c r="AB166" i="104" a="1"/>
  <c r="AB166" i="104" s="1"/>
  <c r="AA166" i="104" a="1"/>
  <c r="AA166" i="104" s="1"/>
  <c r="Z166" i="104" a="1"/>
  <c r="Z166" i="104" s="1"/>
  <c r="Y166" i="104" a="1"/>
  <c r="Y166" i="104" s="1"/>
  <c r="X166" i="104" a="1"/>
  <c r="X166" i="104" s="1"/>
  <c r="W166" i="104" a="1"/>
  <c r="W166" i="104" s="1"/>
  <c r="V166" i="104" a="1"/>
  <c r="V166" i="104" s="1"/>
  <c r="U166" i="104" a="1"/>
  <c r="U166" i="104" s="1"/>
  <c r="T166" i="104" a="1"/>
  <c r="T166" i="104" s="1"/>
  <c r="S166" i="104" a="1"/>
  <c r="S166" i="104" s="1"/>
  <c r="R166" i="104" a="1"/>
  <c r="R166" i="104" s="1"/>
  <c r="Q166" i="104" a="1"/>
  <c r="Q166" i="104" s="1"/>
  <c r="P166" i="104" a="1"/>
  <c r="P166" i="104" s="1"/>
  <c r="O166" i="104" a="1"/>
  <c r="O166" i="104" s="1"/>
  <c r="N166" i="104" a="1"/>
  <c r="N166" i="104" s="1"/>
  <c r="M166" i="104" a="1"/>
  <c r="M166" i="104" s="1"/>
  <c r="L166" i="104" a="1"/>
  <c r="L166" i="104" s="1"/>
  <c r="K166" i="104" a="1"/>
  <c r="K166" i="104" s="1"/>
  <c r="J166" i="104" a="1"/>
  <c r="J166" i="104" s="1"/>
  <c r="I166" i="104" a="1"/>
  <c r="I166" i="104" s="1"/>
  <c r="H166" i="104" a="1"/>
  <c r="H166" i="104" s="1"/>
  <c r="G166" i="104" a="1"/>
  <c r="G166" i="104" s="1"/>
  <c r="F166" i="104" a="1"/>
  <c r="F166" i="104" s="1"/>
  <c r="E166" i="104" a="1"/>
  <c r="E166" i="104" s="1"/>
  <c r="D166" i="104" a="1"/>
  <c r="D166" i="104" s="1"/>
  <c r="AH165" i="104" a="1"/>
  <c r="AH165" i="104" s="1"/>
  <c r="AG165" i="104" a="1"/>
  <c r="AG165" i="104" s="1"/>
  <c r="AF165" i="104" a="1"/>
  <c r="AF165" i="104" s="1"/>
  <c r="AE165" i="104" a="1"/>
  <c r="AE165" i="104" s="1"/>
  <c r="AD165" i="104" a="1"/>
  <c r="AD165" i="104" s="1"/>
  <c r="AC165" i="104" a="1"/>
  <c r="AC165" i="104" s="1"/>
  <c r="AB165" i="104" a="1"/>
  <c r="AB165" i="104" s="1"/>
  <c r="AA165" i="104" a="1"/>
  <c r="AA165" i="104" s="1"/>
  <c r="Z165" i="104" a="1"/>
  <c r="Z165" i="104" s="1"/>
  <c r="Y165" i="104" a="1"/>
  <c r="Y165" i="104" s="1"/>
  <c r="X165" i="104" a="1"/>
  <c r="X165" i="104" s="1"/>
  <c r="W165" i="104" a="1"/>
  <c r="W165" i="104" s="1"/>
  <c r="V165" i="104" a="1"/>
  <c r="V165" i="104" s="1"/>
  <c r="U165" i="104" a="1"/>
  <c r="U165" i="104" s="1"/>
  <c r="T165" i="104" a="1"/>
  <c r="T165" i="104" s="1"/>
  <c r="S165" i="104" a="1"/>
  <c r="S165" i="104" s="1"/>
  <c r="R165" i="104" a="1"/>
  <c r="R165" i="104" s="1"/>
  <c r="Q165" i="104" a="1"/>
  <c r="Q165" i="104" s="1"/>
  <c r="P165" i="104" a="1"/>
  <c r="P165" i="104" s="1"/>
  <c r="O165" i="104" a="1"/>
  <c r="O165" i="104" s="1"/>
  <c r="N165" i="104" a="1"/>
  <c r="N165" i="104" s="1"/>
  <c r="M165" i="104" a="1"/>
  <c r="M165" i="104" s="1"/>
  <c r="L165" i="104" a="1"/>
  <c r="L165" i="104" s="1"/>
  <c r="K165" i="104" a="1"/>
  <c r="K165" i="104" s="1"/>
  <c r="J165" i="104" a="1"/>
  <c r="J165" i="104" s="1"/>
  <c r="I165" i="104" a="1"/>
  <c r="I165" i="104" s="1"/>
  <c r="H165" i="104" a="1"/>
  <c r="H165" i="104" s="1"/>
  <c r="G165" i="104" a="1"/>
  <c r="G165" i="104" s="1"/>
  <c r="F165" i="104" a="1"/>
  <c r="F165" i="104" s="1"/>
  <c r="E165" i="104" a="1"/>
  <c r="E165" i="104" s="1"/>
  <c r="D165" i="104" a="1"/>
  <c r="D165" i="104" s="1"/>
  <c r="AH164" i="104" a="1"/>
  <c r="AH164" i="104" s="1"/>
  <c r="AG164" i="104" a="1"/>
  <c r="AG164" i="104" s="1"/>
  <c r="AF164" i="104" a="1"/>
  <c r="AF164" i="104" s="1"/>
  <c r="AE164" i="104" a="1"/>
  <c r="AE164" i="104" s="1"/>
  <c r="AD164" i="104" a="1"/>
  <c r="AD164" i="104" s="1"/>
  <c r="AC164" i="104" a="1"/>
  <c r="AC164" i="104" s="1"/>
  <c r="AB164" i="104" a="1"/>
  <c r="AB164" i="104" s="1"/>
  <c r="AA164" i="104" a="1"/>
  <c r="AA164" i="104" s="1"/>
  <c r="Z164" i="104" a="1"/>
  <c r="Z164" i="104" s="1"/>
  <c r="Y164" i="104" a="1"/>
  <c r="Y164" i="104" s="1"/>
  <c r="X164" i="104" a="1"/>
  <c r="X164" i="104" s="1"/>
  <c r="W164" i="104" a="1"/>
  <c r="W164" i="104" s="1"/>
  <c r="V164" i="104" a="1"/>
  <c r="V164" i="104" s="1"/>
  <c r="U164" i="104" a="1"/>
  <c r="U164" i="104" s="1"/>
  <c r="T164" i="104" a="1"/>
  <c r="T164" i="104" s="1"/>
  <c r="S164" i="104" a="1"/>
  <c r="S164" i="104" s="1"/>
  <c r="R164" i="104" a="1"/>
  <c r="R164" i="104" s="1"/>
  <c r="Q164" i="104" a="1"/>
  <c r="Q164" i="104" s="1"/>
  <c r="P164" i="104" a="1"/>
  <c r="P164" i="104" s="1"/>
  <c r="O164" i="104" a="1"/>
  <c r="O164" i="104" s="1"/>
  <c r="N164" i="104" a="1"/>
  <c r="N164" i="104" s="1"/>
  <c r="M164" i="104" a="1"/>
  <c r="M164" i="104" s="1"/>
  <c r="L164" i="104" a="1"/>
  <c r="L164" i="104" s="1"/>
  <c r="K164" i="104" a="1"/>
  <c r="K164" i="104" s="1"/>
  <c r="J164" i="104" a="1"/>
  <c r="J164" i="104" s="1"/>
  <c r="I164" i="104" a="1"/>
  <c r="I164" i="104" s="1"/>
  <c r="H164" i="104" a="1"/>
  <c r="H164" i="104" s="1"/>
  <c r="G164" i="104" a="1"/>
  <c r="G164" i="104" s="1"/>
  <c r="F164" i="104" a="1"/>
  <c r="F164" i="104" s="1"/>
  <c r="E164" i="104" a="1"/>
  <c r="E164" i="104" s="1"/>
  <c r="D164" i="104" a="1"/>
  <c r="D164" i="104" s="1"/>
  <c r="AH163" i="104" a="1"/>
  <c r="AH163" i="104" s="1"/>
  <c r="AG163" i="104" a="1"/>
  <c r="AG163" i="104" s="1"/>
  <c r="AF163" i="104" a="1"/>
  <c r="AF163" i="104" s="1"/>
  <c r="AE163" i="104" a="1"/>
  <c r="AE163" i="104" s="1"/>
  <c r="AD163" i="104" a="1"/>
  <c r="AD163" i="104" s="1"/>
  <c r="AC163" i="104" a="1"/>
  <c r="AC163" i="104" s="1"/>
  <c r="AB163" i="104" a="1"/>
  <c r="AB163" i="104" s="1"/>
  <c r="AA163" i="104" a="1"/>
  <c r="AA163" i="104" s="1"/>
  <c r="Z163" i="104" a="1"/>
  <c r="Z163" i="104" s="1"/>
  <c r="Y163" i="104" a="1"/>
  <c r="Y163" i="104" s="1"/>
  <c r="X163" i="104" a="1"/>
  <c r="X163" i="104" s="1"/>
  <c r="W163" i="104" a="1"/>
  <c r="W163" i="104" s="1"/>
  <c r="V163" i="104" a="1"/>
  <c r="V163" i="104" s="1"/>
  <c r="U163" i="104" a="1"/>
  <c r="U163" i="104" s="1"/>
  <c r="T163" i="104" a="1"/>
  <c r="T163" i="104" s="1"/>
  <c r="S163" i="104" a="1"/>
  <c r="S163" i="104" s="1"/>
  <c r="R163" i="104" a="1"/>
  <c r="R163" i="104" s="1"/>
  <c r="Q163" i="104" a="1"/>
  <c r="Q163" i="104" s="1"/>
  <c r="P163" i="104" a="1"/>
  <c r="P163" i="104" s="1"/>
  <c r="O163" i="104" a="1"/>
  <c r="O163" i="104" s="1"/>
  <c r="N163" i="104" a="1"/>
  <c r="N163" i="104" s="1"/>
  <c r="M163" i="104" a="1"/>
  <c r="M163" i="104" s="1"/>
  <c r="L163" i="104" a="1"/>
  <c r="L163" i="104" s="1"/>
  <c r="K163" i="104" a="1"/>
  <c r="K163" i="104" s="1"/>
  <c r="J163" i="104" a="1"/>
  <c r="J163" i="104" s="1"/>
  <c r="I163" i="104" a="1"/>
  <c r="I163" i="104" s="1"/>
  <c r="H163" i="104" a="1"/>
  <c r="H163" i="104" s="1"/>
  <c r="G163" i="104" a="1"/>
  <c r="G163" i="104" s="1"/>
  <c r="F163" i="104" a="1"/>
  <c r="F163" i="104" s="1"/>
  <c r="E163" i="104" a="1"/>
  <c r="E163" i="104" s="1"/>
  <c r="D163" i="104" a="1"/>
  <c r="D163" i="104" s="1"/>
  <c r="AH162" i="104" a="1"/>
  <c r="AH162" i="104" s="1"/>
  <c r="AG162" i="104" a="1"/>
  <c r="AG162" i="104" s="1"/>
  <c r="AF162" i="104" a="1"/>
  <c r="AF162" i="104" s="1"/>
  <c r="AE162" i="104" a="1"/>
  <c r="AE162" i="104" s="1"/>
  <c r="AD162" i="104" a="1"/>
  <c r="AD162" i="104" s="1"/>
  <c r="AC162" i="104" a="1"/>
  <c r="AC162" i="104" s="1"/>
  <c r="AB162" i="104" a="1"/>
  <c r="AB162" i="104" s="1"/>
  <c r="AA162" i="104" a="1"/>
  <c r="AA162" i="104" s="1"/>
  <c r="Z162" i="104" a="1"/>
  <c r="Z162" i="104" s="1"/>
  <c r="Y162" i="104" a="1"/>
  <c r="Y162" i="104" s="1"/>
  <c r="X162" i="104" a="1"/>
  <c r="X162" i="104" s="1"/>
  <c r="W162" i="104" a="1"/>
  <c r="W162" i="104" s="1"/>
  <c r="V162" i="104" a="1"/>
  <c r="V162" i="104" s="1"/>
  <c r="U162" i="104" a="1"/>
  <c r="U162" i="104" s="1"/>
  <c r="T162" i="104" a="1"/>
  <c r="T162" i="104" s="1"/>
  <c r="S162" i="104" a="1"/>
  <c r="S162" i="104" s="1"/>
  <c r="R162" i="104" a="1"/>
  <c r="R162" i="104" s="1"/>
  <c r="Q162" i="104" a="1"/>
  <c r="Q162" i="104" s="1"/>
  <c r="P162" i="104" a="1"/>
  <c r="P162" i="104" s="1"/>
  <c r="O162" i="104" a="1"/>
  <c r="O162" i="104" s="1"/>
  <c r="N162" i="104" a="1"/>
  <c r="N162" i="104" s="1"/>
  <c r="M162" i="104" a="1"/>
  <c r="M162" i="104" s="1"/>
  <c r="L162" i="104" a="1"/>
  <c r="L162" i="104" s="1"/>
  <c r="K162" i="104" a="1"/>
  <c r="K162" i="104" s="1"/>
  <c r="J162" i="104" a="1"/>
  <c r="J162" i="104" s="1"/>
  <c r="I162" i="104" a="1"/>
  <c r="I162" i="104" s="1"/>
  <c r="H162" i="104" a="1"/>
  <c r="H162" i="104" s="1"/>
  <c r="G162" i="104" a="1"/>
  <c r="G162" i="104" s="1"/>
  <c r="F162" i="104" a="1"/>
  <c r="F162" i="104" s="1"/>
  <c r="E162" i="104" a="1"/>
  <c r="E162" i="104" s="1"/>
  <c r="D162" i="104" a="1"/>
  <c r="D162" i="104" s="1"/>
  <c r="AH161" i="104" a="1"/>
  <c r="AH161" i="104" s="1"/>
  <c r="AG161" i="104" a="1"/>
  <c r="AG161" i="104" s="1"/>
  <c r="AF161" i="104" a="1"/>
  <c r="AF161" i="104" s="1"/>
  <c r="AE161" i="104" a="1"/>
  <c r="AE161" i="104" s="1"/>
  <c r="AD161" i="104" a="1"/>
  <c r="AD161" i="104" s="1"/>
  <c r="AC161" i="104" a="1"/>
  <c r="AC161" i="104" s="1"/>
  <c r="AB161" i="104" a="1"/>
  <c r="AB161" i="104" s="1"/>
  <c r="AA161" i="104" a="1"/>
  <c r="AA161" i="104" s="1"/>
  <c r="Z161" i="104" a="1"/>
  <c r="Z161" i="104" s="1"/>
  <c r="Y161" i="104" a="1"/>
  <c r="Y161" i="104" s="1"/>
  <c r="X161" i="104" a="1"/>
  <c r="X161" i="104" s="1"/>
  <c r="W161" i="104" a="1"/>
  <c r="W161" i="104" s="1"/>
  <c r="V161" i="104" a="1"/>
  <c r="V161" i="104" s="1"/>
  <c r="U161" i="104" a="1"/>
  <c r="U161" i="104" s="1"/>
  <c r="T161" i="104" a="1"/>
  <c r="T161" i="104" s="1"/>
  <c r="S161" i="104" a="1"/>
  <c r="S161" i="104" s="1"/>
  <c r="R161" i="104" a="1"/>
  <c r="R161" i="104" s="1"/>
  <c r="Q161" i="104" a="1"/>
  <c r="Q161" i="104" s="1"/>
  <c r="P161" i="104" a="1"/>
  <c r="P161" i="104" s="1"/>
  <c r="O161" i="104" a="1"/>
  <c r="O161" i="104" s="1"/>
  <c r="N161" i="104" a="1"/>
  <c r="N161" i="104" s="1"/>
  <c r="M161" i="104" a="1"/>
  <c r="M161" i="104" s="1"/>
  <c r="L161" i="104" a="1"/>
  <c r="L161" i="104" s="1"/>
  <c r="K161" i="104" a="1"/>
  <c r="K161" i="104" s="1"/>
  <c r="J161" i="104" a="1"/>
  <c r="J161" i="104" s="1"/>
  <c r="I161" i="104" a="1"/>
  <c r="I161" i="104" s="1"/>
  <c r="H161" i="104" a="1"/>
  <c r="H161" i="104" s="1"/>
  <c r="G161" i="104" a="1"/>
  <c r="G161" i="104" s="1"/>
  <c r="F161" i="104" a="1"/>
  <c r="F161" i="104" s="1"/>
  <c r="E161" i="104" a="1"/>
  <c r="E161" i="104" s="1"/>
  <c r="D161" i="104" a="1"/>
  <c r="D161" i="104" s="1"/>
  <c r="AH160" i="104" a="1"/>
  <c r="AH160" i="104" s="1"/>
  <c r="AG160" i="104" a="1"/>
  <c r="AG160" i="104" s="1"/>
  <c r="AF160" i="104" a="1"/>
  <c r="AF160" i="104" s="1"/>
  <c r="AE160" i="104" a="1"/>
  <c r="AE160" i="104" s="1"/>
  <c r="AD160" i="104" a="1"/>
  <c r="AD160" i="104" s="1"/>
  <c r="AC160" i="104" a="1"/>
  <c r="AC160" i="104" s="1"/>
  <c r="AB160" i="104" a="1"/>
  <c r="AB160" i="104" s="1"/>
  <c r="AA160" i="104" a="1"/>
  <c r="AA160" i="104" s="1"/>
  <c r="Z160" i="104" a="1"/>
  <c r="Z160" i="104" s="1"/>
  <c r="Y160" i="104" a="1"/>
  <c r="Y160" i="104" s="1"/>
  <c r="X160" i="104" a="1"/>
  <c r="X160" i="104" s="1"/>
  <c r="W160" i="104" a="1"/>
  <c r="W160" i="104" s="1"/>
  <c r="V160" i="104" a="1"/>
  <c r="V160" i="104" s="1"/>
  <c r="U160" i="104" a="1"/>
  <c r="U160" i="104" s="1"/>
  <c r="T160" i="104" a="1"/>
  <c r="T160" i="104" s="1"/>
  <c r="S160" i="104" a="1"/>
  <c r="S160" i="104" s="1"/>
  <c r="R160" i="104" a="1"/>
  <c r="R160" i="104" s="1"/>
  <c r="Q160" i="104" a="1"/>
  <c r="Q160" i="104" s="1"/>
  <c r="P160" i="104" a="1"/>
  <c r="P160" i="104" s="1"/>
  <c r="O160" i="104" a="1"/>
  <c r="O160" i="104" s="1"/>
  <c r="N160" i="104" a="1"/>
  <c r="N160" i="104" s="1"/>
  <c r="M160" i="104" a="1"/>
  <c r="M160" i="104" s="1"/>
  <c r="L160" i="104" a="1"/>
  <c r="L160" i="104" s="1"/>
  <c r="K160" i="104" a="1"/>
  <c r="K160" i="104" s="1"/>
  <c r="J160" i="104" a="1"/>
  <c r="J160" i="104" s="1"/>
  <c r="I160" i="104" a="1"/>
  <c r="I160" i="104" s="1"/>
  <c r="H160" i="104" a="1"/>
  <c r="H160" i="104" s="1"/>
  <c r="G160" i="104" a="1"/>
  <c r="G160" i="104" s="1"/>
  <c r="F160" i="104" a="1"/>
  <c r="F160" i="104" s="1"/>
  <c r="E160" i="104" a="1"/>
  <c r="E160" i="104" s="1"/>
  <c r="D160" i="104" a="1"/>
  <c r="D160" i="104" s="1"/>
  <c r="AH159" i="104" a="1"/>
  <c r="AH159" i="104" s="1"/>
  <c r="AG159" i="104" a="1"/>
  <c r="AG159" i="104" s="1"/>
  <c r="AF159" i="104" a="1"/>
  <c r="AF159" i="104" s="1"/>
  <c r="AE159" i="104" a="1"/>
  <c r="AE159" i="104" s="1"/>
  <c r="AD159" i="104" a="1"/>
  <c r="AD159" i="104" s="1"/>
  <c r="AC159" i="104" a="1"/>
  <c r="AC159" i="104" s="1"/>
  <c r="AB159" i="104" a="1"/>
  <c r="AB159" i="104" s="1"/>
  <c r="AA159" i="104" a="1"/>
  <c r="AA159" i="104" s="1"/>
  <c r="Z159" i="104" a="1"/>
  <c r="Z159" i="104" s="1"/>
  <c r="Y159" i="104" a="1"/>
  <c r="Y159" i="104" s="1"/>
  <c r="X159" i="104" a="1"/>
  <c r="X159" i="104" s="1"/>
  <c r="W159" i="104" a="1"/>
  <c r="W159" i="104" s="1"/>
  <c r="V159" i="104" a="1"/>
  <c r="V159" i="104" s="1"/>
  <c r="U159" i="104" a="1"/>
  <c r="U159" i="104" s="1"/>
  <c r="T159" i="104" a="1"/>
  <c r="T159" i="104" s="1"/>
  <c r="S159" i="104" a="1"/>
  <c r="S159" i="104" s="1"/>
  <c r="R159" i="104" a="1"/>
  <c r="R159" i="104" s="1"/>
  <c r="Q159" i="104" a="1"/>
  <c r="Q159" i="104" s="1"/>
  <c r="P159" i="104" a="1"/>
  <c r="P159" i="104" s="1"/>
  <c r="O159" i="104" a="1"/>
  <c r="O159" i="104" s="1"/>
  <c r="N159" i="104" a="1"/>
  <c r="N159" i="104" s="1"/>
  <c r="M159" i="104" a="1"/>
  <c r="M159" i="104" s="1"/>
  <c r="L159" i="104" a="1"/>
  <c r="L159" i="104" s="1"/>
  <c r="K159" i="104" a="1"/>
  <c r="K159" i="104" s="1"/>
  <c r="J159" i="104" a="1"/>
  <c r="J159" i="104" s="1"/>
  <c r="I159" i="104" a="1"/>
  <c r="I159" i="104" s="1"/>
  <c r="H159" i="104" a="1"/>
  <c r="H159" i="104" s="1"/>
  <c r="G159" i="104" a="1"/>
  <c r="G159" i="104" s="1"/>
  <c r="F159" i="104" a="1"/>
  <c r="F159" i="104" s="1"/>
  <c r="E159" i="104" a="1"/>
  <c r="E159" i="104" s="1"/>
  <c r="D159" i="104" a="1"/>
  <c r="D159" i="104" s="1"/>
  <c r="AH158" i="104" a="1"/>
  <c r="AH158" i="104" s="1"/>
  <c r="AG158" i="104" a="1"/>
  <c r="AG158" i="104" s="1"/>
  <c r="AF158" i="104" a="1"/>
  <c r="AF158" i="104" s="1"/>
  <c r="AE158" i="104" a="1"/>
  <c r="AE158" i="104" s="1"/>
  <c r="AD158" i="104" a="1"/>
  <c r="AD158" i="104" s="1"/>
  <c r="AC158" i="104" a="1"/>
  <c r="AC158" i="104" s="1"/>
  <c r="AB158" i="104" a="1"/>
  <c r="AB158" i="104" s="1"/>
  <c r="AA158" i="104" a="1"/>
  <c r="AA158" i="104" s="1"/>
  <c r="Z158" i="104" a="1"/>
  <c r="Z158" i="104" s="1"/>
  <c r="Y158" i="104" a="1"/>
  <c r="Y158" i="104" s="1"/>
  <c r="X158" i="104" a="1"/>
  <c r="X158" i="104" s="1"/>
  <c r="W158" i="104" a="1"/>
  <c r="W158" i="104" s="1"/>
  <c r="V158" i="104" a="1"/>
  <c r="V158" i="104" s="1"/>
  <c r="U158" i="104" a="1"/>
  <c r="U158" i="104" s="1"/>
  <c r="T158" i="104" a="1"/>
  <c r="T158" i="104" s="1"/>
  <c r="S158" i="104" a="1"/>
  <c r="S158" i="104" s="1"/>
  <c r="R158" i="104" a="1"/>
  <c r="R158" i="104" s="1"/>
  <c r="Q158" i="104" a="1"/>
  <c r="Q158" i="104" s="1"/>
  <c r="P158" i="104" a="1"/>
  <c r="P158" i="104" s="1"/>
  <c r="O158" i="104" a="1"/>
  <c r="O158" i="104" s="1"/>
  <c r="N158" i="104" a="1"/>
  <c r="N158" i="104" s="1"/>
  <c r="M158" i="104" a="1"/>
  <c r="M158" i="104" s="1"/>
  <c r="L158" i="104" a="1"/>
  <c r="L158" i="104" s="1"/>
  <c r="K158" i="104" a="1"/>
  <c r="K158" i="104" s="1"/>
  <c r="J158" i="104" a="1"/>
  <c r="J158" i="104" s="1"/>
  <c r="I158" i="104" a="1"/>
  <c r="I158" i="104" s="1"/>
  <c r="H158" i="104" a="1"/>
  <c r="H158" i="104" s="1"/>
  <c r="G158" i="104" a="1"/>
  <c r="G158" i="104" s="1"/>
  <c r="F158" i="104" a="1"/>
  <c r="F158" i="104" s="1"/>
  <c r="E158" i="104" a="1"/>
  <c r="E158" i="104" s="1"/>
  <c r="D158" i="104" a="1"/>
  <c r="D158" i="104" s="1"/>
  <c r="AH157" i="104" a="1"/>
  <c r="AH157" i="104" s="1"/>
  <c r="AG157" i="104" a="1"/>
  <c r="AG157" i="104" s="1"/>
  <c r="AF157" i="104" a="1"/>
  <c r="AF157" i="104" s="1"/>
  <c r="AE157" i="104" a="1"/>
  <c r="AE157" i="104" s="1"/>
  <c r="AD157" i="104" a="1"/>
  <c r="AD157" i="104" s="1"/>
  <c r="AC157" i="104" a="1"/>
  <c r="AC157" i="104" s="1"/>
  <c r="AB157" i="104" a="1"/>
  <c r="AB157" i="104" s="1"/>
  <c r="AA157" i="104" a="1"/>
  <c r="AA157" i="104" s="1"/>
  <c r="Z157" i="104" a="1"/>
  <c r="Z157" i="104" s="1"/>
  <c r="Y157" i="104" a="1"/>
  <c r="Y157" i="104" s="1"/>
  <c r="X157" i="104" a="1"/>
  <c r="X157" i="104" s="1"/>
  <c r="W157" i="104" a="1"/>
  <c r="W157" i="104" s="1"/>
  <c r="V157" i="104" a="1"/>
  <c r="V157" i="104" s="1"/>
  <c r="U157" i="104" a="1"/>
  <c r="U157" i="104" s="1"/>
  <c r="T157" i="104" a="1"/>
  <c r="T157" i="104" s="1"/>
  <c r="S157" i="104" a="1"/>
  <c r="S157" i="104" s="1"/>
  <c r="R157" i="104" a="1"/>
  <c r="R157" i="104" s="1"/>
  <c r="Q157" i="104" a="1"/>
  <c r="Q157" i="104" s="1"/>
  <c r="P157" i="104" a="1"/>
  <c r="P157" i="104" s="1"/>
  <c r="O157" i="104" a="1"/>
  <c r="O157" i="104" s="1"/>
  <c r="N157" i="104" a="1"/>
  <c r="N157" i="104" s="1"/>
  <c r="M157" i="104" a="1"/>
  <c r="M157" i="104" s="1"/>
  <c r="L157" i="104" a="1"/>
  <c r="L157" i="104" s="1"/>
  <c r="K157" i="104" a="1"/>
  <c r="K157" i="104" s="1"/>
  <c r="J157" i="104" a="1"/>
  <c r="J157" i="104" s="1"/>
  <c r="I157" i="104" a="1"/>
  <c r="I157" i="104" s="1"/>
  <c r="H157" i="104" a="1"/>
  <c r="H157" i="104" s="1"/>
  <c r="G157" i="104" a="1"/>
  <c r="G157" i="104" s="1"/>
  <c r="F157" i="104" a="1"/>
  <c r="F157" i="104" s="1"/>
  <c r="E157" i="104" a="1"/>
  <c r="E157" i="104" s="1"/>
  <c r="D157" i="104" a="1"/>
  <c r="D157" i="104" s="1"/>
  <c r="AH156" i="104" a="1"/>
  <c r="AH156" i="104" s="1"/>
  <c r="AG156" i="104" a="1"/>
  <c r="AG156" i="104" s="1"/>
  <c r="AF156" i="104" a="1"/>
  <c r="AF156" i="104" s="1"/>
  <c r="AE156" i="104" a="1"/>
  <c r="AE156" i="104" s="1"/>
  <c r="AD156" i="104" a="1"/>
  <c r="AD156" i="104" s="1"/>
  <c r="AC156" i="104" a="1"/>
  <c r="AC156" i="104" s="1"/>
  <c r="AB156" i="104" a="1"/>
  <c r="AB156" i="104" s="1"/>
  <c r="AA156" i="104" a="1"/>
  <c r="AA156" i="104" s="1"/>
  <c r="Z156" i="104" a="1"/>
  <c r="Z156" i="104" s="1"/>
  <c r="Y156" i="104" a="1"/>
  <c r="Y156" i="104" s="1"/>
  <c r="X156" i="104" a="1"/>
  <c r="X156" i="104" s="1"/>
  <c r="W156" i="104" a="1"/>
  <c r="W156" i="104" s="1"/>
  <c r="V156" i="104" a="1"/>
  <c r="V156" i="104" s="1"/>
  <c r="U156" i="104" a="1"/>
  <c r="U156" i="104" s="1"/>
  <c r="T156" i="104" a="1"/>
  <c r="T156" i="104" s="1"/>
  <c r="S156" i="104" a="1"/>
  <c r="S156" i="104" s="1"/>
  <c r="R156" i="104" a="1"/>
  <c r="R156" i="104" s="1"/>
  <c r="Q156" i="104" a="1"/>
  <c r="Q156" i="104" s="1"/>
  <c r="P156" i="104" a="1"/>
  <c r="P156" i="104" s="1"/>
  <c r="O156" i="104" a="1"/>
  <c r="O156" i="104" s="1"/>
  <c r="N156" i="104" a="1"/>
  <c r="N156" i="104" s="1"/>
  <c r="M156" i="104" a="1"/>
  <c r="M156" i="104" s="1"/>
  <c r="L156" i="104" a="1"/>
  <c r="L156" i="104" s="1"/>
  <c r="K156" i="104" a="1"/>
  <c r="K156" i="104" s="1"/>
  <c r="J156" i="104" a="1"/>
  <c r="J156" i="104" s="1"/>
  <c r="I156" i="104" a="1"/>
  <c r="I156" i="104" s="1"/>
  <c r="H156" i="104" a="1"/>
  <c r="H156" i="104" s="1"/>
  <c r="G156" i="104" a="1"/>
  <c r="G156" i="104" s="1"/>
  <c r="F156" i="104" a="1"/>
  <c r="F156" i="104" s="1"/>
  <c r="E156" i="104" a="1"/>
  <c r="E156" i="104" s="1"/>
  <c r="D156" i="104" a="1"/>
  <c r="D156" i="104" s="1"/>
  <c r="AH155" i="104" a="1"/>
  <c r="AH155" i="104" s="1"/>
  <c r="AG155" i="104" a="1"/>
  <c r="AG155" i="104" s="1"/>
  <c r="AF155" i="104" a="1"/>
  <c r="AF155" i="104" s="1"/>
  <c r="AE155" i="104" a="1"/>
  <c r="AE155" i="104" s="1"/>
  <c r="AD155" i="104" a="1"/>
  <c r="AD155" i="104" s="1"/>
  <c r="AC155" i="104" a="1"/>
  <c r="AC155" i="104" s="1"/>
  <c r="AB155" i="104" a="1"/>
  <c r="AB155" i="104" s="1"/>
  <c r="AA155" i="104" a="1"/>
  <c r="AA155" i="104" s="1"/>
  <c r="Z155" i="104" a="1"/>
  <c r="Z155" i="104" s="1"/>
  <c r="Y155" i="104" a="1"/>
  <c r="Y155" i="104" s="1"/>
  <c r="X155" i="104" a="1"/>
  <c r="X155" i="104" s="1"/>
  <c r="W155" i="104" a="1"/>
  <c r="W155" i="104" s="1"/>
  <c r="V155" i="104" a="1"/>
  <c r="V155" i="104" s="1"/>
  <c r="U155" i="104" a="1"/>
  <c r="U155" i="104" s="1"/>
  <c r="T155" i="104" a="1"/>
  <c r="T155" i="104" s="1"/>
  <c r="S155" i="104" a="1"/>
  <c r="S155" i="104" s="1"/>
  <c r="R155" i="104" a="1"/>
  <c r="R155" i="104" s="1"/>
  <c r="Q155" i="104" a="1"/>
  <c r="Q155" i="104" s="1"/>
  <c r="P155" i="104" a="1"/>
  <c r="P155" i="104" s="1"/>
  <c r="O155" i="104" a="1"/>
  <c r="O155" i="104" s="1"/>
  <c r="N155" i="104" a="1"/>
  <c r="N155" i="104" s="1"/>
  <c r="M155" i="104" a="1"/>
  <c r="M155" i="104" s="1"/>
  <c r="L155" i="104" a="1"/>
  <c r="L155" i="104" s="1"/>
  <c r="K155" i="104" a="1"/>
  <c r="K155" i="104" s="1"/>
  <c r="J155" i="104" a="1"/>
  <c r="J155" i="104" s="1"/>
  <c r="I155" i="104" a="1"/>
  <c r="I155" i="104" s="1"/>
  <c r="H155" i="104" a="1"/>
  <c r="H155" i="104" s="1"/>
  <c r="G155" i="104" a="1"/>
  <c r="G155" i="104" s="1"/>
  <c r="F155" i="104" a="1"/>
  <c r="F155" i="104" s="1"/>
  <c r="E155" i="104" a="1"/>
  <c r="E155" i="104" s="1"/>
  <c r="D155" i="104" a="1"/>
  <c r="D155" i="104" s="1"/>
  <c r="AH154" i="104" a="1"/>
  <c r="AH154" i="104" s="1"/>
  <c r="AG154" i="104" a="1"/>
  <c r="AG154" i="104" s="1"/>
  <c r="AF154" i="104" a="1"/>
  <c r="AF154" i="104" s="1"/>
  <c r="AE154" i="104" a="1"/>
  <c r="AE154" i="104" s="1"/>
  <c r="AD154" i="104" a="1"/>
  <c r="AD154" i="104" s="1"/>
  <c r="AC154" i="104" a="1"/>
  <c r="AC154" i="104" s="1"/>
  <c r="AB154" i="104" a="1"/>
  <c r="AB154" i="104" s="1"/>
  <c r="AA154" i="104" a="1"/>
  <c r="AA154" i="104" s="1"/>
  <c r="Z154" i="104" a="1"/>
  <c r="Z154" i="104" s="1"/>
  <c r="Y154" i="104" a="1"/>
  <c r="Y154" i="104" s="1"/>
  <c r="X154" i="104" a="1"/>
  <c r="X154" i="104" s="1"/>
  <c r="W154" i="104" a="1"/>
  <c r="W154" i="104" s="1"/>
  <c r="V154" i="104" a="1"/>
  <c r="V154" i="104" s="1"/>
  <c r="U154" i="104" a="1"/>
  <c r="U154" i="104" s="1"/>
  <c r="T154" i="104" a="1"/>
  <c r="T154" i="104" s="1"/>
  <c r="S154" i="104" a="1"/>
  <c r="S154" i="104" s="1"/>
  <c r="R154" i="104" a="1"/>
  <c r="R154" i="104" s="1"/>
  <c r="Q154" i="104" a="1"/>
  <c r="Q154" i="104" s="1"/>
  <c r="P154" i="104" a="1"/>
  <c r="P154" i="104" s="1"/>
  <c r="O154" i="104" a="1"/>
  <c r="O154" i="104" s="1"/>
  <c r="N154" i="104" a="1"/>
  <c r="N154" i="104" s="1"/>
  <c r="M154" i="104" a="1"/>
  <c r="M154" i="104" s="1"/>
  <c r="L154" i="104" a="1"/>
  <c r="L154" i="104" s="1"/>
  <c r="K154" i="104" a="1"/>
  <c r="K154" i="104" s="1"/>
  <c r="J154" i="104" a="1"/>
  <c r="J154" i="104" s="1"/>
  <c r="I154" i="104" a="1"/>
  <c r="I154" i="104" s="1"/>
  <c r="H154" i="104" a="1"/>
  <c r="H154" i="104" s="1"/>
  <c r="G154" i="104" a="1"/>
  <c r="G154" i="104" s="1"/>
  <c r="F154" i="104" a="1"/>
  <c r="F154" i="104" s="1"/>
  <c r="E154" i="104" a="1"/>
  <c r="E154" i="104" s="1"/>
  <c r="D154" i="104" a="1"/>
  <c r="D154" i="104" s="1"/>
  <c r="AH153" i="104" a="1"/>
  <c r="AH153" i="104" s="1"/>
  <c r="AG153" i="104" a="1"/>
  <c r="AG153" i="104" s="1"/>
  <c r="AF153" i="104" a="1"/>
  <c r="AF153" i="104" s="1"/>
  <c r="AE153" i="104" a="1"/>
  <c r="AE153" i="104" s="1"/>
  <c r="AD153" i="104" a="1"/>
  <c r="AD153" i="104" s="1"/>
  <c r="AC153" i="104" a="1"/>
  <c r="AC153" i="104" s="1"/>
  <c r="AB153" i="104" a="1"/>
  <c r="AB153" i="104" s="1"/>
  <c r="AA153" i="104" a="1"/>
  <c r="AA153" i="104" s="1"/>
  <c r="Z153" i="104" a="1"/>
  <c r="Z153" i="104" s="1"/>
  <c r="Y153" i="104" a="1"/>
  <c r="Y153" i="104" s="1"/>
  <c r="X153" i="104" a="1"/>
  <c r="X153" i="104" s="1"/>
  <c r="W153" i="104" a="1"/>
  <c r="W153" i="104" s="1"/>
  <c r="V153" i="104" a="1"/>
  <c r="V153" i="104" s="1"/>
  <c r="U153" i="104" a="1"/>
  <c r="U153" i="104" s="1"/>
  <c r="T153" i="104" a="1"/>
  <c r="T153" i="104" s="1"/>
  <c r="S153" i="104" a="1"/>
  <c r="S153" i="104" s="1"/>
  <c r="R153" i="104" a="1"/>
  <c r="R153" i="104" s="1"/>
  <c r="Q153" i="104" a="1"/>
  <c r="Q153" i="104" s="1"/>
  <c r="P153" i="104" a="1"/>
  <c r="P153" i="104" s="1"/>
  <c r="O153" i="104" a="1"/>
  <c r="O153" i="104" s="1"/>
  <c r="N153" i="104" a="1"/>
  <c r="N153" i="104" s="1"/>
  <c r="M153" i="104" a="1"/>
  <c r="M153" i="104" s="1"/>
  <c r="L153" i="104" a="1"/>
  <c r="L153" i="104" s="1"/>
  <c r="K153" i="104" a="1"/>
  <c r="K153" i="104" s="1"/>
  <c r="J153" i="104" a="1"/>
  <c r="J153" i="104" s="1"/>
  <c r="I153" i="104" a="1"/>
  <c r="I153" i="104" s="1"/>
  <c r="H153" i="104" a="1"/>
  <c r="H153" i="104" s="1"/>
  <c r="G153" i="104" a="1"/>
  <c r="G153" i="104" s="1"/>
  <c r="F153" i="104" a="1"/>
  <c r="F153" i="104" s="1"/>
  <c r="E153" i="104" a="1"/>
  <c r="E153" i="104" s="1"/>
  <c r="D153" i="104" a="1"/>
  <c r="D153" i="104" s="1"/>
  <c r="AH152" i="104" a="1"/>
  <c r="AH152" i="104" s="1"/>
  <c r="AG152" i="104" a="1"/>
  <c r="AG152" i="104" s="1"/>
  <c r="AF152" i="104" a="1"/>
  <c r="AF152" i="104" s="1"/>
  <c r="AE152" i="104" a="1"/>
  <c r="AE152" i="104" s="1"/>
  <c r="AD152" i="104" a="1"/>
  <c r="AD152" i="104" s="1"/>
  <c r="AC152" i="104" a="1"/>
  <c r="AC152" i="104" s="1"/>
  <c r="AB152" i="104" a="1"/>
  <c r="AB152" i="104" s="1"/>
  <c r="AA152" i="104" a="1"/>
  <c r="AA152" i="104" s="1"/>
  <c r="Z152" i="104" a="1"/>
  <c r="Z152" i="104" s="1"/>
  <c r="Y152" i="104" a="1"/>
  <c r="Y152" i="104" s="1"/>
  <c r="X152" i="104" a="1"/>
  <c r="X152" i="104" s="1"/>
  <c r="W152" i="104" a="1"/>
  <c r="W152" i="104" s="1"/>
  <c r="V152" i="104" a="1"/>
  <c r="V152" i="104" s="1"/>
  <c r="U152" i="104" a="1"/>
  <c r="U152" i="104" s="1"/>
  <c r="T152" i="104" a="1"/>
  <c r="T152" i="104" s="1"/>
  <c r="S152" i="104" a="1"/>
  <c r="S152" i="104" s="1"/>
  <c r="R152" i="104" a="1"/>
  <c r="R152" i="104" s="1"/>
  <c r="Q152" i="104" a="1"/>
  <c r="Q152" i="104" s="1"/>
  <c r="P152" i="104" a="1"/>
  <c r="P152" i="104" s="1"/>
  <c r="O152" i="104" a="1"/>
  <c r="O152" i="104" s="1"/>
  <c r="N152" i="104" a="1"/>
  <c r="N152" i="104" s="1"/>
  <c r="M152" i="104" a="1"/>
  <c r="M152" i="104" s="1"/>
  <c r="L152" i="104" a="1"/>
  <c r="L152" i="104" s="1"/>
  <c r="K152" i="104" a="1"/>
  <c r="K152" i="104" s="1"/>
  <c r="J152" i="104" a="1"/>
  <c r="J152" i="104" s="1"/>
  <c r="I152" i="104" a="1"/>
  <c r="I152" i="104" s="1"/>
  <c r="H152" i="104" a="1"/>
  <c r="H152" i="104" s="1"/>
  <c r="G152" i="104" a="1"/>
  <c r="G152" i="104" s="1"/>
  <c r="F152" i="104" a="1"/>
  <c r="F152" i="104" s="1"/>
  <c r="E152" i="104" a="1"/>
  <c r="E152" i="104" s="1"/>
  <c r="D152" i="104" a="1"/>
  <c r="D152" i="104" s="1"/>
  <c r="AH151" i="104" a="1"/>
  <c r="AH151" i="104" s="1"/>
  <c r="AG151" i="104" a="1"/>
  <c r="AG151" i="104" s="1"/>
  <c r="AF151" i="104" a="1"/>
  <c r="AF151" i="104" s="1"/>
  <c r="AE151" i="104" a="1"/>
  <c r="AE151" i="104" s="1"/>
  <c r="AD151" i="104" a="1"/>
  <c r="AD151" i="104" s="1"/>
  <c r="AC151" i="104" a="1"/>
  <c r="AC151" i="104" s="1"/>
  <c r="AB151" i="104" a="1"/>
  <c r="AB151" i="104" s="1"/>
  <c r="AA151" i="104" a="1"/>
  <c r="AA151" i="104" s="1"/>
  <c r="Z151" i="104" a="1"/>
  <c r="Z151" i="104" s="1"/>
  <c r="Y151" i="104" a="1"/>
  <c r="Y151" i="104" s="1"/>
  <c r="X151" i="104" a="1"/>
  <c r="X151" i="104" s="1"/>
  <c r="W151" i="104" a="1"/>
  <c r="W151" i="104" s="1"/>
  <c r="V151" i="104" a="1"/>
  <c r="V151" i="104" s="1"/>
  <c r="U151" i="104" a="1"/>
  <c r="U151" i="104" s="1"/>
  <c r="T151" i="104" a="1"/>
  <c r="T151" i="104" s="1"/>
  <c r="S151" i="104" a="1"/>
  <c r="S151" i="104" s="1"/>
  <c r="R151" i="104" a="1"/>
  <c r="R151" i="104" s="1"/>
  <c r="Q151" i="104" a="1"/>
  <c r="Q151" i="104" s="1"/>
  <c r="P151" i="104" a="1"/>
  <c r="P151" i="104" s="1"/>
  <c r="O151" i="104" a="1"/>
  <c r="O151" i="104" s="1"/>
  <c r="N151" i="104" a="1"/>
  <c r="N151" i="104" s="1"/>
  <c r="M151" i="104" a="1"/>
  <c r="M151" i="104" s="1"/>
  <c r="L151" i="104" a="1"/>
  <c r="L151" i="104" s="1"/>
  <c r="K151" i="104" a="1"/>
  <c r="K151" i="104" s="1"/>
  <c r="J151" i="104" a="1"/>
  <c r="J151" i="104" s="1"/>
  <c r="I151" i="104" a="1"/>
  <c r="I151" i="104" s="1"/>
  <c r="H151" i="104" a="1"/>
  <c r="H151" i="104" s="1"/>
  <c r="G151" i="104" a="1"/>
  <c r="G151" i="104" s="1"/>
  <c r="F151" i="104" a="1"/>
  <c r="F151" i="104" s="1"/>
  <c r="E151" i="104" a="1"/>
  <c r="E151" i="104" s="1"/>
  <c r="D151" i="104" a="1"/>
  <c r="D151" i="104" s="1"/>
  <c r="AH150" i="104" a="1"/>
  <c r="AH150" i="104" s="1"/>
  <c r="AG150" i="104" a="1"/>
  <c r="AG150" i="104" s="1"/>
  <c r="AF150" i="104" a="1"/>
  <c r="AF150" i="104" s="1"/>
  <c r="AE150" i="104" a="1"/>
  <c r="AE150" i="104" s="1"/>
  <c r="AD150" i="104" a="1"/>
  <c r="AD150" i="104" s="1"/>
  <c r="AC150" i="104" a="1"/>
  <c r="AC150" i="104" s="1"/>
  <c r="AB150" i="104" a="1"/>
  <c r="AB150" i="104" s="1"/>
  <c r="AA150" i="104" a="1"/>
  <c r="AA150" i="104" s="1"/>
  <c r="Z150" i="104" a="1"/>
  <c r="Z150" i="104" s="1"/>
  <c r="Y150" i="104" a="1"/>
  <c r="Y150" i="104" s="1"/>
  <c r="X150" i="104" a="1"/>
  <c r="X150" i="104" s="1"/>
  <c r="W150" i="104" a="1"/>
  <c r="W150" i="104" s="1"/>
  <c r="V150" i="104" a="1"/>
  <c r="V150" i="104" s="1"/>
  <c r="U150" i="104" a="1"/>
  <c r="U150" i="104" s="1"/>
  <c r="T150" i="104" a="1"/>
  <c r="T150" i="104" s="1"/>
  <c r="S150" i="104" a="1"/>
  <c r="S150" i="104" s="1"/>
  <c r="R150" i="104" a="1"/>
  <c r="R150" i="104" s="1"/>
  <c r="Q150" i="104" a="1"/>
  <c r="Q150" i="104" s="1"/>
  <c r="P150" i="104" a="1"/>
  <c r="P150" i="104" s="1"/>
  <c r="O150" i="104" a="1"/>
  <c r="O150" i="104" s="1"/>
  <c r="N150" i="104" a="1"/>
  <c r="N150" i="104" s="1"/>
  <c r="M150" i="104" a="1"/>
  <c r="M150" i="104" s="1"/>
  <c r="L150" i="104" a="1"/>
  <c r="L150" i="104" s="1"/>
  <c r="K150" i="104" a="1"/>
  <c r="K150" i="104" s="1"/>
  <c r="J150" i="104" a="1"/>
  <c r="J150" i="104" s="1"/>
  <c r="I150" i="104" a="1"/>
  <c r="I150" i="104" s="1"/>
  <c r="H150" i="104" a="1"/>
  <c r="H150" i="104" s="1"/>
  <c r="G150" i="104" a="1"/>
  <c r="G150" i="104" s="1"/>
  <c r="F150" i="104" a="1"/>
  <c r="F150" i="104" s="1"/>
  <c r="E150" i="104" a="1"/>
  <c r="E150" i="104" s="1"/>
  <c r="D150" i="104" a="1"/>
  <c r="D150" i="104" s="1"/>
  <c r="AH149" i="104" a="1"/>
  <c r="AH149" i="104" s="1"/>
  <c r="AG149" i="104" a="1"/>
  <c r="AG149" i="104" s="1"/>
  <c r="AF149" i="104" a="1"/>
  <c r="AF149" i="104" s="1"/>
  <c r="AE149" i="104" a="1"/>
  <c r="AE149" i="104" s="1"/>
  <c r="AD149" i="104" a="1"/>
  <c r="AD149" i="104" s="1"/>
  <c r="AC149" i="104" a="1"/>
  <c r="AC149" i="104" s="1"/>
  <c r="AB149" i="104" a="1"/>
  <c r="AB149" i="104" s="1"/>
  <c r="AA149" i="104" a="1"/>
  <c r="AA149" i="104" s="1"/>
  <c r="Z149" i="104" a="1"/>
  <c r="Z149" i="104" s="1"/>
  <c r="Y149" i="104" a="1"/>
  <c r="Y149" i="104" s="1"/>
  <c r="X149" i="104" a="1"/>
  <c r="X149" i="104" s="1"/>
  <c r="W149" i="104" a="1"/>
  <c r="W149" i="104" s="1"/>
  <c r="V149" i="104" a="1"/>
  <c r="V149" i="104" s="1"/>
  <c r="U149" i="104" a="1"/>
  <c r="U149" i="104" s="1"/>
  <c r="T149" i="104" a="1"/>
  <c r="T149" i="104" s="1"/>
  <c r="S149" i="104" a="1"/>
  <c r="S149" i="104" s="1"/>
  <c r="R149" i="104" a="1"/>
  <c r="R149" i="104" s="1"/>
  <c r="Q149" i="104" a="1"/>
  <c r="Q149" i="104" s="1"/>
  <c r="P149" i="104" a="1"/>
  <c r="P149" i="104" s="1"/>
  <c r="O149" i="104" a="1"/>
  <c r="O149" i="104" s="1"/>
  <c r="N149" i="104" a="1"/>
  <c r="N149" i="104" s="1"/>
  <c r="M149" i="104" a="1"/>
  <c r="M149" i="104" s="1"/>
  <c r="L149" i="104" a="1"/>
  <c r="L149" i="104" s="1"/>
  <c r="K149" i="104" a="1"/>
  <c r="K149" i="104" s="1"/>
  <c r="J149" i="104" a="1"/>
  <c r="J149" i="104" s="1"/>
  <c r="I149" i="104" a="1"/>
  <c r="I149" i="104" s="1"/>
  <c r="H149" i="104" a="1"/>
  <c r="H149" i="104" s="1"/>
  <c r="G149" i="104" a="1"/>
  <c r="G149" i="104" s="1"/>
  <c r="F149" i="104" a="1"/>
  <c r="F149" i="104" s="1"/>
  <c r="E149" i="104" a="1"/>
  <c r="E149" i="104" s="1"/>
  <c r="D149" i="104" a="1"/>
  <c r="D149" i="104" s="1"/>
  <c r="AH148" i="104" a="1"/>
  <c r="AH148" i="104" s="1"/>
  <c r="AG148" i="104" a="1"/>
  <c r="AG148" i="104" s="1"/>
  <c r="AF148" i="104" a="1"/>
  <c r="AF148" i="104" s="1"/>
  <c r="AE148" i="104" a="1"/>
  <c r="AE148" i="104" s="1"/>
  <c r="AD148" i="104" a="1"/>
  <c r="AD148" i="104" s="1"/>
  <c r="AC148" i="104" a="1"/>
  <c r="AC148" i="104" s="1"/>
  <c r="AB148" i="104" a="1"/>
  <c r="AB148" i="104" s="1"/>
  <c r="AA148" i="104" a="1"/>
  <c r="AA148" i="104" s="1"/>
  <c r="Z148" i="104" a="1"/>
  <c r="Z148" i="104" s="1"/>
  <c r="Y148" i="104" a="1"/>
  <c r="Y148" i="104" s="1"/>
  <c r="X148" i="104" a="1"/>
  <c r="X148" i="104" s="1"/>
  <c r="W148" i="104" a="1"/>
  <c r="W148" i="104" s="1"/>
  <c r="V148" i="104" a="1"/>
  <c r="V148" i="104" s="1"/>
  <c r="U148" i="104" a="1"/>
  <c r="U148" i="104" s="1"/>
  <c r="T148" i="104" a="1"/>
  <c r="T148" i="104" s="1"/>
  <c r="S148" i="104" a="1"/>
  <c r="S148" i="104" s="1"/>
  <c r="R148" i="104" a="1"/>
  <c r="R148" i="104" s="1"/>
  <c r="Q148" i="104" a="1"/>
  <c r="Q148" i="104" s="1"/>
  <c r="P148" i="104" a="1"/>
  <c r="P148" i="104" s="1"/>
  <c r="O148" i="104" a="1"/>
  <c r="O148" i="104" s="1"/>
  <c r="N148" i="104" a="1"/>
  <c r="N148" i="104" s="1"/>
  <c r="M148" i="104" a="1"/>
  <c r="M148" i="104" s="1"/>
  <c r="L148" i="104" a="1"/>
  <c r="L148" i="104" s="1"/>
  <c r="K148" i="104" a="1"/>
  <c r="K148" i="104" s="1"/>
  <c r="J148" i="104" a="1"/>
  <c r="J148" i="104" s="1"/>
  <c r="I148" i="104" a="1"/>
  <c r="I148" i="104" s="1"/>
  <c r="H148" i="104" a="1"/>
  <c r="H148" i="104" s="1"/>
  <c r="G148" i="104" a="1"/>
  <c r="G148" i="104" s="1"/>
  <c r="F148" i="104" a="1"/>
  <c r="F148" i="104" s="1"/>
  <c r="E148" i="104" a="1"/>
  <c r="E148" i="104" s="1"/>
  <c r="D148" i="104" a="1"/>
  <c r="D148" i="104" s="1"/>
  <c r="AH147" i="104" a="1"/>
  <c r="AH147" i="104" s="1"/>
  <c r="AG147" i="104" a="1"/>
  <c r="AG147" i="104" s="1"/>
  <c r="AF147" i="104" a="1"/>
  <c r="AF147" i="104" s="1"/>
  <c r="AE147" i="104" a="1"/>
  <c r="AE147" i="104" s="1"/>
  <c r="AD147" i="104" a="1"/>
  <c r="AD147" i="104" s="1"/>
  <c r="AC147" i="104" a="1"/>
  <c r="AC147" i="104" s="1"/>
  <c r="AB147" i="104" a="1"/>
  <c r="AB147" i="104" s="1"/>
  <c r="AA147" i="104" a="1"/>
  <c r="AA147" i="104" s="1"/>
  <c r="Z147" i="104" a="1"/>
  <c r="Z147" i="104" s="1"/>
  <c r="Y147" i="104" a="1"/>
  <c r="Y147" i="104" s="1"/>
  <c r="X147" i="104" a="1"/>
  <c r="X147" i="104" s="1"/>
  <c r="W147" i="104" a="1"/>
  <c r="W147" i="104" s="1"/>
  <c r="V147" i="104" a="1"/>
  <c r="V147" i="104" s="1"/>
  <c r="U147" i="104" a="1"/>
  <c r="U147" i="104" s="1"/>
  <c r="T147" i="104" a="1"/>
  <c r="T147" i="104" s="1"/>
  <c r="S147" i="104" a="1"/>
  <c r="S147" i="104" s="1"/>
  <c r="R147" i="104" a="1"/>
  <c r="R147" i="104" s="1"/>
  <c r="Q147" i="104" a="1"/>
  <c r="Q147" i="104" s="1"/>
  <c r="P147" i="104" a="1"/>
  <c r="P147" i="104" s="1"/>
  <c r="O147" i="104" a="1"/>
  <c r="O147" i="104" s="1"/>
  <c r="N147" i="104" a="1"/>
  <c r="N147" i="104" s="1"/>
  <c r="M147" i="104" a="1"/>
  <c r="M147" i="104" s="1"/>
  <c r="L147" i="104" a="1"/>
  <c r="L147" i="104" s="1"/>
  <c r="K147" i="104" a="1"/>
  <c r="K147" i="104" s="1"/>
  <c r="J147" i="104" a="1"/>
  <c r="J147" i="104" s="1"/>
  <c r="I147" i="104" a="1"/>
  <c r="I147" i="104" s="1"/>
  <c r="H147" i="104" a="1"/>
  <c r="H147" i="104" s="1"/>
  <c r="G147" i="104" a="1"/>
  <c r="G147" i="104" s="1"/>
  <c r="F147" i="104" a="1"/>
  <c r="F147" i="104" s="1"/>
  <c r="E147" i="104" a="1"/>
  <c r="E147" i="104" s="1"/>
  <c r="D147" i="104" a="1"/>
  <c r="D147" i="104" s="1"/>
  <c r="AH146" i="104" a="1"/>
  <c r="AH146" i="104" s="1"/>
  <c r="AG146" i="104" a="1"/>
  <c r="AG146" i="104" s="1"/>
  <c r="AF146" i="104" a="1"/>
  <c r="AF146" i="104" s="1"/>
  <c r="AE146" i="104" a="1"/>
  <c r="AE146" i="104" s="1"/>
  <c r="AD146" i="104" a="1"/>
  <c r="AD146" i="104" s="1"/>
  <c r="AC146" i="104" a="1"/>
  <c r="AC146" i="104" s="1"/>
  <c r="AB146" i="104" a="1"/>
  <c r="AB146" i="104" s="1"/>
  <c r="AA146" i="104" a="1"/>
  <c r="AA146" i="104" s="1"/>
  <c r="Z146" i="104" a="1"/>
  <c r="Z146" i="104" s="1"/>
  <c r="Y146" i="104" a="1"/>
  <c r="Y146" i="104" s="1"/>
  <c r="X146" i="104" a="1"/>
  <c r="X146" i="104" s="1"/>
  <c r="W146" i="104" a="1"/>
  <c r="W146" i="104" s="1"/>
  <c r="V146" i="104" a="1"/>
  <c r="V146" i="104" s="1"/>
  <c r="U146" i="104" a="1"/>
  <c r="U146" i="104" s="1"/>
  <c r="T146" i="104" a="1"/>
  <c r="T146" i="104" s="1"/>
  <c r="S146" i="104" a="1"/>
  <c r="S146" i="104" s="1"/>
  <c r="R146" i="104" a="1"/>
  <c r="R146" i="104" s="1"/>
  <c r="Q146" i="104" a="1"/>
  <c r="Q146" i="104" s="1"/>
  <c r="P146" i="104" a="1"/>
  <c r="P146" i="104" s="1"/>
  <c r="O146" i="104" a="1"/>
  <c r="O146" i="104" s="1"/>
  <c r="N146" i="104" a="1"/>
  <c r="N146" i="104" s="1"/>
  <c r="M146" i="104" a="1"/>
  <c r="M146" i="104" s="1"/>
  <c r="L146" i="104" a="1"/>
  <c r="L146" i="104" s="1"/>
  <c r="K146" i="104" a="1"/>
  <c r="K146" i="104" s="1"/>
  <c r="J146" i="104" a="1"/>
  <c r="J146" i="104" s="1"/>
  <c r="I146" i="104" a="1"/>
  <c r="I146" i="104" s="1"/>
  <c r="H146" i="104" a="1"/>
  <c r="H146" i="104" s="1"/>
  <c r="G146" i="104" a="1"/>
  <c r="G146" i="104" s="1"/>
  <c r="F146" i="104" a="1"/>
  <c r="F146" i="104" s="1"/>
  <c r="E146" i="104" a="1"/>
  <c r="E146" i="104" s="1"/>
  <c r="D146" i="104" a="1"/>
  <c r="D146" i="104" s="1"/>
  <c r="AH145" i="104" a="1"/>
  <c r="AH145" i="104" s="1"/>
  <c r="AG145" i="104" a="1"/>
  <c r="AG145" i="104" s="1"/>
  <c r="AF145" i="104" a="1"/>
  <c r="AF145" i="104" s="1"/>
  <c r="AE145" i="104" a="1"/>
  <c r="AE145" i="104" s="1"/>
  <c r="AD145" i="104" a="1"/>
  <c r="AD145" i="104" s="1"/>
  <c r="AC145" i="104" a="1"/>
  <c r="AC145" i="104" s="1"/>
  <c r="AB145" i="104" a="1"/>
  <c r="AB145" i="104" s="1"/>
  <c r="AA145" i="104" a="1"/>
  <c r="AA145" i="104" s="1"/>
  <c r="Z145" i="104" a="1"/>
  <c r="Z145" i="104" s="1"/>
  <c r="Y145" i="104" a="1"/>
  <c r="Y145" i="104" s="1"/>
  <c r="X145" i="104" a="1"/>
  <c r="X145" i="104" s="1"/>
  <c r="W145" i="104" a="1"/>
  <c r="W145" i="104" s="1"/>
  <c r="V145" i="104" a="1"/>
  <c r="V145" i="104" s="1"/>
  <c r="U145" i="104" a="1"/>
  <c r="U145" i="104" s="1"/>
  <c r="T145" i="104" a="1"/>
  <c r="T145" i="104" s="1"/>
  <c r="S145" i="104" a="1"/>
  <c r="S145" i="104" s="1"/>
  <c r="R145" i="104" a="1"/>
  <c r="R145" i="104" s="1"/>
  <c r="Q145" i="104" a="1"/>
  <c r="Q145" i="104" s="1"/>
  <c r="P145" i="104" a="1"/>
  <c r="P145" i="104" s="1"/>
  <c r="O145" i="104" a="1"/>
  <c r="O145" i="104" s="1"/>
  <c r="N145" i="104" a="1"/>
  <c r="N145" i="104" s="1"/>
  <c r="M145" i="104" a="1"/>
  <c r="M145" i="104" s="1"/>
  <c r="L145" i="104" a="1"/>
  <c r="L145" i="104" s="1"/>
  <c r="K145" i="104" a="1"/>
  <c r="K145" i="104" s="1"/>
  <c r="J145" i="104" a="1"/>
  <c r="J145" i="104" s="1"/>
  <c r="I145" i="104" a="1"/>
  <c r="I145" i="104" s="1"/>
  <c r="H145" i="104" a="1"/>
  <c r="H145" i="104" s="1"/>
  <c r="G145" i="104" a="1"/>
  <c r="G145" i="104" s="1"/>
  <c r="F145" i="104" a="1"/>
  <c r="F145" i="104" s="1"/>
  <c r="E145" i="104" a="1"/>
  <c r="E145" i="104" s="1"/>
  <c r="D145" i="104" a="1"/>
  <c r="D145" i="104" s="1"/>
  <c r="AH144" i="104" a="1"/>
  <c r="AH144" i="104" s="1"/>
  <c r="AG144" i="104" a="1"/>
  <c r="AG144" i="104" s="1"/>
  <c r="AF144" i="104" a="1"/>
  <c r="AF144" i="104" s="1"/>
  <c r="AE144" i="104" a="1"/>
  <c r="AE144" i="104" s="1"/>
  <c r="AD144" i="104" a="1"/>
  <c r="AD144" i="104" s="1"/>
  <c r="AC144" i="104" a="1"/>
  <c r="AC144" i="104" s="1"/>
  <c r="AB144" i="104" a="1"/>
  <c r="AB144" i="104" s="1"/>
  <c r="AA144" i="104" a="1"/>
  <c r="AA144" i="104" s="1"/>
  <c r="Z144" i="104" a="1"/>
  <c r="Z144" i="104" s="1"/>
  <c r="Y144" i="104" a="1"/>
  <c r="Y144" i="104" s="1"/>
  <c r="X144" i="104" a="1"/>
  <c r="X144" i="104" s="1"/>
  <c r="W144" i="104" a="1"/>
  <c r="W144" i="104" s="1"/>
  <c r="V144" i="104" a="1"/>
  <c r="V144" i="104" s="1"/>
  <c r="U144" i="104" a="1"/>
  <c r="U144" i="104" s="1"/>
  <c r="T144" i="104" a="1"/>
  <c r="T144" i="104" s="1"/>
  <c r="S144" i="104" a="1"/>
  <c r="S144" i="104" s="1"/>
  <c r="R144" i="104" a="1"/>
  <c r="R144" i="104" s="1"/>
  <c r="Q144" i="104" a="1"/>
  <c r="Q144" i="104" s="1"/>
  <c r="P144" i="104" a="1"/>
  <c r="P144" i="104" s="1"/>
  <c r="O144" i="104" a="1"/>
  <c r="O144" i="104" s="1"/>
  <c r="N144" i="104" a="1"/>
  <c r="N144" i="104" s="1"/>
  <c r="M144" i="104" a="1"/>
  <c r="M144" i="104" s="1"/>
  <c r="L144" i="104" a="1"/>
  <c r="L144" i="104" s="1"/>
  <c r="K144" i="104" a="1"/>
  <c r="K144" i="104" s="1"/>
  <c r="J144" i="104" a="1"/>
  <c r="J144" i="104" s="1"/>
  <c r="I144" i="104" a="1"/>
  <c r="I144" i="104" s="1"/>
  <c r="H144" i="104" a="1"/>
  <c r="H144" i="104" s="1"/>
  <c r="G144" i="104" a="1"/>
  <c r="G144" i="104" s="1"/>
  <c r="F144" i="104" a="1"/>
  <c r="F144" i="104" s="1"/>
  <c r="E144" i="104" a="1"/>
  <c r="E144" i="104" s="1"/>
  <c r="D144" i="104" a="1"/>
  <c r="D144" i="104" s="1"/>
  <c r="AH143" i="104" a="1"/>
  <c r="AH143" i="104" s="1"/>
  <c r="AG143" i="104" a="1"/>
  <c r="AG143" i="104" s="1"/>
  <c r="AF143" i="104" a="1"/>
  <c r="AF143" i="104" s="1"/>
  <c r="AE143" i="104" a="1"/>
  <c r="AE143" i="104" s="1"/>
  <c r="AD143" i="104" a="1"/>
  <c r="AD143" i="104" s="1"/>
  <c r="AC143" i="104" a="1"/>
  <c r="AC143" i="104" s="1"/>
  <c r="AB143" i="104" a="1"/>
  <c r="AB143" i="104" s="1"/>
  <c r="AA143" i="104" a="1"/>
  <c r="AA143" i="104" s="1"/>
  <c r="Z143" i="104" a="1"/>
  <c r="Z143" i="104" s="1"/>
  <c r="Y143" i="104" a="1"/>
  <c r="Y143" i="104" s="1"/>
  <c r="X143" i="104" a="1"/>
  <c r="X143" i="104" s="1"/>
  <c r="W143" i="104" a="1"/>
  <c r="W143" i="104" s="1"/>
  <c r="V143" i="104" a="1"/>
  <c r="V143" i="104" s="1"/>
  <c r="U143" i="104" a="1"/>
  <c r="U143" i="104" s="1"/>
  <c r="T143" i="104" a="1"/>
  <c r="T143" i="104" s="1"/>
  <c r="S143" i="104" a="1"/>
  <c r="S143" i="104" s="1"/>
  <c r="R143" i="104" a="1"/>
  <c r="R143" i="104" s="1"/>
  <c r="Q143" i="104" a="1"/>
  <c r="Q143" i="104" s="1"/>
  <c r="P143" i="104" a="1"/>
  <c r="P143" i="104" s="1"/>
  <c r="O143" i="104" a="1"/>
  <c r="O143" i="104" s="1"/>
  <c r="N143" i="104" a="1"/>
  <c r="N143" i="104" s="1"/>
  <c r="M143" i="104" a="1"/>
  <c r="M143" i="104" s="1"/>
  <c r="L143" i="104" a="1"/>
  <c r="L143" i="104" s="1"/>
  <c r="K143" i="104" a="1"/>
  <c r="K143" i="104" s="1"/>
  <c r="J143" i="104" a="1"/>
  <c r="J143" i="104" s="1"/>
  <c r="I143" i="104" a="1"/>
  <c r="I143" i="104" s="1"/>
  <c r="H143" i="104" a="1"/>
  <c r="H143" i="104" s="1"/>
  <c r="G143" i="104" a="1"/>
  <c r="G143" i="104" s="1"/>
  <c r="F143" i="104" a="1"/>
  <c r="F143" i="104" s="1"/>
  <c r="E143" i="104" a="1"/>
  <c r="E143" i="104" s="1"/>
  <c r="D143" i="104" a="1"/>
  <c r="D143" i="104" s="1"/>
  <c r="AH142" i="104" a="1"/>
  <c r="AH142" i="104" s="1"/>
  <c r="AG142" i="104" a="1"/>
  <c r="AG142" i="104" s="1"/>
  <c r="AF142" i="104" a="1"/>
  <c r="AF142" i="104" s="1"/>
  <c r="AE142" i="104" a="1"/>
  <c r="AE142" i="104" s="1"/>
  <c r="AD142" i="104" a="1"/>
  <c r="AD142" i="104" s="1"/>
  <c r="AC142" i="104" a="1"/>
  <c r="AC142" i="104" s="1"/>
  <c r="AB142" i="104" a="1"/>
  <c r="AB142" i="104" s="1"/>
  <c r="AA142" i="104" a="1"/>
  <c r="AA142" i="104" s="1"/>
  <c r="Z142" i="104" a="1"/>
  <c r="Z142" i="104" s="1"/>
  <c r="Y142" i="104" a="1"/>
  <c r="Y142" i="104" s="1"/>
  <c r="X142" i="104" a="1"/>
  <c r="X142" i="104" s="1"/>
  <c r="W142" i="104" a="1"/>
  <c r="W142" i="104" s="1"/>
  <c r="V142" i="104" a="1"/>
  <c r="V142" i="104" s="1"/>
  <c r="U142" i="104" a="1"/>
  <c r="U142" i="104" s="1"/>
  <c r="T142" i="104" a="1"/>
  <c r="T142" i="104" s="1"/>
  <c r="S142" i="104" a="1"/>
  <c r="S142" i="104" s="1"/>
  <c r="R142" i="104" a="1"/>
  <c r="R142" i="104" s="1"/>
  <c r="Q142" i="104" a="1"/>
  <c r="Q142" i="104" s="1"/>
  <c r="P142" i="104" a="1"/>
  <c r="P142" i="104" s="1"/>
  <c r="O142" i="104" a="1"/>
  <c r="O142" i="104" s="1"/>
  <c r="N142" i="104" a="1"/>
  <c r="N142" i="104" s="1"/>
  <c r="M142" i="104" a="1"/>
  <c r="M142" i="104" s="1"/>
  <c r="L142" i="104" a="1"/>
  <c r="L142" i="104" s="1"/>
  <c r="K142" i="104" a="1"/>
  <c r="K142" i="104" s="1"/>
  <c r="J142" i="104" a="1"/>
  <c r="J142" i="104" s="1"/>
  <c r="I142" i="104" a="1"/>
  <c r="I142" i="104" s="1"/>
  <c r="H142" i="104" a="1"/>
  <c r="H142" i="104" s="1"/>
  <c r="G142" i="104" a="1"/>
  <c r="G142" i="104" s="1"/>
  <c r="F142" i="104" a="1"/>
  <c r="F142" i="104" s="1"/>
  <c r="E142" i="104" a="1"/>
  <c r="E142" i="104" s="1"/>
  <c r="D142" i="104" a="1"/>
  <c r="D142" i="104" s="1"/>
  <c r="AH141" i="104" a="1"/>
  <c r="AH141" i="104" s="1"/>
  <c r="AG141" i="104" a="1"/>
  <c r="AG141" i="104" s="1"/>
  <c r="AF141" i="104" a="1"/>
  <c r="AF141" i="104" s="1"/>
  <c r="AE141" i="104" a="1"/>
  <c r="AE141" i="104" s="1"/>
  <c r="AD141" i="104" a="1"/>
  <c r="AD141" i="104" s="1"/>
  <c r="AC141" i="104" a="1"/>
  <c r="AC141" i="104" s="1"/>
  <c r="AB141" i="104" a="1"/>
  <c r="AB141" i="104" s="1"/>
  <c r="AA141" i="104" a="1"/>
  <c r="AA141" i="104" s="1"/>
  <c r="Z141" i="104" a="1"/>
  <c r="Z141" i="104" s="1"/>
  <c r="Y141" i="104" a="1"/>
  <c r="Y141" i="104" s="1"/>
  <c r="X141" i="104" a="1"/>
  <c r="X141" i="104" s="1"/>
  <c r="W141" i="104" a="1"/>
  <c r="W141" i="104" s="1"/>
  <c r="V141" i="104" a="1"/>
  <c r="V141" i="104" s="1"/>
  <c r="U141" i="104" a="1"/>
  <c r="U141" i="104" s="1"/>
  <c r="T141" i="104" a="1"/>
  <c r="T141" i="104" s="1"/>
  <c r="S141" i="104" a="1"/>
  <c r="S141" i="104" s="1"/>
  <c r="R141" i="104" a="1"/>
  <c r="R141" i="104" s="1"/>
  <c r="Q141" i="104" a="1"/>
  <c r="Q141" i="104" s="1"/>
  <c r="P141" i="104" a="1"/>
  <c r="P141" i="104" s="1"/>
  <c r="O141" i="104" a="1"/>
  <c r="O141" i="104" s="1"/>
  <c r="N141" i="104" a="1"/>
  <c r="N141" i="104" s="1"/>
  <c r="M141" i="104" a="1"/>
  <c r="M141" i="104" s="1"/>
  <c r="L141" i="104" a="1"/>
  <c r="L141" i="104" s="1"/>
  <c r="K141" i="104" a="1"/>
  <c r="K141" i="104" s="1"/>
  <c r="J141" i="104" a="1"/>
  <c r="J141" i="104" s="1"/>
  <c r="I141" i="104" a="1"/>
  <c r="I141" i="104" s="1"/>
  <c r="H141" i="104" a="1"/>
  <c r="H141" i="104" s="1"/>
  <c r="G141" i="104" a="1"/>
  <c r="G141" i="104" s="1"/>
  <c r="F141" i="104" a="1"/>
  <c r="F141" i="104" s="1"/>
  <c r="E141" i="104" a="1"/>
  <c r="E141" i="104" s="1"/>
  <c r="D141" i="104" a="1"/>
  <c r="D141" i="104" s="1"/>
  <c r="AH140" i="104" a="1"/>
  <c r="AH140" i="104" s="1"/>
  <c r="AG140" i="104" a="1"/>
  <c r="AG140" i="104" s="1"/>
  <c r="AF140" i="104" a="1"/>
  <c r="AF140" i="104" s="1"/>
  <c r="AE140" i="104" a="1"/>
  <c r="AE140" i="104" s="1"/>
  <c r="AD140" i="104" a="1"/>
  <c r="AD140" i="104" s="1"/>
  <c r="AC140" i="104" a="1"/>
  <c r="AC140" i="104" s="1"/>
  <c r="AB140" i="104" a="1"/>
  <c r="AB140" i="104" s="1"/>
  <c r="AA140" i="104" a="1"/>
  <c r="AA140" i="104" s="1"/>
  <c r="Z140" i="104" a="1"/>
  <c r="Z140" i="104" s="1"/>
  <c r="Y140" i="104" a="1"/>
  <c r="Y140" i="104" s="1"/>
  <c r="X140" i="104" a="1"/>
  <c r="X140" i="104" s="1"/>
  <c r="W140" i="104" a="1"/>
  <c r="W140" i="104" s="1"/>
  <c r="V140" i="104" a="1"/>
  <c r="V140" i="104" s="1"/>
  <c r="U140" i="104" a="1"/>
  <c r="U140" i="104" s="1"/>
  <c r="T140" i="104" a="1"/>
  <c r="T140" i="104" s="1"/>
  <c r="S140" i="104" a="1"/>
  <c r="S140" i="104" s="1"/>
  <c r="R140" i="104" a="1"/>
  <c r="R140" i="104" s="1"/>
  <c r="Q140" i="104" a="1"/>
  <c r="Q140" i="104" s="1"/>
  <c r="P140" i="104" a="1"/>
  <c r="P140" i="104" s="1"/>
  <c r="O140" i="104" a="1"/>
  <c r="O140" i="104" s="1"/>
  <c r="N140" i="104" a="1"/>
  <c r="N140" i="104" s="1"/>
  <c r="M140" i="104" a="1"/>
  <c r="M140" i="104" s="1"/>
  <c r="L140" i="104" a="1"/>
  <c r="L140" i="104" s="1"/>
  <c r="K140" i="104" a="1"/>
  <c r="K140" i="104" s="1"/>
  <c r="J140" i="104" a="1"/>
  <c r="J140" i="104" s="1"/>
  <c r="I140" i="104" a="1"/>
  <c r="I140" i="104" s="1"/>
  <c r="H140" i="104" a="1"/>
  <c r="H140" i="104" s="1"/>
  <c r="G140" i="104" a="1"/>
  <c r="G140" i="104" s="1"/>
  <c r="F140" i="104" a="1"/>
  <c r="F140" i="104" s="1"/>
  <c r="E140" i="104" a="1"/>
  <c r="E140" i="104" s="1"/>
  <c r="D140" i="104" a="1"/>
  <c r="D140" i="104" s="1"/>
  <c r="AH139" i="104" a="1"/>
  <c r="AH139" i="104" s="1"/>
  <c r="AG139" i="104" a="1"/>
  <c r="AG139" i="104" s="1"/>
  <c r="AF139" i="104" a="1"/>
  <c r="AF139" i="104" s="1"/>
  <c r="AE139" i="104" a="1"/>
  <c r="AE139" i="104" s="1"/>
  <c r="AD139" i="104" a="1"/>
  <c r="AD139" i="104" s="1"/>
  <c r="AC139" i="104" a="1"/>
  <c r="AC139" i="104" s="1"/>
  <c r="AB139" i="104" a="1"/>
  <c r="AB139" i="104" s="1"/>
  <c r="AA139" i="104" a="1"/>
  <c r="AA139" i="104" s="1"/>
  <c r="Z139" i="104" a="1"/>
  <c r="Z139" i="104" s="1"/>
  <c r="Y139" i="104" a="1"/>
  <c r="Y139" i="104" s="1"/>
  <c r="X139" i="104" a="1"/>
  <c r="X139" i="104" s="1"/>
  <c r="W139" i="104" a="1"/>
  <c r="W139" i="104" s="1"/>
  <c r="V139" i="104" a="1"/>
  <c r="V139" i="104" s="1"/>
  <c r="U139" i="104" a="1"/>
  <c r="U139" i="104" s="1"/>
  <c r="T139" i="104" a="1"/>
  <c r="T139" i="104" s="1"/>
  <c r="S139" i="104" a="1"/>
  <c r="S139" i="104" s="1"/>
  <c r="R139" i="104" a="1"/>
  <c r="R139" i="104" s="1"/>
  <c r="Q139" i="104" a="1"/>
  <c r="Q139" i="104" s="1"/>
  <c r="P139" i="104" a="1"/>
  <c r="P139" i="104" s="1"/>
  <c r="O139" i="104" a="1"/>
  <c r="O139" i="104" s="1"/>
  <c r="N139" i="104" a="1"/>
  <c r="N139" i="104" s="1"/>
  <c r="M139" i="104" a="1"/>
  <c r="M139" i="104" s="1"/>
  <c r="L139" i="104" a="1"/>
  <c r="L139" i="104" s="1"/>
  <c r="K139" i="104" a="1"/>
  <c r="K139" i="104" s="1"/>
  <c r="J139" i="104" a="1"/>
  <c r="J139" i="104" s="1"/>
  <c r="I139" i="104" a="1"/>
  <c r="I139" i="104" s="1"/>
  <c r="H139" i="104" a="1"/>
  <c r="H139" i="104" s="1"/>
  <c r="G139" i="104" a="1"/>
  <c r="G139" i="104" s="1"/>
  <c r="F139" i="104" a="1"/>
  <c r="F139" i="104" s="1"/>
  <c r="E139" i="104" a="1"/>
  <c r="E139" i="104" s="1"/>
  <c r="D139" i="104" a="1"/>
  <c r="D139" i="104" s="1"/>
  <c r="AH138" i="104" a="1"/>
  <c r="AH138" i="104" s="1"/>
  <c r="AG138" i="104" a="1"/>
  <c r="AG138" i="104" s="1"/>
  <c r="AF138" i="104" a="1"/>
  <c r="AF138" i="104" s="1"/>
  <c r="AE138" i="104" a="1"/>
  <c r="AE138" i="104" s="1"/>
  <c r="AD138" i="104" a="1"/>
  <c r="AD138" i="104" s="1"/>
  <c r="AC138" i="104" a="1"/>
  <c r="AC138" i="104" s="1"/>
  <c r="AB138" i="104" a="1"/>
  <c r="AB138" i="104" s="1"/>
  <c r="AA138" i="104" a="1"/>
  <c r="AA138" i="104" s="1"/>
  <c r="Z138" i="104" a="1"/>
  <c r="Z138" i="104" s="1"/>
  <c r="Y138" i="104" a="1"/>
  <c r="Y138" i="104" s="1"/>
  <c r="X138" i="104" a="1"/>
  <c r="X138" i="104" s="1"/>
  <c r="W138" i="104" a="1"/>
  <c r="W138" i="104" s="1"/>
  <c r="V138" i="104" a="1"/>
  <c r="V138" i="104" s="1"/>
  <c r="U138" i="104" a="1"/>
  <c r="U138" i="104" s="1"/>
  <c r="T138" i="104" a="1"/>
  <c r="T138" i="104" s="1"/>
  <c r="S138" i="104" a="1"/>
  <c r="S138" i="104" s="1"/>
  <c r="R138" i="104" a="1"/>
  <c r="R138" i="104" s="1"/>
  <c r="Q138" i="104" a="1"/>
  <c r="Q138" i="104" s="1"/>
  <c r="P138" i="104" a="1"/>
  <c r="P138" i="104" s="1"/>
  <c r="O138" i="104" a="1"/>
  <c r="O138" i="104" s="1"/>
  <c r="N138" i="104" a="1"/>
  <c r="N138" i="104" s="1"/>
  <c r="M138" i="104" a="1"/>
  <c r="M138" i="104" s="1"/>
  <c r="L138" i="104" a="1"/>
  <c r="L138" i="104" s="1"/>
  <c r="K138" i="104" a="1"/>
  <c r="K138" i="104" s="1"/>
  <c r="J138" i="104" a="1"/>
  <c r="J138" i="104" s="1"/>
  <c r="I138" i="104" a="1"/>
  <c r="I138" i="104" s="1"/>
  <c r="H138" i="104" a="1"/>
  <c r="H138" i="104" s="1"/>
  <c r="G138" i="104" a="1"/>
  <c r="G138" i="104" s="1"/>
  <c r="F138" i="104" a="1"/>
  <c r="F138" i="104" s="1"/>
  <c r="E138" i="104" a="1"/>
  <c r="E138" i="104" s="1"/>
  <c r="D138" i="104" a="1"/>
  <c r="D138" i="104" s="1"/>
  <c r="AH137" i="104" a="1"/>
  <c r="AH137" i="104" s="1"/>
  <c r="AG137" i="104" a="1"/>
  <c r="AG137" i="104" s="1"/>
  <c r="AF137" i="104" a="1"/>
  <c r="AF137" i="104" s="1"/>
  <c r="AE137" i="104" a="1"/>
  <c r="AE137" i="104" s="1"/>
  <c r="AD137" i="104" a="1"/>
  <c r="AD137" i="104" s="1"/>
  <c r="AC137" i="104" a="1"/>
  <c r="AC137" i="104" s="1"/>
  <c r="AB137" i="104" a="1"/>
  <c r="AB137" i="104" s="1"/>
  <c r="AA137" i="104" a="1"/>
  <c r="AA137" i="104" s="1"/>
  <c r="Z137" i="104" a="1"/>
  <c r="Z137" i="104" s="1"/>
  <c r="Y137" i="104" a="1"/>
  <c r="Y137" i="104" s="1"/>
  <c r="X137" i="104" a="1"/>
  <c r="X137" i="104" s="1"/>
  <c r="W137" i="104" a="1"/>
  <c r="W137" i="104" s="1"/>
  <c r="V137" i="104" a="1"/>
  <c r="V137" i="104" s="1"/>
  <c r="U137" i="104" a="1"/>
  <c r="U137" i="104" s="1"/>
  <c r="T137" i="104" a="1"/>
  <c r="T137" i="104" s="1"/>
  <c r="S137" i="104" a="1"/>
  <c r="S137" i="104" s="1"/>
  <c r="R137" i="104" a="1"/>
  <c r="R137" i="104" s="1"/>
  <c r="Q137" i="104" a="1"/>
  <c r="Q137" i="104" s="1"/>
  <c r="P137" i="104" a="1"/>
  <c r="P137" i="104" s="1"/>
  <c r="O137" i="104" a="1"/>
  <c r="O137" i="104" s="1"/>
  <c r="N137" i="104" a="1"/>
  <c r="N137" i="104" s="1"/>
  <c r="M137" i="104" a="1"/>
  <c r="M137" i="104" s="1"/>
  <c r="L137" i="104" a="1"/>
  <c r="L137" i="104" s="1"/>
  <c r="K137" i="104" a="1"/>
  <c r="K137" i="104" s="1"/>
  <c r="J137" i="104" a="1"/>
  <c r="J137" i="104" s="1"/>
  <c r="I137" i="104" a="1"/>
  <c r="I137" i="104" s="1"/>
  <c r="H137" i="104" a="1"/>
  <c r="H137" i="104" s="1"/>
  <c r="G137" i="104" a="1"/>
  <c r="G137" i="104" s="1"/>
  <c r="F137" i="104" a="1"/>
  <c r="F137" i="104" s="1"/>
  <c r="E137" i="104" a="1"/>
  <c r="E137" i="104" s="1"/>
  <c r="D137" i="104" a="1"/>
  <c r="D137" i="104" s="1"/>
  <c r="AH136" i="104" a="1"/>
  <c r="AH136" i="104" s="1"/>
  <c r="AG136" i="104" a="1"/>
  <c r="AG136" i="104" s="1"/>
  <c r="AF136" i="104" a="1"/>
  <c r="AF136" i="104" s="1"/>
  <c r="AE136" i="104" a="1"/>
  <c r="AE136" i="104" s="1"/>
  <c r="AD136" i="104" a="1"/>
  <c r="AD136" i="104" s="1"/>
  <c r="AC136" i="104" a="1"/>
  <c r="AC136" i="104" s="1"/>
  <c r="AB136" i="104" a="1"/>
  <c r="AB136" i="104" s="1"/>
  <c r="AA136" i="104" a="1"/>
  <c r="AA136" i="104" s="1"/>
  <c r="Z136" i="104" a="1"/>
  <c r="Z136" i="104" s="1"/>
  <c r="Y136" i="104" a="1"/>
  <c r="Y136" i="104" s="1"/>
  <c r="X136" i="104" a="1"/>
  <c r="X136" i="104" s="1"/>
  <c r="W136" i="104" a="1"/>
  <c r="W136" i="104" s="1"/>
  <c r="V136" i="104" a="1"/>
  <c r="V136" i="104" s="1"/>
  <c r="U136" i="104" a="1"/>
  <c r="U136" i="104" s="1"/>
  <c r="T136" i="104" a="1"/>
  <c r="T136" i="104" s="1"/>
  <c r="S136" i="104" a="1"/>
  <c r="S136" i="104" s="1"/>
  <c r="R136" i="104" a="1"/>
  <c r="R136" i="104" s="1"/>
  <c r="Q136" i="104" a="1"/>
  <c r="Q136" i="104" s="1"/>
  <c r="P136" i="104" a="1"/>
  <c r="P136" i="104" s="1"/>
  <c r="O136" i="104" a="1"/>
  <c r="O136" i="104" s="1"/>
  <c r="N136" i="104" a="1"/>
  <c r="N136" i="104" s="1"/>
  <c r="M136" i="104" a="1"/>
  <c r="M136" i="104" s="1"/>
  <c r="L136" i="104" a="1"/>
  <c r="L136" i="104" s="1"/>
  <c r="K136" i="104" a="1"/>
  <c r="K136" i="104" s="1"/>
  <c r="J136" i="104" a="1"/>
  <c r="J136" i="104" s="1"/>
  <c r="I136" i="104" a="1"/>
  <c r="I136" i="104" s="1"/>
  <c r="H136" i="104" a="1"/>
  <c r="H136" i="104" s="1"/>
  <c r="G136" i="104" a="1"/>
  <c r="G136" i="104" s="1"/>
  <c r="F136" i="104" a="1"/>
  <c r="F136" i="104" s="1"/>
  <c r="E136" i="104" a="1"/>
  <c r="E136" i="104" s="1"/>
  <c r="D136" i="104" a="1"/>
  <c r="D136" i="104" s="1"/>
  <c r="AH135" i="104" a="1"/>
  <c r="AH135" i="104" s="1"/>
  <c r="AG135" i="104" a="1"/>
  <c r="AG135" i="104" s="1"/>
  <c r="AF135" i="104" a="1"/>
  <c r="AF135" i="104" s="1"/>
  <c r="AE135" i="104" a="1"/>
  <c r="AE135" i="104" s="1"/>
  <c r="AD135" i="104" a="1"/>
  <c r="AD135" i="104" s="1"/>
  <c r="AC135" i="104" a="1"/>
  <c r="AC135" i="104" s="1"/>
  <c r="AB135" i="104" a="1"/>
  <c r="AB135" i="104" s="1"/>
  <c r="AA135" i="104" a="1"/>
  <c r="AA135" i="104" s="1"/>
  <c r="Z135" i="104" a="1"/>
  <c r="Z135" i="104" s="1"/>
  <c r="Y135" i="104" a="1"/>
  <c r="Y135" i="104" s="1"/>
  <c r="X135" i="104" a="1"/>
  <c r="X135" i="104" s="1"/>
  <c r="W135" i="104" a="1"/>
  <c r="W135" i="104" s="1"/>
  <c r="V135" i="104" a="1"/>
  <c r="V135" i="104" s="1"/>
  <c r="U135" i="104" a="1"/>
  <c r="U135" i="104" s="1"/>
  <c r="T135" i="104" a="1"/>
  <c r="T135" i="104" s="1"/>
  <c r="S135" i="104" a="1"/>
  <c r="S135" i="104" s="1"/>
  <c r="R135" i="104" a="1"/>
  <c r="R135" i="104" s="1"/>
  <c r="Q135" i="104" a="1"/>
  <c r="Q135" i="104" s="1"/>
  <c r="P135" i="104" a="1"/>
  <c r="P135" i="104" s="1"/>
  <c r="O135" i="104" a="1"/>
  <c r="O135" i="104" s="1"/>
  <c r="N135" i="104" a="1"/>
  <c r="N135" i="104" s="1"/>
  <c r="M135" i="104" a="1"/>
  <c r="M135" i="104" s="1"/>
  <c r="L135" i="104" a="1"/>
  <c r="L135" i="104" s="1"/>
  <c r="K135" i="104" a="1"/>
  <c r="K135" i="104" s="1"/>
  <c r="J135" i="104" a="1"/>
  <c r="J135" i="104" s="1"/>
  <c r="I135" i="104" a="1"/>
  <c r="I135" i="104" s="1"/>
  <c r="H135" i="104" a="1"/>
  <c r="H135" i="104" s="1"/>
  <c r="G135" i="104" a="1"/>
  <c r="G135" i="104" s="1"/>
  <c r="F135" i="104" a="1"/>
  <c r="F135" i="104" s="1"/>
  <c r="E135" i="104" a="1"/>
  <c r="E135" i="104" s="1"/>
  <c r="D135" i="104" a="1"/>
  <c r="D135" i="104" s="1"/>
  <c r="AH134" i="104" a="1"/>
  <c r="AH134" i="104" s="1"/>
  <c r="AG134" i="104" a="1"/>
  <c r="AG134" i="104" s="1"/>
  <c r="AF134" i="104" a="1"/>
  <c r="AF134" i="104" s="1"/>
  <c r="AE134" i="104" a="1"/>
  <c r="AE134" i="104" s="1"/>
  <c r="AD134" i="104" a="1"/>
  <c r="AD134" i="104" s="1"/>
  <c r="AC134" i="104" a="1"/>
  <c r="AC134" i="104" s="1"/>
  <c r="AB134" i="104" a="1"/>
  <c r="AB134" i="104" s="1"/>
  <c r="AA134" i="104" a="1"/>
  <c r="AA134" i="104" s="1"/>
  <c r="Z134" i="104" a="1"/>
  <c r="Z134" i="104" s="1"/>
  <c r="Y134" i="104" a="1"/>
  <c r="Y134" i="104" s="1"/>
  <c r="X134" i="104" a="1"/>
  <c r="X134" i="104" s="1"/>
  <c r="W134" i="104" a="1"/>
  <c r="W134" i="104" s="1"/>
  <c r="V134" i="104" a="1"/>
  <c r="V134" i="104" s="1"/>
  <c r="U134" i="104" a="1"/>
  <c r="U134" i="104" s="1"/>
  <c r="T134" i="104" a="1"/>
  <c r="T134" i="104" s="1"/>
  <c r="S134" i="104" a="1"/>
  <c r="S134" i="104" s="1"/>
  <c r="R134" i="104" a="1"/>
  <c r="R134" i="104" s="1"/>
  <c r="Q134" i="104" a="1"/>
  <c r="Q134" i="104" s="1"/>
  <c r="P134" i="104" a="1"/>
  <c r="P134" i="104" s="1"/>
  <c r="O134" i="104" a="1"/>
  <c r="O134" i="104" s="1"/>
  <c r="N134" i="104" a="1"/>
  <c r="N134" i="104" s="1"/>
  <c r="M134" i="104" a="1"/>
  <c r="M134" i="104" s="1"/>
  <c r="L134" i="104" a="1"/>
  <c r="L134" i="104" s="1"/>
  <c r="K134" i="104" a="1"/>
  <c r="K134" i="104" s="1"/>
  <c r="J134" i="104" a="1"/>
  <c r="J134" i="104" s="1"/>
  <c r="I134" i="104" a="1"/>
  <c r="I134" i="104" s="1"/>
  <c r="H134" i="104" a="1"/>
  <c r="H134" i="104" s="1"/>
  <c r="G134" i="104" a="1"/>
  <c r="G134" i="104" s="1"/>
  <c r="F134" i="104" a="1"/>
  <c r="F134" i="104" s="1"/>
  <c r="E134" i="104" a="1"/>
  <c r="E134" i="104" s="1"/>
  <c r="D134" i="104" a="1"/>
  <c r="D134" i="104" s="1"/>
  <c r="AH133" i="104" a="1"/>
  <c r="AH133" i="104" s="1"/>
  <c r="AG133" i="104" a="1"/>
  <c r="AG133" i="104" s="1"/>
  <c r="AF133" i="104" a="1"/>
  <c r="AF133" i="104" s="1"/>
  <c r="AE133" i="104" a="1"/>
  <c r="AE133" i="104" s="1"/>
  <c r="AD133" i="104" a="1"/>
  <c r="AD133" i="104" s="1"/>
  <c r="AC133" i="104" a="1"/>
  <c r="AC133" i="104" s="1"/>
  <c r="AB133" i="104" a="1"/>
  <c r="AB133" i="104" s="1"/>
  <c r="AA133" i="104" a="1"/>
  <c r="AA133" i="104" s="1"/>
  <c r="Z133" i="104" a="1"/>
  <c r="Z133" i="104" s="1"/>
  <c r="Y133" i="104" a="1"/>
  <c r="Y133" i="104" s="1"/>
  <c r="X133" i="104" a="1"/>
  <c r="X133" i="104" s="1"/>
  <c r="W133" i="104" a="1"/>
  <c r="W133" i="104" s="1"/>
  <c r="V133" i="104" a="1"/>
  <c r="V133" i="104" s="1"/>
  <c r="U133" i="104" a="1"/>
  <c r="U133" i="104" s="1"/>
  <c r="T133" i="104" a="1"/>
  <c r="T133" i="104" s="1"/>
  <c r="S133" i="104" a="1"/>
  <c r="S133" i="104" s="1"/>
  <c r="R133" i="104" a="1"/>
  <c r="R133" i="104" s="1"/>
  <c r="Q133" i="104" a="1"/>
  <c r="Q133" i="104" s="1"/>
  <c r="P133" i="104" a="1"/>
  <c r="P133" i="104" s="1"/>
  <c r="O133" i="104" a="1"/>
  <c r="O133" i="104" s="1"/>
  <c r="N133" i="104" a="1"/>
  <c r="N133" i="104" s="1"/>
  <c r="M133" i="104" a="1"/>
  <c r="M133" i="104" s="1"/>
  <c r="L133" i="104" a="1"/>
  <c r="L133" i="104" s="1"/>
  <c r="K133" i="104" a="1"/>
  <c r="K133" i="104" s="1"/>
  <c r="J133" i="104" a="1"/>
  <c r="J133" i="104" s="1"/>
  <c r="I133" i="104" a="1"/>
  <c r="I133" i="104" s="1"/>
  <c r="H133" i="104" a="1"/>
  <c r="H133" i="104" s="1"/>
  <c r="G133" i="104" a="1"/>
  <c r="G133" i="104" s="1"/>
  <c r="F133" i="104" a="1"/>
  <c r="F133" i="104" s="1"/>
  <c r="E133" i="104" a="1"/>
  <c r="E133" i="104" s="1"/>
  <c r="D133" i="104" a="1"/>
  <c r="D133" i="104" s="1"/>
  <c r="AH132" i="104" a="1"/>
  <c r="AH132" i="104" s="1"/>
  <c r="AG132" i="104" a="1"/>
  <c r="AG132" i="104" s="1"/>
  <c r="AF132" i="104" a="1"/>
  <c r="AF132" i="104" s="1"/>
  <c r="AE132" i="104" a="1"/>
  <c r="AE132" i="104" s="1"/>
  <c r="AD132" i="104" a="1"/>
  <c r="AD132" i="104" s="1"/>
  <c r="AC132" i="104" a="1"/>
  <c r="AC132" i="104" s="1"/>
  <c r="AB132" i="104" a="1"/>
  <c r="AB132" i="104" s="1"/>
  <c r="AA132" i="104" a="1"/>
  <c r="AA132" i="104" s="1"/>
  <c r="Z132" i="104" a="1"/>
  <c r="Z132" i="104" s="1"/>
  <c r="Y132" i="104" a="1"/>
  <c r="Y132" i="104" s="1"/>
  <c r="X132" i="104" a="1"/>
  <c r="X132" i="104" s="1"/>
  <c r="W132" i="104" a="1"/>
  <c r="W132" i="104" s="1"/>
  <c r="V132" i="104" a="1"/>
  <c r="V132" i="104" s="1"/>
  <c r="U132" i="104" a="1"/>
  <c r="U132" i="104" s="1"/>
  <c r="T132" i="104" a="1"/>
  <c r="T132" i="104" s="1"/>
  <c r="S132" i="104" a="1"/>
  <c r="S132" i="104" s="1"/>
  <c r="R132" i="104" a="1"/>
  <c r="R132" i="104" s="1"/>
  <c r="Q132" i="104" a="1"/>
  <c r="Q132" i="104" s="1"/>
  <c r="P132" i="104" a="1"/>
  <c r="P132" i="104" s="1"/>
  <c r="O132" i="104" a="1"/>
  <c r="O132" i="104" s="1"/>
  <c r="N132" i="104" a="1"/>
  <c r="N132" i="104" s="1"/>
  <c r="M132" i="104" a="1"/>
  <c r="M132" i="104" s="1"/>
  <c r="L132" i="104" a="1"/>
  <c r="L132" i="104" s="1"/>
  <c r="K132" i="104" a="1"/>
  <c r="K132" i="104" s="1"/>
  <c r="J132" i="104" a="1"/>
  <c r="J132" i="104" s="1"/>
  <c r="I132" i="104" a="1"/>
  <c r="I132" i="104" s="1"/>
  <c r="H132" i="104" a="1"/>
  <c r="H132" i="104" s="1"/>
  <c r="G132" i="104" a="1"/>
  <c r="G132" i="104" s="1"/>
  <c r="F132" i="104" a="1"/>
  <c r="F132" i="104" s="1"/>
  <c r="E132" i="104" a="1"/>
  <c r="E132" i="104" s="1"/>
  <c r="D132" i="104" a="1"/>
  <c r="D132" i="104" s="1"/>
  <c r="AH131" i="104" a="1"/>
  <c r="AH131" i="104" s="1"/>
  <c r="AG131" i="104" a="1"/>
  <c r="AG131" i="104" s="1"/>
  <c r="AF131" i="104" a="1"/>
  <c r="AF131" i="104" s="1"/>
  <c r="AE131" i="104" a="1"/>
  <c r="AE131" i="104" s="1"/>
  <c r="AD131" i="104" a="1"/>
  <c r="AD131" i="104" s="1"/>
  <c r="AC131" i="104" a="1"/>
  <c r="AC131" i="104" s="1"/>
  <c r="AB131" i="104" a="1"/>
  <c r="AB131" i="104" s="1"/>
  <c r="AA131" i="104" a="1"/>
  <c r="AA131" i="104" s="1"/>
  <c r="Z131" i="104" a="1"/>
  <c r="Z131" i="104" s="1"/>
  <c r="Y131" i="104" a="1"/>
  <c r="Y131" i="104" s="1"/>
  <c r="X131" i="104" a="1"/>
  <c r="X131" i="104" s="1"/>
  <c r="W131" i="104" a="1"/>
  <c r="W131" i="104" s="1"/>
  <c r="V131" i="104" a="1"/>
  <c r="V131" i="104" s="1"/>
  <c r="U131" i="104" a="1"/>
  <c r="U131" i="104" s="1"/>
  <c r="T131" i="104" a="1"/>
  <c r="T131" i="104" s="1"/>
  <c r="S131" i="104" a="1"/>
  <c r="S131" i="104" s="1"/>
  <c r="R131" i="104" a="1"/>
  <c r="R131" i="104" s="1"/>
  <c r="Q131" i="104" a="1"/>
  <c r="Q131" i="104" s="1"/>
  <c r="P131" i="104" a="1"/>
  <c r="P131" i="104" s="1"/>
  <c r="O131" i="104" a="1"/>
  <c r="O131" i="104" s="1"/>
  <c r="N131" i="104" a="1"/>
  <c r="N131" i="104" s="1"/>
  <c r="M131" i="104" a="1"/>
  <c r="M131" i="104" s="1"/>
  <c r="L131" i="104" a="1"/>
  <c r="L131" i="104" s="1"/>
  <c r="K131" i="104" a="1"/>
  <c r="K131" i="104" s="1"/>
  <c r="J131" i="104" a="1"/>
  <c r="J131" i="104" s="1"/>
  <c r="I131" i="104" a="1"/>
  <c r="I131" i="104" s="1"/>
  <c r="H131" i="104" a="1"/>
  <c r="H131" i="104" s="1"/>
  <c r="G131" i="104" a="1"/>
  <c r="G131" i="104" s="1"/>
  <c r="F131" i="104" a="1"/>
  <c r="F131" i="104" s="1"/>
  <c r="E131" i="104" a="1"/>
  <c r="E131" i="104" s="1"/>
  <c r="D131" i="104" a="1"/>
  <c r="D131" i="104" s="1"/>
  <c r="AH130" i="104" a="1"/>
  <c r="AH130" i="104" s="1"/>
  <c r="AG130" i="104" a="1"/>
  <c r="AG130" i="104" s="1"/>
  <c r="AF130" i="104" a="1"/>
  <c r="AF130" i="104" s="1"/>
  <c r="AE130" i="104" a="1"/>
  <c r="AE130" i="104" s="1"/>
  <c r="AD130" i="104" a="1"/>
  <c r="AD130" i="104" s="1"/>
  <c r="AC130" i="104" a="1"/>
  <c r="AC130" i="104" s="1"/>
  <c r="AB130" i="104" a="1"/>
  <c r="AB130" i="104" s="1"/>
  <c r="AA130" i="104" a="1"/>
  <c r="AA130" i="104" s="1"/>
  <c r="Z130" i="104" a="1"/>
  <c r="Z130" i="104" s="1"/>
  <c r="Y130" i="104" a="1"/>
  <c r="Y130" i="104" s="1"/>
  <c r="X130" i="104" a="1"/>
  <c r="X130" i="104" s="1"/>
  <c r="W130" i="104" a="1"/>
  <c r="W130" i="104" s="1"/>
  <c r="V130" i="104" a="1"/>
  <c r="V130" i="104" s="1"/>
  <c r="U130" i="104" a="1"/>
  <c r="U130" i="104" s="1"/>
  <c r="T130" i="104" a="1"/>
  <c r="T130" i="104" s="1"/>
  <c r="S130" i="104" a="1"/>
  <c r="S130" i="104" s="1"/>
  <c r="R130" i="104" a="1"/>
  <c r="R130" i="104" s="1"/>
  <c r="Q130" i="104" a="1"/>
  <c r="Q130" i="104" s="1"/>
  <c r="P130" i="104" a="1"/>
  <c r="P130" i="104" s="1"/>
  <c r="O130" i="104" a="1"/>
  <c r="O130" i="104" s="1"/>
  <c r="N130" i="104" a="1"/>
  <c r="N130" i="104" s="1"/>
  <c r="M130" i="104" a="1"/>
  <c r="M130" i="104" s="1"/>
  <c r="L130" i="104" a="1"/>
  <c r="L130" i="104" s="1"/>
  <c r="K130" i="104" a="1"/>
  <c r="K130" i="104" s="1"/>
  <c r="J130" i="104" a="1"/>
  <c r="J130" i="104" s="1"/>
  <c r="I130" i="104" a="1"/>
  <c r="I130" i="104" s="1"/>
  <c r="H130" i="104" a="1"/>
  <c r="H130" i="104" s="1"/>
  <c r="G130" i="104" a="1"/>
  <c r="G130" i="104" s="1"/>
  <c r="F130" i="104" a="1"/>
  <c r="F130" i="104" s="1"/>
  <c r="E130" i="104" a="1"/>
  <c r="E130" i="104" s="1"/>
  <c r="D130" i="104" a="1"/>
  <c r="D130" i="104" s="1"/>
  <c r="AH129" i="104" a="1"/>
  <c r="AH129" i="104" s="1"/>
  <c r="AG129" i="104" a="1"/>
  <c r="AG129" i="104" s="1"/>
  <c r="AF129" i="104" a="1"/>
  <c r="AF129" i="104" s="1"/>
  <c r="AE129" i="104" a="1"/>
  <c r="AE129" i="104" s="1"/>
  <c r="AD129" i="104" a="1"/>
  <c r="AD129" i="104" s="1"/>
  <c r="AC129" i="104" a="1"/>
  <c r="AC129" i="104" s="1"/>
  <c r="AB129" i="104" a="1"/>
  <c r="AB129" i="104" s="1"/>
  <c r="AA129" i="104" a="1"/>
  <c r="AA129" i="104" s="1"/>
  <c r="Z129" i="104" a="1"/>
  <c r="Z129" i="104" s="1"/>
  <c r="Y129" i="104" a="1"/>
  <c r="Y129" i="104" s="1"/>
  <c r="X129" i="104" a="1"/>
  <c r="X129" i="104" s="1"/>
  <c r="W129" i="104" a="1"/>
  <c r="W129" i="104" s="1"/>
  <c r="V129" i="104" a="1"/>
  <c r="V129" i="104" s="1"/>
  <c r="U129" i="104" a="1"/>
  <c r="U129" i="104" s="1"/>
  <c r="T129" i="104" a="1"/>
  <c r="T129" i="104" s="1"/>
  <c r="S129" i="104" a="1"/>
  <c r="S129" i="104" s="1"/>
  <c r="R129" i="104" a="1"/>
  <c r="R129" i="104" s="1"/>
  <c r="Q129" i="104" a="1"/>
  <c r="Q129" i="104" s="1"/>
  <c r="P129" i="104" a="1"/>
  <c r="P129" i="104" s="1"/>
  <c r="O129" i="104" a="1"/>
  <c r="O129" i="104" s="1"/>
  <c r="N129" i="104" a="1"/>
  <c r="N129" i="104" s="1"/>
  <c r="M129" i="104" a="1"/>
  <c r="M129" i="104" s="1"/>
  <c r="L129" i="104" a="1"/>
  <c r="L129" i="104" s="1"/>
  <c r="K129" i="104" a="1"/>
  <c r="K129" i="104" s="1"/>
  <c r="J129" i="104" a="1"/>
  <c r="J129" i="104" s="1"/>
  <c r="I129" i="104" a="1"/>
  <c r="I129" i="104" s="1"/>
  <c r="H129" i="104" a="1"/>
  <c r="H129" i="104" s="1"/>
  <c r="G129" i="104" a="1"/>
  <c r="G129" i="104" s="1"/>
  <c r="F129" i="104" a="1"/>
  <c r="F129" i="104" s="1"/>
  <c r="E129" i="104" a="1"/>
  <c r="E129" i="104" s="1"/>
  <c r="D129" i="104" a="1"/>
  <c r="D129" i="104" s="1"/>
  <c r="AH128" i="104" a="1"/>
  <c r="AH128" i="104" s="1"/>
  <c r="AG128" i="104" a="1"/>
  <c r="AG128" i="104" s="1"/>
  <c r="AF128" i="104" a="1"/>
  <c r="AF128" i="104" s="1"/>
  <c r="AE128" i="104" a="1"/>
  <c r="AE128" i="104" s="1"/>
  <c r="AD128" i="104" a="1"/>
  <c r="AD128" i="104" s="1"/>
  <c r="AC128" i="104" a="1"/>
  <c r="AC128" i="104" s="1"/>
  <c r="AB128" i="104" a="1"/>
  <c r="AB128" i="104" s="1"/>
  <c r="AA128" i="104" a="1"/>
  <c r="AA128" i="104" s="1"/>
  <c r="Z128" i="104" a="1"/>
  <c r="Z128" i="104" s="1"/>
  <c r="Y128" i="104" a="1"/>
  <c r="Y128" i="104" s="1"/>
  <c r="X128" i="104" a="1"/>
  <c r="X128" i="104" s="1"/>
  <c r="W128" i="104" a="1"/>
  <c r="W128" i="104" s="1"/>
  <c r="V128" i="104" a="1"/>
  <c r="V128" i="104" s="1"/>
  <c r="U128" i="104" a="1"/>
  <c r="U128" i="104" s="1"/>
  <c r="T128" i="104" a="1"/>
  <c r="T128" i="104" s="1"/>
  <c r="S128" i="104" a="1"/>
  <c r="S128" i="104" s="1"/>
  <c r="R128" i="104" a="1"/>
  <c r="R128" i="104" s="1"/>
  <c r="Q128" i="104" a="1"/>
  <c r="Q128" i="104" s="1"/>
  <c r="P128" i="104" a="1"/>
  <c r="P128" i="104" s="1"/>
  <c r="O128" i="104" a="1"/>
  <c r="O128" i="104" s="1"/>
  <c r="N128" i="104" a="1"/>
  <c r="N128" i="104" s="1"/>
  <c r="M128" i="104" a="1"/>
  <c r="M128" i="104" s="1"/>
  <c r="L128" i="104" a="1"/>
  <c r="L128" i="104" s="1"/>
  <c r="K128" i="104" a="1"/>
  <c r="K128" i="104" s="1"/>
  <c r="J128" i="104" a="1"/>
  <c r="J128" i="104" s="1"/>
  <c r="I128" i="104" a="1"/>
  <c r="I128" i="104" s="1"/>
  <c r="H128" i="104" a="1"/>
  <c r="H128" i="104" s="1"/>
  <c r="G128" i="104" a="1"/>
  <c r="G128" i="104" s="1"/>
  <c r="F128" i="104" a="1"/>
  <c r="F128" i="104" s="1"/>
  <c r="E128" i="104" a="1"/>
  <c r="E128" i="104" s="1"/>
  <c r="D128" i="104" a="1"/>
  <c r="D128" i="104" s="1"/>
  <c r="AH127" i="104" a="1"/>
  <c r="AH127" i="104" s="1"/>
  <c r="AG127" i="104" a="1"/>
  <c r="AG127" i="104" s="1"/>
  <c r="AF127" i="104" a="1"/>
  <c r="AF127" i="104" s="1"/>
  <c r="AE127" i="104" a="1"/>
  <c r="AE127" i="104" s="1"/>
  <c r="AD127" i="104" a="1"/>
  <c r="AD127" i="104" s="1"/>
  <c r="AC127" i="104" a="1"/>
  <c r="AC127" i="104" s="1"/>
  <c r="AB127" i="104" a="1"/>
  <c r="AB127" i="104" s="1"/>
  <c r="AA127" i="104" a="1"/>
  <c r="AA127" i="104" s="1"/>
  <c r="Z127" i="104" a="1"/>
  <c r="Z127" i="104" s="1"/>
  <c r="Y127" i="104" a="1"/>
  <c r="Y127" i="104" s="1"/>
  <c r="X127" i="104" a="1"/>
  <c r="X127" i="104" s="1"/>
  <c r="W127" i="104" a="1"/>
  <c r="W127" i="104" s="1"/>
  <c r="V127" i="104" a="1"/>
  <c r="V127" i="104" s="1"/>
  <c r="U127" i="104" a="1"/>
  <c r="U127" i="104" s="1"/>
  <c r="T127" i="104" a="1"/>
  <c r="T127" i="104" s="1"/>
  <c r="S127" i="104" a="1"/>
  <c r="S127" i="104" s="1"/>
  <c r="R127" i="104" a="1"/>
  <c r="R127" i="104" s="1"/>
  <c r="Q127" i="104" a="1"/>
  <c r="Q127" i="104" s="1"/>
  <c r="P127" i="104" a="1"/>
  <c r="P127" i="104" s="1"/>
  <c r="O127" i="104" a="1"/>
  <c r="O127" i="104" s="1"/>
  <c r="N127" i="104" a="1"/>
  <c r="N127" i="104" s="1"/>
  <c r="M127" i="104" a="1"/>
  <c r="M127" i="104" s="1"/>
  <c r="L127" i="104" a="1"/>
  <c r="L127" i="104" s="1"/>
  <c r="K127" i="104" a="1"/>
  <c r="K127" i="104" s="1"/>
  <c r="J127" i="104" a="1"/>
  <c r="J127" i="104" s="1"/>
  <c r="I127" i="104" a="1"/>
  <c r="I127" i="104" s="1"/>
  <c r="H127" i="104" a="1"/>
  <c r="H127" i="104" s="1"/>
  <c r="G127" i="104" a="1"/>
  <c r="G127" i="104" s="1"/>
  <c r="F127" i="104" a="1"/>
  <c r="F127" i="104" s="1"/>
  <c r="E127" i="104" a="1"/>
  <c r="E127" i="104" s="1"/>
  <c r="D127" i="104" a="1"/>
  <c r="D127" i="104" s="1"/>
  <c r="AH126" i="104" a="1"/>
  <c r="AH126" i="104" s="1"/>
  <c r="AG126" i="104" a="1"/>
  <c r="AG126" i="104" s="1"/>
  <c r="AF126" i="104" a="1"/>
  <c r="AF126" i="104" s="1"/>
  <c r="AE126" i="104" a="1"/>
  <c r="AE126" i="104" s="1"/>
  <c r="AD126" i="104" a="1"/>
  <c r="AD126" i="104" s="1"/>
  <c r="AC126" i="104" a="1"/>
  <c r="AC126" i="104" s="1"/>
  <c r="AB126" i="104" a="1"/>
  <c r="AB126" i="104" s="1"/>
  <c r="AA126" i="104" a="1"/>
  <c r="AA126" i="104" s="1"/>
  <c r="Z126" i="104" a="1"/>
  <c r="Z126" i="104" s="1"/>
  <c r="Y126" i="104" a="1"/>
  <c r="Y126" i="104" s="1"/>
  <c r="X126" i="104" a="1"/>
  <c r="X126" i="104" s="1"/>
  <c r="W126" i="104" a="1"/>
  <c r="W126" i="104" s="1"/>
  <c r="V126" i="104" a="1"/>
  <c r="V126" i="104" s="1"/>
  <c r="U126" i="104" a="1"/>
  <c r="U126" i="104" s="1"/>
  <c r="T126" i="104" a="1"/>
  <c r="T126" i="104" s="1"/>
  <c r="S126" i="104" a="1"/>
  <c r="S126" i="104" s="1"/>
  <c r="R126" i="104" a="1"/>
  <c r="R126" i="104" s="1"/>
  <c r="Q126" i="104" a="1"/>
  <c r="Q126" i="104" s="1"/>
  <c r="P126" i="104" a="1"/>
  <c r="P126" i="104" s="1"/>
  <c r="O126" i="104" a="1"/>
  <c r="O126" i="104" s="1"/>
  <c r="N126" i="104" a="1"/>
  <c r="N126" i="104" s="1"/>
  <c r="M126" i="104" a="1"/>
  <c r="M126" i="104" s="1"/>
  <c r="L126" i="104" a="1"/>
  <c r="L126" i="104" s="1"/>
  <c r="K126" i="104" a="1"/>
  <c r="K126" i="104" s="1"/>
  <c r="J126" i="104" a="1"/>
  <c r="J126" i="104" s="1"/>
  <c r="I126" i="104" a="1"/>
  <c r="I126" i="104" s="1"/>
  <c r="H126" i="104" a="1"/>
  <c r="H126" i="104" s="1"/>
  <c r="G126" i="104" a="1"/>
  <c r="G126" i="104" s="1"/>
  <c r="F126" i="104" a="1"/>
  <c r="F126" i="104" s="1"/>
  <c r="E126" i="104" a="1"/>
  <c r="E126" i="104" s="1"/>
  <c r="D126" i="104" a="1"/>
  <c r="D126" i="104" s="1"/>
  <c r="AH125" i="104" a="1"/>
  <c r="AH125" i="104" s="1"/>
  <c r="AG125" i="104" a="1"/>
  <c r="AG125" i="104" s="1"/>
  <c r="AF125" i="104" a="1"/>
  <c r="AF125" i="104" s="1"/>
  <c r="AE125" i="104" a="1"/>
  <c r="AE125" i="104" s="1"/>
  <c r="AD125" i="104" a="1"/>
  <c r="AD125" i="104" s="1"/>
  <c r="AC125" i="104" a="1"/>
  <c r="AC125" i="104" s="1"/>
  <c r="AB125" i="104" a="1"/>
  <c r="AB125" i="104" s="1"/>
  <c r="AA125" i="104" a="1"/>
  <c r="AA125" i="104" s="1"/>
  <c r="Z125" i="104" a="1"/>
  <c r="Z125" i="104" s="1"/>
  <c r="Y125" i="104" a="1"/>
  <c r="Y125" i="104" s="1"/>
  <c r="X125" i="104" a="1"/>
  <c r="X125" i="104" s="1"/>
  <c r="W125" i="104" a="1"/>
  <c r="W125" i="104" s="1"/>
  <c r="V125" i="104" a="1"/>
  <c r="V125" i="104" s="1"/>
  <c r="U125" i="104" a="1"/>
  <c r="U125" i="104" s="1"/>
  <c r="T125" i="104" a="1"/>
  <c r="T125" i="104" s="1"/>
  <c r="S125" i="104" a="1"/>
  <c r="S125" i="104" s="1"/>
  <c r="R125" i="104" a="1"/>
  <c r="R125" i="104" s="1"/>
  <c r="Q125" i="104" a="1"/>
  <c r="Q125" i="104" s="1"/>
  <c r="P125" i="104" a="1"/>
  <c r="P125" i="104" s="1"/>
  <c r="O125" i="104" a="1"/>
  <c r="O125" i="104" s="1"/>
  <c r="N125" i="104" a="1"/>
  <c r="N125" i="104" s="1"/>
  <c r="M125" i="104" a="1"/>
  <c r="M125" i="104" s="1"/>
  <c r="L125" i="104" a="1"/>
  <c r="L125" i="104" s="1"/>
  <c r="K125" i="104" a="1"/>
  <c r="K125" i="104" s="1"/>
  <c r="J125" i="104" a="1"/>
  <c r="J125" i="104" s="1"/>
  <c r="I125" i="104" a="1"/>
  <c r="I125" i="104" s="1"/>
  <c r="H125" i="104" a="1"/>
  <c r="H125" i="104" s="1"/>
  <c r="G125" i="104" a="1"/>
  <c r="G125" i="104" s="1"/>
  <c r="F125" i="104" a="1"/>
  <c r="F125" i="104" s="1"/>
  <c r="E125" i="104" a="1"/>
  <c r="E125" i="104" s="1"/>
  <c r="D125" i="104" a="1"/>
  <c r="D125" i="104" s="1"/>
  <c r="AH124" i="104" a="1"/>
  <c r="AH124" i="104" s="1"/>
  <c r="AG124" i="104" a="1"/>
  <c r="AG124" i="104" s="1"/>
  <c r="AF124" i="104" a="1"/>
  <c r="AF124" i="104" s="1"/>
  <c r="AE124" i="104" a="1"/>
  <c r="AE124" i="104" s="1"/>
  <c r="AD124" i="104" a="1"/>
  <c r="AD124" i="104" s="1"/>
  <c r="AC124" i="104" a="1"/>
  <c r="AC124" i="104" s="1"/>
  <c r="AB124" i="104" a="1"/>
  <c r="AB124" i="104" s="1"/>
  <c r="AA124" i="104" a="1"/>
  <c r="AA124" i="104" s="1"/>
  <c r="Z124" i="104" a="1"/>
  <c r="Z124" i="104" s="1"/>
  <c r="Y124" i="104" a="1"/>
  <c r="Y124" i="104" s="1"/>
  <c r="X124" i="104" a="1"/>
  <c r="X124" i="104" s="1"/>
  <c r="W124" i="104" a="1"/>
  <c r="W124" i="104" s="1"/>
  <c r="V124" i="104" a="1"/>
  <c r="V124" i="104" s="1"/>
  <c r="U124" i="104" a="1"/>
  <c r="U124" i="104" s="1"/>
  <c r="T124" i="104" a="1"/>
  <c r="T124" i="104" s="1"/>
  <c r="S124" i="104" a="1"/>
  <c r="S124" i="104" s="1"/>
  <c r="R124" i="104" a="1"/>
  <c r="R124" i="104" s="1"/>
  <c r="Q124" i="104" a="1"/>
  <c r="Q124" i="104" s="1"/>
  <c r="P124" i="104" a="1"/>
  <c r="P124" i="104" s="1"/>
  <c r="O124" i="104" a="1"/>
  <c r="O124" i="104" s="1"/>
  <c r="N124" i="104" a="1"/>
  <c r="N124" i="104" s="1"/>
  <c r="M124" i="104" a="1"/>
  <c r="M124" i="104" s="1"/>
  <c r="L124" i="104" a="1"/>
  <c r="L124" i="104" s="1"/>
  <c r="K124" i="104" a="1"/>
  <c r="K124" i="104" s="1"/>
  <c r="J124" i="104" a="1"/>
  <c r="J124" i="104" s="1"/>
  <c r="I124" i="104" a="1"/>
  <c r="I124" i="104" s="1"/>
  <c r="H124" i="104" a="1"/>
  <c r="H124" i="104" s="1"/>
  <c r="G124" i="104" a="1"/>
  <c r="G124" i="104" s="1"/>
  <c r="F124" i="104" a="1"/>
  <c r="F124" i="104" s="1"/>
  <c r="E124" i="104" a="1"/>
  <c r="E124" i="104" s="1"/>
  <c r="D124" i="104" a="1"/>
  <c r="D124" i="104" s="1"/>
  <c r="AH123" i="104" a="1"/>
  <c r="AH123" i="104" s="1"/>
  <c r="AG123" i="104" a="1"/>
  <c r="AG123" i="104" s="1"/>
  <c r="AF123" i="104" a="1"/>
  <c r="AF123" i="104" s="1"/>
  <c r="AE123" i="104" a="1"/>
  <c r="AE123" i="104" s="1"/>
  <c r="AD123" i="104" a="1"/>
  <c r="AD123" i="104" s="1"/>
  <c r="AC123" i="104" a="1"/>
  <c r="AC123" i="104" s="1"/>
  <c r="AB123" i="104" a="1"/>
  <c r="AB123" i="104" s="1"/>
  <c r="AA123" i="104" a="1"/>
  <c r="AA123" i="104" s="1"/>
  <c r="Z123" i="104" a="1"/>
  <c r="Z123" i="104" s="1"/>
  <c r="Y123" i="104" a="1"/>
  <c r="Y123" i="104" s="1"/>
  <c r="X123" i="104" a="1"/>
  <c r="X123" i="104" s="1"/>
  <c r="W123" i="104" a="1"/>
  <c r="W123" i="104" s="1"/>
  <c r="V123" i="104" a="1"/>
  <c r="V123" i="104" s="1"/>
  <c r="U123" i="104" a="1"/>
  <c r="U123" i="104" s="1"/>
  <c r="T123" i="104" a="1"/>
  <c r="T123" i="104" s="1"/>
  <c r="S123" i="104" a="1"/>
  <c r="S123" i="104" s="1"/>
  <c r="R123" i="104" a="1"/>
  <c r="R123" i="104" s="1"/>
  <c r="Q123" i="104" a="1"/>
  <c r="Q123" i="104" s="1"/>
  <c r="P123" i="104" a="1"/>
  <c r="P123" i="104" s="1"/>
  <c r="O123" i="104" a="1"/>
  <c r="O123" i="104" s="1"/>
  <c r="N123" i="104" a="1"/>
  <c r="N123" i="104" s="1"/>
  <c r="M123" i="104" a="1"/>
  <c r="M123" i="104" s="1"/>
  <c r="L123" i="104" a="1"/>
  <c r="L123" i="104" s="1"/>
  <c r="K123" i="104" a="1"/>
  <c r="K123" i="104" s="1"/>
  <c r="J123" i="104" a="1"/>
  <c r="J123" i="104" s="1"/>
  <c r="I123" i="104" a="1"/>
  <c r="I123" i="104" s="1"/>
  <c r="H123" i="104" a="1"/>
  <c r="H123" i="104" s="1"/>
  <c r="G123" i="104" a="1"/>
  <c r="G123" i="104" s="1"/>
  <c r="F123" i="104" a="1"/>
  <c r="F123" i="104" s="1"/>
  <c r="E123" i="104" a="1"/>
  <c r="E123" i="104" s="1"/>
  <c r="D123" i="104" a="1"/>
  <c r="D123" i="104" s="1"/>
  <c r="AH122" i="104" a="1"/>
  <c r="AH122" i="104" s="1"/>
  <c r="AG122" i="104" a="1"/>
  <c r="AG122" i="104" s="1"/>
  <c r="AF122" i="104" a="1"/>
  <c r="AF122" i="104" s="1"/>
  <c r="AE122" i="104" a="1"/>
  <c r="AE122" i="104" s="1"/>
  <c r="AD122" i="104" a="1"/>
  <c r="AD122" i="104" s="1"/>
  <c r="AC122" i="104" a="1"/>
  <c r="AC122" i="104" s="1"/>
  <c r="AB122" i="104" a="1"/>
  <c r="AB122" i="104" s="1"/>
  <c r="AA122" i="104" a="1"/>
  <c r="AA122" i="104" s="1"/>
  <c r="Z122" i="104" a="1"/>
  <c r="Z122" i="104" s="1"/>
  <c r="Y122" i="104" a="1"/>
  <c r="Y122" i="104" s="1"/>
  <c r="X122" i="104" a="1"/>
  <c r="X122" i="104" s="1"/>
  <c r="W122" i="104" a="1"/>
  <c r="W122" i="104" s="1"/>
  <c r="V122" i="104" a="1"/>
  <c r="V122" i="104" s="1"/>
  <c r="U122" i="104" a="1"/>
  <c r="U122" i="104" s="1"/>
  <c r="T122" i="104" a="1"/>
  <c r="T122" i="104" s="1"/>
  <c r="S122" i="104" a="1"/>
  <c r="S122" i="104" s="1"/>
  <c r="R122" i="104" a="1"/>
  <c r="R122" i="104" s="1"/>
  <c r="Q122" i="104" a="1"/>
  <c r="Q122" i="104" s="1"/>
  <c r="P122" i="104" a="1"/>
  <c r="P122" i="104" s="1"/>
  <c r="O122" i="104" a="1"/>
  <c r="O122" i="104" s="1"/>
  <c r="N122" i="104" a="1"/>
  <c r="N122" i="104" s="1"/>
  <c r="M122" i="104" a="1"/>
  <c r="M122" i="104" s="1"/>
  <c r="L122" i="104" a="1"/>
  <c r="L122" i="104" s="1"/>
  <c r="K122" i="104" a="1"/>
  <c r="K122" i="104" s="1"/>
  <c r="J122" i="104" a="1"/>
  <c r="J122" i="104" s="1"/>
  <c r="I122" i="104" a="1"/>
  <c r="I122" i="104" s="1"/>
  <c r="H122" i="104" a="1"/>
  <c r="H122" i="104" s="1"/>
  <c r="G122" i="104" a="1"/>
  <c r="G122" i="104" s="1"/>
  <c r="F122" i="104" a="1"/>
  <c r="F122" i="104" s="1"/>
  <c r="E122" i="104" a="1"/>
  <c r="E122" i="104" s="1"/>
  <c r="D122" i="104" a="1"/>
  <c r="D122" i="104" s="1"/>
  <c r="AH121" i="104" a="1"/>
  <c r="AH121" i="104" s="1"/>
  <c r="AG121" i="104" a="1"/>
  <c r="AG121" i="104" s="1"/>
  <c r="AF121" i="104" a="1"/>
  <c r="AF121" i="104" s="1"/>
  <c r="AE121" i="104" a="1"/>
  <c r="AE121" i="104" s="1"/>
  <c r="AD121" i="104" a="1"/>
  <c r="AD121" i="104" s="1"/>
  <c r="AC121" i="104" a="1"/>
  <c r="AC121" i="104" s="1"/>
  <c r="AB121" i="104" a="1"/>
  <c r="AB121" i="104" s="1"/>
  <c r="AA121" i="104" a="1"/>
  <c r="AA121" i="104" s="1"/>
  <c r="Z121" i="104" a="1"/>
  <c r="Z121" i="104" s="1"/>
  <c r="Y121" i="104" a="1"/>
  <c r="Y121" i="104" s="1"/>
  <c r="X121" i="104" a="1"/>
  <c r="X121" i="104" s="1"/>
  <c r="W121" i="104" a="1"/>
  <c r="W121" i="104" s="1"/>
  <c r="V121" i="104" a="1"/>
  <c r="V121" i="104" s="1"/>
  <c r="U121" i="104" a="1"/>
  <c r="U121" i="104" s="1"/>
  <c r="T121" i="104" a="1"/>
  <c r="T121" i="104" s="1"/>
  <c r="S121" i="104" a="1"/>
  <c r="S121" i="104" s="1"/>
  <c r="R121" i="104" a="1"/>
  <c r="R121" i="104" s="1"/>
  <c r="Q121" i="104" a="1"/>
  <c r="Q121" i="104" s="1"/>
  <c r="P121" i="104" a="1"/>
  <c r="P121" i="104" s="1"/>
  <c r="O121" i="104" a="1"/>
  <c r="O121" i="104" s="1"/>
  <c r="N121" i="104" a="1"/>
  <c r="N121" i="104" s="1"/>
  <c r="M121" i="104" a="1"/>
  <c r="M121" i="104" s="1"/>
  <c r="L121" i="104" a="1"/>
  <c r="L121" i="104" s="1"/>
  <c r="K121" i="104" a="1"/>
  <c r="K121" i="104" s="1"/>
  <c r="J121" i="104" a="1"/>
  <c r="J121" i="104" s="1"/>
  <c r="I121" i="104" a="1"/>
  <c r="I121" i="104" s="1"/>
  <c r="H121" i="104" a="1"/>
  <c r="H121" i="104" s="1"/>
  <c r="G121" i="104" a="1"/>
  <c r="G121" i="104" s="1"/>
  <c r="F121" i="104" a="1"/>
  <c r="F121" i="104" s="1"/>
  <c r="E121" i="104" a="1"/>
  <c r="E121" i="104" s="1"/>
  <c r="D121" i="104" a="1"/>
  <c r="D121" i="104" s="1"/>
  <c r="AH120" i="104" a="1"/>
  <c r="AH120" i="104" s="1"/>
  <c r="AG120" i="104" a="1"/>
  <c r="AG120" i="104" s="1"/>
  <c r="AF120" i="104" a="1"/>
  <c r="AF120" i="104" s="1"/>
  <c r="AE120" i="104" a="1"/>
  <c r="AE120" i="104" s="1"/>
  <c r="AD120" i="104" a="1"/>
  <c r="AD120" i="104" s="1"/>
  <c r="AC120" i="104" a="1"/>
  <c r="AC120" i="104" s="1"/>
  <c r="AB120" i="104" a="1"/>
  <c r="AB120" i="104" s="1"/>
  <c r="AA120" i="104" a="1"/>
  <c r="AA120" i="104" s="1"/>
  <c r="Z120" i="104" a="1"/>
  <c r="Z120" i="104" s="1"/>
  <c r="Y120" i="104" a="1"/>
  <c r="Y120" i="104" s="1"/>
  <c r="X120" i="104" a="1"/>
  <c r="X120" i="104" s="1"/>
  <c r="W120" i="104" a="1"/>
  <c r="W120" i="104" s="1"/>
  <c r="V120" i="104" a="1"/>
  <c r="V120" i="104" s="1"/>
  <c r="U120" i="104" a="1"/>
  <c r="U120" i="104" s="1"/>
  <c r="T120" i="104" a="1"/>
  <c r="T120" i="104" s="1"/>
  <c r="S120" i="104" a="1"/>
  <c r="S120" i="104" s="1"/>
  <c r="R120" i="104" a="1"/>
  <c r="R120" i="104" s="1"/>
  <c r="Q120" i="104" a="1"/>
  <c r="Q120" i="104" s="1"/>
  <c r="P120" i="104" a="1"/>
  <c r="P120" i="104" s="1"/>
  <c r="O120" i="104" a="1"/>
  <c r="O120" i="104" s="1"/>
  <c r="N120" i="104" a="1"/>
  <c r="N120" i="104" s="1"/>
  <c r="M120" i="104" a="1"/>
  <c r="M120" i="104" s="1"/>
  <c r="L120" i="104" a="1"/>
  <c r="L120" i="104" s="1"/>
  <c r="K120" i="104" a="1"/>
  <c r="K120" i="104" s="1"/>
  <c r="J120" i="104" a="1"/>
  <c r="J120" i="104" s="1"/>
  <c r="I120" i="104" a="1"/>
  <c r="I120" i="104" s="1"/>
  <c r="H120" i="104" a="1"/>
  <c r="H120" i="104" s="1"/>
  <c r="G120" i="104" a="1"/>
  <c r="G120" i="104" s="1"/>
  <c r="F120" i="104" a="1"/>
  <c r="F120" i="104" s="1"/>
  <c r="E120" i="104" a="1"/>
  <c r="E120" i="104" s="1"/>
  <c r="D120" i="104" a="1"/>
  <c r="D120" i="104" s="1"/>
  <c r="AH119" i="104" a="1"/>
  <c r="AH119" i="104" s="1"/>
  <c r="AG119" i="104" a="1"/>
  <c r="AG119" i="104" s="1"/>
  <c r="AF119" i="104" a="1"/>
  <c r="AF119" i="104" s="1"/>
  <c r="AE119" i="104" a="1"/>
  <c r="AE119" i="104" s="1"/>
  <c r="AD119" i="104" a="1"/>
  <c r="AD119" i="104" s="1"/>
  <c r="AC119" i="104" a="1"/>
  <c r="AC119" i="104" s="1"/>
  <c r="AB119" i="104" a="1"/>
  <c r="AB119" i="104" s="1"/>
  <c r="AA119" i="104" a="1"/>
  <c r="AA119" i="104" s="1"/>
  <c r="Z119" i="104" a="1"/>
  <c r="Z119" i="104" s="1"/>
  <c r="Y119" i="104" a="1"/>
  <c r="Y119" i="104" s="1"/>
  <c r="X119" i="104" a="1"/>
  <c r="X119" i="104" s="1"/>
  <c r="W119" i="104" a="1"/>
  <c r="W119" i="104" s="1"/>
  <c r="V119" i="104" a="1"/>
  <c r="V119" i="104" s="1"/>
  <c r="U119" i="104" a="1"/>
  <c r="U119" i="104" s="1"/>
  <c r="T119" i="104" a="1"/>
  <c r="T119" i="104" s="1"/>
  <c r="S119" i="104" a="1"/>
  <c r="S119" i="104" s="1"/>
  <c r="R119" i="104" a="1"/>
  <c r="R119" i="104" s="1"/>
  <c r="Q119" i="104" a="1"/>
  <c r="Q119" i="104" s="1"/>
  <c r="P119" i="104" a="1"/>
  <c r="P119" i="104" s="1"/>
  <c r="O119" i="104" a="1"/>
  <c r="O119" i="104" s="1"/>
  <c r="N119" i="104" a="1"/>
  <c r="N119" i="104" s="1"/>
  <c r="M119" i="104" a="1"/>
  <c r="M119" i="104" s="1"/>
  <c r="L119" i="104" a="1"/>
  <c r="L119" i="104" s="1"/>
  <c r="K119" i="104" a="1"/>
  <c r="K119" i="104" s="1"/>
  <c r="J119" i="104" a="1"/>
  <c r="J119" i="104" s="1"/>
  <c r="I119" i="104" a="1"/>
  <c r="I119" i="104" s="1"/>
  <c r="H119" i="104" a="1"/>
  <c r="H119" i="104" s="1"/>
  <c r="G119" i="104" a="1"/>
  <c r="G119" i="104" s="1"/>
  <c r="F119" i="104" a="1"/>
  <c r="F119" i="104" s="1"/>
  <c r="E119" i="104" a="1"/>
  <c r="E119" i="104" s="1"/>
  <c r="D119" i="104" a="1"/>
  <c r="D119" i="104" s="1"/>
  <c r="AH118" i="104" a="1"/>
  <c r="AH118" i="104" s="1"/>
  <c r="AG118" i="104" a="1"/>
  <c r="AG118" i="104" s="1"/>
  <c r="AF118" i="104" a="1"/>
  <c r="AF118" i="104" s="1"/>
  <c r="AE118" i="104" a="1"/>
  <c r="AE118" i="104" s="1"/>
  <c r="AD118" i="104" a="1"/>
  <c r="AD118" i="104" s="1"/>
  <c r="AC118" i="104" a="1"/>
  <c r="AC118" i="104" s="1"/>
  <c r="AB118" i="104" a="1"/>
  <c r="AB118" i="104" s="1"/>
  <c r="AA118" i="104" a="1"/>
  <c r="AA118" i="104" s="1"/>
  <c r="Z118" i="104" a="1"/>
  <c r="Z118" i="104" s="1"/>
  <c r="Y118" i="104" a="1"/>
  <c r="Y118" i="104" s="1"/>
  <c r="X118" i="104" a="1"/>
  <c r="X118" i="104" s="1"/>
  <c r="W118" i="104" a="1"/>
  <c r="W118" i="104" s="1"/>
  <c r="V118" i="104" a="1"/>
  <c r="V118" i="104" s="1"/>
  <c r="U118" i="104" a="1"/>
  <c r="U118" i="104" s="1"/>
  <c r="T118" i="104" a="1"/>
  <c r="T118" i="104" s="1"/>
  <c r="S118" i="104" a="1"/>
  <c r="S118" i="104" s="1"/>
  <c r="R118" i="104" a="1"/>
  <c r="R118" i="104" s="1"/>
  <c r="Q118" i="104" a="1"/>
  <c r="Q118" i="104" s="1"/>
  <c r="P118" i="104" a="1"/>
  <c r="P118" i="104" s="1"/>
  <c r="O118" i="104" a="1"/>
  <c r="O118" i="104" s="1"/>
  <c r="N118" i="104" a="1"/>
  <c r="N118" i="104" s="1"/>
  <c r="M118" i="104" a="1"/>
  <c r="M118" i="104" s="1"/>
  <c r="L118" i="104" a="1"/>
  <c r="L118" i="104" s="1"/>
  <c r="K118" i="104" a="1"/>
  <c r="K118" i="104" s="1"/>
  <c r="J118" i="104" a="1"/>
  <c r="J118" i="104" s="1"/>
  <c r="I118" i="104" a="1"/>
  <c r="I118" i="104" s="1"/>
  <c r="H118" i="104" a="1"/>
  <c r="H118" i="104" s="1"/>
  <c r="G118" i="104" a="1"/>
  <c r="G118" i="104" s="1"/>
  <c r="F118" i="104" a="1"/>
  <c r="F118" i="104" s="1"/>
  <c r="E118" i="104" a="1"/>
  <c r="E118" i="104" s="1"/>
  <c r="D118" i="104" a="1"/>
  <c r="D118" i="104" s="1"/>
  <c r="AH117" i="104" a="1"/>
  <c r="AH117" i="104" s="1"/>
  <c r="AG117" i="104" a="1"/>
  <c r="AG117" i="104" s="1"/>
  <c r="AF117" i="104" a="1"/>
  <c r="AF117" i="104" s="1"/>
  <c r="AE117" i="104" a="1"/>
  <c r="AE117" i="104" s="1"/>
  <c r="AD117" i="104" a="1"/>
  <c r="AD117" i="104" s="1"/>
  <c r="AC117" i="104" a="1"/>
  <c r="AC117" i="104" s="1"/>
  <c r="AB117" i="104" a="1"/>
  <c r="AB117" i="104" s="1"/>
  <c r="AA117" i="104" a="1"/>
  <c r="AA117" i="104" s="1"/>
  <c r="Z117" i="104" a="1"/>
  <c r="Z117" i="104" s="1"/>
  <c r="Y117" i="104" a="1"/>
  <c r="Y117" i="104" s="1"/>
  <c r="X117" i="104" a="1"/>
  <c r="X117" i="104" s="1"/>
  <c r="W117" i="104" a="1"/>
  <c r="W117" i="104" s="1"/>
  <c r="V117" i="104" a="1"/>
  <c r="V117" i="104" s="1"/>
  <c r="U117" i="104" a="1"/>
  <c r="U117" i="104" s="1"/>
  <c r="T117" i="104" a="1"/>
  <c r="T117" i="104" s="1"/>
  <c r="S117" i="104" a="1"/>
  <c r="S117" i="104" s="1"/>
  <c r="R117" i="104" a="1"/>
  <c r="R117" i="104" s="1"/>
  <c r="Q117" i="104" a="1"/>
  <c r="Q117" i="104" s="1"/>
  <c r="P117" i="104" a="1"/>
  <c r="P117" i="104" s="1"/>
  <c r="O117" i="104" a="1"/>
  <c r="O117" i="104" s="1"/>
  <c r="N117" i="104" a="1"/>
  <c r="N117" i="104" s="1"/>
  <c r="M117" i="104" a="1"/>
  <c r="M117" i="104" s="1"/>
  <c r="L117" i="104" a="1"/>
  <c r="L117" i="104" s="1"/>
  <c r="K117" i="104" a="1"/>
  <c r="K117" i="104" s="1"/>
  <c r="J117" i="104" a="1"/>
  <c r="J117" i="104" s="1"/>
  <c r="I117" i="104" a="1"/>
  <c r="I117" i="104" s="1"/>
  <c r="H117" i="104" a="1"/>
  <c r="H117" i="104" s="1"/>
  <c r="G117" i="104" a="1"/>
  <c r="G117" i="104" s="1"/>
  <c r="F117" i="104" a="1"/>
  <c r="F117" i="104" s="1"/>
  <c r="E117" i="104" a="1"/>
  <c r="E117" i="104" s="1"/>
  <c r="D117" i="104" a="1"/>
  <c r="D117" i="104" s="1"/>
  <c r="AH116" i="104" a="1"/>
  <c r="AH116" i="104" s="1"/>
  <c r="AG116" i="104" a="1"/>
  <c r="AG116" i="104" s="1"/>
  <c r="AF116" i="104" a="1"/>
  <c r="AF116" i="104" s="1"/>
  <c r="AE116" i="104" a="1"/>
  <c r="AE116" i="104" s="1"/>
  <c r="AD116" i="104" a="1"/>
  <c r="AD116" i="104" s="1"/>
  <c r="AC116" i="104" a="1"/>
  <c r="AC116" i="104" s="1"/>
  <c r="AB116" i="104" a="1"/>
  <c r="AB116" i="104" s="1"/>
  <c r="AA116" i="104" a="1"/>
  <c r="AA116" i="104" s="1"/>
  <c r="Z116" i="104" a="1"/>
  <c r="Z116" i="104" s="1"/>
  <c r="Y116" i="104" a="1"/>
  <c r="Y116" i="104" s="1"/>
  <c r="X116" i="104" a="1"/>
  <c r="X116" i="104" s="1"/>
  <c r="W116" i="104" a="1"/>
  <c r="W116" i="104" s="1"/>
  <c r="V116" i="104" a="1"/>
  <c r="V116" i="104" s="1"/>
  <c r="U116" i="104" a="1"/>
  <c r="U116" i="104" s="1"/>
  <c r="T116" i="104" a="1"/>
  <c r="T116" i="104" s="1"/>
  <c r="S116" i="104" a="1"/>
  <c r="S116" i="104" s="1"/>
  <c r="R116" i="104" a="1"/>
  <c r="R116" i="104" s="1"/>
  <c r="Q116" i="104" a="1"/>
  <c r="Q116" i="104" s="1"/>
  <c r="P116" i="104" a="1"/>
  <c r="P116" i="104" s="1"/>
  <c r="O116" i="104" a="1"/>
  <c r="O116" i="104" s="1"/>
  <c r="N116" i="104" a="1"/>
  <c r="N116" i="104" s="1"/>
  <c r="M116" i="104" a="1"/>
  <c r="M116" i="104" s="1"/>
  <c r="L116" i="104" a="1"/>
  <c r="L116" i="104" s="1"/>
  <c r="K116" i="104" a="1"/>
  <c r="K116" i="104" s="1"/>
  <c r="J116" i="104" a="1"/>
  <c r="J116" i="104" s="1"/>
  <c r="I116" i="104" a="1"/>
  <c r="I116" i="104" s="1"/>
  <c r="H116" i="104" a="1"/>
  <c r="H116" i="104" s="1"/>
  <c r="G116" i="104" a="1"/>
  <c r="G116" i="104" s="1"/>
  <c r="F116" i="104" a="1"/>
  <c r="F116" i="104" s="1"/>
  <c r="E116" i="104" a="1"/>
  <c r="E116" i="104" s="1"/>
  <c r="D116" i="104" a="1"/>
  <c r="D116" i="104" s="1"/>
  <c r="AH115" i="104" a="1"/>
  <c r="AH115" i="104" s="1"/>
  <c r="AG115" i="104" a="1"/>
  <c r="AG115" i="104" s="1"/>
  <c r="AF115" i="104" a="1"/>
  <c r="AF115" i="104" s="1"/>
  <c r="AE115" i="104" a="1"/>
  <c r="AE115" i="104" s="1"/>
  <c r="AD115" i="104" a="1"/>
  <c r="AD115" i="104" s="1"/>
  <c r="AC115" i="104" a="1"/>
  <c r="AC115" i="104" s="1"/>
  <c r="AB115" i="104" a="1"/>
  <c r="AB115" i="104" s="1"/>
  <c r="AA115" i="104" a="1"/>
  <c r="AA115" i="104" s="1"/>
  <c r="Z115" i="104" a="1"/>
  <c r="Z115" i="104" s="1"/>
  <c r="Y115" i="104" a="1"/>
  <c r="Y115" i="104" s="1"/>
  <c r="X115" i="104" a="1"/>
  <c r="X115" i="104" s="1"/>
  <c r="W115" i="104" a="1"/>
  <c r="W115" i="104" s="1"/>
  <c r="V115" i="104" a="1"/>
  <c r="V115" i="104" s="1"/>
  <c r="U115" i="104" a="1"/>
  <c r="U115" i="104" s="1"/>
  <c r="T115" i="104" a="1"/>
  <c r="T115" i="104" s="1"/>
  <c r="S115" i="104" a="1"/>
  <c r="S115" i="104" s="1"/>
  <c r="R115" i="104" a="1"/>
  <c r="R115" i="104" s="1"/>
  <c r="Q115" i="104" a="1"/>
  <c r="Q115" i="104" s="1"/>
  <c r="P115" i="104" a="1"/>
  <c r="P115" i="104" s="1"/>
  <c r="O115" i="104" a="1"/>
  <c r="O115" i="104" s="1"/>
  <c r="N115" i="104" a="1"/>
  <c r="N115" i="104" s="1"/>
  <c r="M115" i="104" a="1"/>
  <c r="M115" i="104" s="1"/>
  <c r="L115" i="104" a="1"/>
  <c r="L115" i="104" s="1"/>
  <c r="K115" i="104" a="1"/>
  <c r="K115" i="104" s="1"/>
  <c r="J115" i="104" a="1"/>
  <c r="J115" i="104" s="1"/>
  <c r="I115" i="104" a="1"/>
  <c r="I115" i="104" s="1"/>
  <c r="H115" i="104" a="1"/>
  <c r="H115" i="104" s="1"/>
  <c r="G115" i="104" a="1"/>
  <c r="G115" i="104" s="1"/>
  <c r="F115" i="104" a="1"/>
  <c r="F115" i="104" s="1"/>
  <c r="E115" i="104" a="1"/>
  <c r="E115" i="104" s="1"/>
  <c r="D115" i="104" a="1"/>
  <c r="D115" i="104" s="1"/>
  <c r="AH114" i="104" a="1"/>
  <c r="AH114" i="104" s="1"/>
  <c r="AG114" i="104" a="1"/>
  <c r="AG114" i="104" s="1"/>
  <c r="AF114" i="104" a="1"/>
  <c r="AF114" i="104" s="1"/>
  <c r="AE114" i="104" a="1"/>
  <c r="AE114" i="104" s="1"/>
  <c r="AD114" i="104" a="1"/>
  <c r="AD114" i="104" s="1"/>
  <c r="AC114" i="104" a="1"/>
  <c r="AC114" i="104" s="1"/>
  <c r="AB114" i="104" a="1"/>
  <c r="AB114" i="104" s="1"/>
  <c r="AA114" i="104" a="1"/>
  <c r="AA114" i="104" s="1"/>
  <c r="Z114" i="104" a="1"/>
  <c r="Z114" i="104" s="1"/>
  <c r="Y114" i="104" a="1"/>
  <c r="Y114" i="104" s="1"/>
  <c r="X114" i="104" a="1"/>
  <c r="X114" i="104" s="1"/>
  <c r="W114" i="104" a="1"/>
  <c r="W114" i="104" s="1"/>
  <c r="V114" i="104" a="1"/>
  <c r="V114" i="104" s="1"/>
  <c r="U114" i="104" a="1"/>
  <c r="U114" i="104" s="1"/>
  <c r="T114" i="104" a="1"/>
  <c r="T114" i="104" s="1"/>
  <c r="S114" i="104" a="1"/>
  <c r="S114" i="104" s="1"/>
  <c r="R114" i="104" a="1"/>
  <c r="R114" i="104" s="1"/>
  <c r="Q114" i="104" a="1"/>
  <c r="Q114" i="104" s="1"/>
  <c r="P114" i="104" a="1"/>
  <c r="P114" i="104" s="1"/>
  <c r="O114" i="104" a="1"/>
  <c r="O114" i="104" s="1"/>
  <c r="N114" i="104" a="1"/>
  <c r="N114" i="104" s="1"/>
  <c r="M114" i="104" a="1"/>
  <c r="M114" i="104" s="1"/>
  <c r="L114" i="104" a="1"/>
  <c r="L114" i="104" s="1"/>
  <c r="K114" i="104" a="1"/>
  <c r="K114" i="104" s="1"/>
  <c r="J114" i="104" a="1"/>
  <c r="J114" i="104" s="1"/>
  <c r="I114" i="104" a="1"/>
  <c r="I114" i="104" s="1"/>
  <c r="H114" i="104" a="1"/>
  <c r="H114" i="104" s="1"/>
  <c r="G114" i="104" a="1"/>
  <c r="G114" i="104" s="1"/>
  <c r="F114" i="104" a="1"/>
  <c r="F114" i="104" s="1"/>
  <c r="E114" i="104" a="1"/>
  <c r="E114" i="104" s="1"/>
  <c r="D114" i="104" a="1"/>
  <c r="D114" i="104" s="1"/>
  <c r="AH113" i="104" a="1"/>
  <c r="AH113" i="104" s="1"/>
  <c r="AG113" i="104" a="1"/>
  <c r="AG113" i="104" s="1"/>
  <c r="AF113" i="104" a="1"/>
  <c r="AF113" i="104" s="1"/>
  <c r="AE113" i="104" a="1"/>
  <c r="AE113" i="104" s="1"/>
  <c r="AD113" i="104" a="1"/>
  <c r="AD113" i="104" s="1"/>
  <c r="AC113" i="104" a="1"/>
  <c r="AC113" i="104" s="1"/>
  <c r="AB113" i="104" a="1"/>
  <c r="AB113" i="104" s="1"/>
  <c r="AA113" i="104" a="1"/>
  <c r="AA113" i="104" s="1"/>
  <c r="Z113" i="104" a="1"/>
  <c r="Z113" i="104" s="1"/>
  <c r="Y113" i="104" a="1"/>
  <c r="Y113" i="104" s="1"/>
  <c r="X113" i="104" a="1"/>
  <c r="X113" i="104" s="1"/>
  <c r="W113" i="104" a="1"/>
  <c r="W113" i="104" s="1"/>
  <c r="V113" i="104" a="1"/>
  <c r="V113" i="104" s="1"/>
  <c r="U113" i="104" a="1"/>
  <c r="U113" i="104" s="1"/>
  <c r="T113" i="104" a="1"/>
  <c r="T113" i="104" s="1"/>
  <c r="S113" i="104" a="1"/>
  <c r="S113" i="104" s="1"/>
  <c r="R113" i="104" a="1"/>
  <c r="R113" i="104" s="1"/>
  <c r="Q113" i="104" a="1"/>
  <c r="Q113" i="104" s="1"/>
  <c r="P113" i="104" a="1"/>
  <c r="P113" i="104" s="1"/>
  <c r="O113" i="104" a="1"/>
  <c r="O113" i="104" s="1"/>
  <c r="N113" i="104" a="1"/>
  <c r="N113" i="104" s="1"/>
  <c r="M113" i="104" a="1"/>
  <c r="M113" i="104" s="1"/>
  <c r="L113" i="104" a="1"/>
  <c r="L113" i="104" s="1"/>
  <c r="K113" i="104" a="1"/>
  <c r="K113" i="104" s="1"/>
  <c r="J113" i="104" a="1"/>
  <c r="J113" i="104" s="1"/>
  <c r="I113" i="104" a="1"/>
  <c r="I113" i="104" s="1"/>
  <c r="H113" i="104" a="1"/>
  <c r="H113" i="104" s="1"/>
  <c r="G113" i="104" a="1"/>
  <c r="G113" i="104" s="1"/>
  <c r="F113" i="104" a="1"/>
  <c r="F113" i="104" s="1"/>
  <c r="E113" i="104" a="1"/>
  <c r="E113" i="104" s="1"/>
  <c r="D113" i="104" a="1"/>
  <c r="D113" i="104" s="1"/>
  <c r="AH112" i="104" a="1"/>
  <c r="AH112" i="104" s="1"/>
  <c r="AG112" i="104" a="1"/>
  <c r="AG112" i="104" s="1"/>
  <c r="AF112" i="104" a="1"/>
  <c r="AF112" i="104" s="1"/>
  <c r="AE112" i="104" a="1"/>
  <c r="AE112" i="104" s="1"/>
  <c r="AD112" i="104" a="1"/>
  <c r="AD112" i="104" s="1"/>
  <c r="AC112" i="104" a="1"/>
  <c r="AC112" i="104" s="1"/>
  <c r="AB112" i="104" a="1"/>
  <c r="AB112" i="104" s="1"/>
  <c r="AA112" i="104" a="1"/>
  <c r="AA112" i="104" s="1"/>
  <c r="Z112" i="104" a="1"/>
  <c r="Z112" i="104" s="1"/>
  <c r="Y112" i="104" a="1"/>
  <c r="Y112" i="104" s="1"/>
  <c r="X112" i="104" a="1"/>
  <c r="X112" i="104" s="1"/>
  <c r="W112" i="104" a="1"/>
  <c r="W112" i="104" s="1"/>
  <c r="V112" i="104" a="1"/>
  <c r="V112" i="104" s="1"/>
  <c r="U112" i="104" a="1"/>
  <c r="U112" i="104" s="1"/>
  <c r="T112" i="104" a="1"/>
  <c r="T112" i="104" s="1"/>
  <c r="S112" i="104" a="1"/>
  <c r="S112" i="104" s="1"/>
  <c r="R112" i="104" a="1"/>
  <c r="R112" i="104" s="1"/>
  <c r="Q112" i="104" a="1"/>
  <c r="Q112" i="104" s="1"/>
  <c r="P112" i="104" a="1"/>
  <c r="P112" i="104" s="1"/>
  <c r="O112" i="104" a="1"/>
  <c r="O112" i="104" s="1"/>
  <c r="N112" i="104" a="1"/>
  <c r="N112" i="104" s="1"/>
  <c r="M112" i="104" a="1"/>
  <c r="M112" i="104" s="1"/>
  <c r="L112" i="104" a="1"/>
  <c r="L112" i="104" s="1"/>
  <c r="K112" i="104" a="1"/>
  <c r="K112" i="104" s="1"/>
  <c r="J112" i="104" a="1"/>
  <c r="J112" i="104" s="1"/>
  <c r="I112" i="104" a="1"/>
  <c r="I112" i="104" s="1"/>
  <c r="H112" i="104" a="1"/>
  <c r="H112" i="104" s="1"/>
  <c r="G112" i="104" a="1"/>
  <c r="G112" i="104" s="1"/>
  <c r="F112" i="104" a="1"/>
  <c r="F112" i="104" s="1"/>
  <c r="E112" i="104" a="1"/>
  <c r="E112" i="104" s="1"/>
  <c r="D112" i="104" a="1"/>
  <c r="D112" i="104" s="1"/>
  <c r="AH111" i="104" a="1"/>
  <c r="AH111" i="104" s="1"/>
  <c r="AG111" i="104" a="1"/>
  <c r="AG111" i="104" s="1"/>
  <c r="AF111" i="104" a="1"/>
  <c r="AF111" i="104" s="1"/>
  <c r="AE111" i="104" a="1"/>
  <c r="AE111" i="104" s="1"/>
  <c r="AD111" i="104" a="1"/>
  <c r="AD111" i="104" s="1"/>
  <c r="AC111" i="104" a="1"/>
  <c r="AC111" i="104" s="1"/>
  <c r="AB111" i="104" a="1"/>
  <c r="AB111" i="104" s="1"/>
  <c r="AA111" i="104" a="1"/>
  <c r="AA111" i="104" s="1"/>
  <c r="Z111" i="104" a="1"/>
  <c r="Z111" i="104" s="1"/>
  <c r="Y111" i="104" a="1"/>
  <c r="Y111" i="104" s="1"/>
  <c r="X111" i="104" a="1"/>
  <c r="X111" i="104" s="1"/>
  <c r="W111" i="104" a="1"/>
  <c r="W111" i="104" s="1"/>
  <c r="V111" i="104" a="1"/>
  <c r="V111" i="104" s="1"/>
  <c r="U111" i="104" a="1"/>
  <c r="U111" i="104" s="1"/>
  <c r="T111" i="104" a="1"/>
  <c r="T111" i="104" s="1"/>
  <c r="S111" i="104" a="1"/>
  <c r="S111" i="104" s="1"/>
  <c r="R111" i="104" a="1"/>
  <c r="R111" i="104" s="1"/>
  <c r="Q111" i="104" a="1"/>
  <c r="Q111" i="104" s="1"/>
  <c r="P111" i="104" a="1"/>
  <c r="P111" i="104" s="1"/>
  <c r="O111" i="104" a="1"/>
  <c r="O111" i="104" s="1"/>
  <c r="N111" i="104" a="1"/>
  <c r="N111" i="104" s="1"/>
  <c r="M111" i="104" a="1"/>
  <c r="M111" i="104" s="1"/>
  <c r="L111" i="104" a="1"/>
  <c r="L111" i="104" s="1"/>
  <c r="K111" i="104" a="1"/>
  <c r="K111" i="104" s="1"/>
  <c r="J111" i="104" a="1"/>
  <c r="J111" i="104" s="1"/>
  <c r="I111" i="104" a="1"/>
  <c r="I111" i="104" s="1"/>
  <c r="H111" i="104" a="1"/>
  <c r="H111" i="104" s="1"/>
  <c r="G111" i="104" a="1"/>
  <c r="G111" i="104" s="1"/>
  <c r="F111" i="104" a="1"/>
  <c r="F111" i="104" s="1"/>
  <c r="E111" i="104" a="1"/>
  <c r="E111" i="104" s="1"/>
  <c r="D111" i="104" a="1"/>
  <c r="D111" i="104" s="1"/>
  <c r="AH110" i="104" a="1"/>
  <c r="AH110" i="104" s="1"/>
  <c r="AG110" i="104" a="1"/>
  <c r="AG110" i="104" s="1"/>
  <c r="AF110" i="104" a="1"/>
  <c r="AF110" i="104" s="1"/>
  <c r="AE110" i="104" a="1"/>
  <c r="AE110" i="104" s="1"/>
  <c r="AD110" i="104" a="1"/>
  <c r="AD110" i="104" s="1"/>
  <c r="AC110" i="104" a="1"/>
  <c r="AC110" i="104" s="1"/>
  <c r="AB110" i="104" a="1"/>
  <c r="AB110" i="104" s="1"/>
  <c r="AA110" i="104" a="1"/>
  <c r="AA110" i="104" s="1"/>
  <c r="Z110" i="104" a="1"/>
  <c r="Z110" i="104" s="1"/>
  <c r="Y110" i="104" a="1"/>
  <c r="Y110" i="104" s="1"/>
  <c r="X110" i="104" a="1"/>
  <c r="X110" i="104" s="1"/>
  <c r="W110" i="104" a="1"/>
  <c r="W110" i="104" s="1"/>
  <c r="V110" i="104" a="1"/>
  <c r="V110" i="104" s="1"/>
  <c r="U110" i="104" a="1"/>
  <c r="U110" i="104" s="1"/>
  <c r="T110" i="104" a="1"/>
  <c r="T110" i="104" s="1"/>
  <c r="S110" i="104" a="1"/>
  <c r="S110" i="104" s="1"/>
  <c r="R110" i="104" a="1"/>
  <c r="R110" i="104" s="1"/>
  <c r="Q110" i="104" a="1"/>
  <c r="Q110" i="104" s="1"/>
  <c r="P110" i="104" a="1"/>
  <c r="P110" i="104" s="1"/>
  <c r="O110" i="104" a="1"/>
  <c r="O110" i="104" s="1"/>
  <c r="N110" i="104" a="1"/>
  <c r="N110" i="104" s="1"/>
  <c r="M110" i="104" a="1"/>
  <c r="M110" i="104" s="1"/>
  <c r="L110" i="104" a="1"/>
  <c r="L110" i="104" s="1"/>
  <c r="K110" i="104" a="1"/>
  <c r="K110" i="104" s="1"/>
  <c r="J110" i="104" a="1"/>
  <c r="J110" i="104" s="1"/>
  <c r="I110" i="104" a="1"/>
  <c r="I110" i="104" s="1"/>
  <c r="H110" i="104" a="1"/>
  <c r="H110" i="104" s="1"/>
  <c r="G110" i="104" a="1"/>
  <c r="G110" i="104" s="1"/>
  <c r="F110" i="104" a="1"/>
  <c r="F110" i="104" s="1"/>
  <c r="E110" i="104" a="1"/>
  <c r="E110" i="104" s="1"/>
  <c r="D110" i="104" a="1"/>
  <c r="D110" i="104" s="1"/>
  <c r="AH109" i="104" a="1"/>
  <c r="AH109" i="104" s="1"/>
  <c r="AG109" i="104" a="1"/>
  <c r="AG109" i="104" s="1"/>
  <c r="AF109" i="104" a="1"/>
  <c r="AF109" i="104" s="1"/>
  <c r="AE109" i="104" a="1"/>
  <c r="AE109" i="104" s="1"/>
  <c r="AD109" i="104" a="1"/>
  <c r="AD109" i="104" s="1"/>
  <c r="AC109" i="104" a="1"/>
  <c r="AC109" i="104" s="1"/>
  <c r="AB109" i="104" a="1"/>
  <c r="AB109" i="104" s="1"/>
  <c r="AA109" i="104" a="1"/>
  <c r="AA109" i="104" s="1"/>
  <c r="Z109" i="104" a="1"/>
  <c r="Z109" i="104" s="1"/>
  <c r="Y109" i="104" a="1"/>
  <c r="Y109" i="104" s="1"/>
  <c r="X109" i="104" a="1"/>
  <c r="X109" i="104" s="1"/>
  <c r="W109" i="104" a="1"/>
  <c r="W109" i="104" s="1"/>
  <c r="V109" i="104" a="1"/>
  <c r="V109" i="104" s="1"/>
  <c r="U109" i="104" a="1"/>
  <c r="U109" i="104" s="1"/>
  <c r="T109" i="104" a="1"/>
  <c r="T109" i="104" s="1"/>
  <c r="S109" i="104" a="1"/>
  <c r="S109" i="104" s="1"/>
  <c r="R109" i="104" a="1"/>
  <c r="R109" i="104" s="1"/>
  <c r="Q109" i="104" a="1"/>
  <c r="Q109" i="104" s="1"/>
  <c r="P109" i="104" a="1"/>
  <c r="P109" i="104" s="1"/>
  <c r="O109" i="104" a="1"/>
  <c r="O109" i="104" s="1"/>
  <c r="N109" i="104" a="1"/>
  <c r="N109" i="104" s="1"/>
  <c r="M109" i="104" a="1"/>
  <c r="M109" i="104" s="1"/>
  <c r="L109" i="104" a="1"/>
  <c r="L109" i="104" s="1"/>
  <c r="K109" i="104" a="1"/>
  <c r="K109" i="104" s="1"/>
  <c r="J109" i="104" a="1"/>
  <c r="J109" i="104" s="1"/>
  <c r="I109" i="104" a="1"/>
  <c r="I109" i="104" s="1"/>
  <c r="H109" i="104" a="1"/>
  <c r="H109" i="104" s="1"/>
  <c r="G109" i="104" a="1"/>
  <c r="G109" i="104" s="1"/>
  <c r="F109" i="104" a="1"/>
  <c r="F109" i="104" s="1"/>
  <c r="E109" i="104" a="1"/>
  <c r="E109" i="104" s="1"/>
  <c r="D109" i="104" a="1"/>
  <c r="D109" i="104" s="1"/>
  <c r="AH108" i="104" a="1"/>
  <c r="AH108" i="104" s="1"/>
  <c r="AG108" i="104" a="1"/>
  <c r="AG108" i="104" s="1"/>
  <c r="AF108" i="104" a="1"/>
  <c r="AF108" i="104" s="1"/>
  <c r="AE108" i="104" a="1"/>
  <c r="AE108" i="104" s="1"/>
  <c r="AD108" i="104" a="1"/>
  <c r="AD108" i="104" s="1"/>
  <c r="AC108" i="104" a="1"/>
  <c r="AC108" i="104" s="1"/>
  <c r="AB108" i="104" a="1"/>
  <c r="AB108" i="104" s="1"/>
  <c r="AA108" i="104" a="1"/>
  <c r="AA108" i="104" s="1"/>
  <c r="Z108" i="104" a="1"/>
  <c r="Z108" i="104" s="1"/>
  <c r="Y108" i="104" a="1"/>
  <c r="Y108" i="104" s="1"/>
  <c r="X108" i="104" a="1"/>
  <c r="X108" i="104" s="1"/>
  <c r="W108" i="104" a="1"/>
  <c r="W108" i="104" s="1"/>
  <c r="V108" i="104" a="1"/>
  <c r="V108" i="104" s="1"/>
  <c r="U108" i="104" a="1"/>
  <c r="U108" i="104" s="1"/>
  <c r="T108" i="104" a="1"/>
  <c r="T108" i="104" s="1"/>
  <c r="S108" i="104" a="1"/>
  <c r="S108" i="104" s="1"/>
  <c r="R108" i="104" a="1"/>
  <c r="R108" i="104" s="1"/>
  <c r="Q108" i="104" a="1"/>
  <c r="Q108" i="104" s="1"/>
  <c r="P108" i="104" a="1"/>
  <c r="P108" i="104" s="1"/>
  <c r="O108" i="104" a="1"/>
  <c r="O108" i="104" s="1"/>
  <c r="N108" i="104" a="1"/>
  <c r="N108" i="104" s="1"/>
  <c r="M108" i="104" a="1"/>
  <c r="M108" i="104" s="1"/>
  <c r="L108" i="104" a="1"/>
  <c r="L108" i="104" s="1"/>
  <c r="K108" i="104" a="1"/>
  <c r="K108" i="104" s="1"/>
  <c r="J108" i="104" a="1"/>
  <c r="J108" i="104" s="1"/>
  <c r="I108" i="104" a="1"/>
  <c r="I108" i="104" s="1"/>
  <c r="H108" i="104" a="1"/>
  <c r="H108" i="104" s="1"/>
  <c r="G108" i="104" a="1"/>
  <c r="G108" i="104" s="1"/>
  <c r="F108" i="104" a="1"/>
  <c r="F108" i="104" s="1"/>
  <c r="E108" i="104" a="1"/>
  <c r="E108" i="104" s="1"/>
  <c r="D108" i="104" a="1"/>
  <c r="D108" i="104" s="1"/>
  <c r="AH107" i="104" a="1"/>
  <c r="AH107" i="104" s="1"/>
  <c r="AG107" i="104" a="1"/>
  <c r="AG107" i="104" s="1"/>
  <c r="AF107" i="104" a="1"/>
  <c r="AF107" i="104" s="1"/>
  <c r="AE107" i="104" a="1"/>
  <c r="AE107" i="104" s="1"/>
  <c r="AD107" i="104" a="1"/>
  <c r="AD107" i="104" s="1"/>
  <c r="AC107" i="104" a="1"/>
  <c r="AC107" i="104" s="1"/>
  <c r="AB107" i="104" a="1"/>
  <c r="AB107" i="104" s="1"/>
  <c r="AA107" i="104" a="1"/>
  <c r="AA107" i="104" s="1"/>
  <c r="Z107" i="104" a="1"/>
  <c r="Z107" i="104" s="1"/>
  <c r="Y107" i="104" a="1"/>
  <c r="Y107" i="104" s="1"/>
  <c r="X107" i="104" a="1"/>
  <c r="X107" i="104" s="1"/>
  <c r="W107" i="104" a="1"/>
  <c r="W107" i="104" s="1"/>
  <c r="V107" i="104" a="1"/>
  <c r="V107" i="104" s="1"/>
  <c r="U107" i="104" a="1"/>
  <c r="U107" i="104" s="1"/>
  <c r="T107" i="104" a="1"/>
  <c r="T107" i="104" s="1"/>
  <c r="S107" i="104" a="1"/>
  <c r="S107" i="104" s="1"/>
  <c r="R107" i="104" a="1"/>
  <c r="R107" i="104" s="1"/>
  <c r="Q107" i="104" a="1"/>
  <c r="Q107" i="104" s="1"/>
  <c r="P107" i="104" a="1"/>
  <c r="P107" i="104" s="1"/>
  <c r="O107" i="104" a="1"/>
  <c r="O107" i="104" s="1"/>
  <c r="N107" i="104" a="1"/>
  <c r="N107" i="104" s="1"/>
  <c r="M107" i="104" a="1"/>
  <c r="M107" i="104" s="1"/>
  <c r="L107" i="104" a="1"/>
  <c r="L107" i="104" s="1"/>
  <c r="K107" i="104" a="1"/>
  <c r="K107" i="104" s="1"/>
  <c r="J107" i="104" a="1"/>
  <c r="J107" i="104" s="1"/>
  <c r="I107" i="104" a="1"/>
  <c r="I107" i="104" s="1"/>
  <c r="H107" i="104" a="1"/>
  <c r="H107" i="104" s="1"/>
  <c r="G107" i="104" a="1"/>
  <c r="G107" i="104" s="1"/>
  <c r="F107" i="104" a="1"/>
  <c r="F107" i="104" s="1"/>
  <c r="E107" i="104" a="1"/>
  <c r="E107" i="104" s="1"/>
  <c r="D107" i="104" a="1"/>
  <c r="D107" i="104" s="1"/>
  <c r="AH106" i="104" a="1"/>
  <c r="AH106" i="104" s="1"/>
  <c r="AG106" i="104" a="1"/>
  <c r="AG106" i="104" s="1"/>
  <c r="AF106" i="104" a="1"/>
  <c r="AF106" i="104" s="1"/>
  <c r="AE106" i="104" a="1"/>
  <c r="AE106" i="104" s="1"/>
  <c r="AD106" i="104" a="1"/>
  <c r="AD106" i="104" s="1"/>
  <c r="AC106" i="104" a="1"/>
  <c r="AC106" i="104" s="1"/>
  <c r="AB106" i="104" a="1"/>
  <c r="AB106" i="104" s="1"/>
  <c r="AA106" i="104" a="1"/>
  <c r="AA106" i="104" s="1"/>
  <c r="Z106" i="104" a="1"/>
  <c r="Z106" i="104" s="1"/>
  <c r="Y106" i="104" a="1"/>
  <c r="Y106" i="104" s="1"/>
  <c r="X106" i="104" a="1"/>
  <c r="X106" i="104" s="1"/>
  <c r="W106" i="104" a="1"/>
  <c r="W106" i="104" s="1"/>
  <c r="V106" i="104" a="1"/>
  <c r="V106" i="104" s="1"/>
  <c r="U106" i="104" a="1"/>
  <c r="U106" i="104" s="1"/>
  <c r="T106" i="104" a="1"/>
  <c r="T106" i="104" s="1"/>
  <c r="S106" i="104" a="1"/>
  <c r="S106" i="104" s="1"/>
  <c r="R106" i="104" a="1"/>
  <c r="R106" i="104" s="1"/>
  <c r="Q106" i="104" a="1"/>
  <c r="Q106" i="104" s="1"/>
  <c r="P106" i="104" a="1"/>
  <c r="P106" i="104" s="1"/>
  <c r="O106" i="104" a="1"/>
  <c r="O106" i="104" s="1"/>
  <c r="N106" i="104" a="1"/>
  <c r="N106" i="104" s="1"/>
  <c r="M106" i="104" a="1"/>
  <c r="M106" i="104" s="1"/>
  <c r="L106" i="104" a="1"/>
  <c r="L106" i="104" s="1"/>
  <c r="K106" i="104" a="1"/>
  <c r="K106" i="104" s="1"/>
  <c r="J106" i="104" a="1"/>
  <c r="J106" i="104" s="1"/>
  <c r="I106" i="104" a="1"/>
  <c r="I106" i="104" s="1"/>
  <c r="H106" i="104" a="1"/>
  <c r="H106" i="104" s="1"/>
  <c r="G106" i="104" a="1"/>
  <c r="G106" i="104" s="1"/>
  <c r="F106" i="104" a="1"/>
  <c r="F106" i="104" s="1"/>
  <c r="E106" i="104" a="1"/>
  <c r="E106" i="104" s="1"/>
  <c r="D106" i="104" a="1"/>
  <c r="D106" i="104" s="1"/>
  <c r="AH105" i="104" a="1"/>
  <c r="AH105" i="104" s="1"/>
  <c r="AG105" i="104" a="1"/>
  <c r="AG105" i="104" s="1"/>
  <c r="AF105" i="104" a="1"/>
  <c r="AF105" i="104" s="1"/>
  <c r="AE105" i="104" a="1"/>
  <c r="AE105" i="104" s="1"/>
  <c r="AD105" i="104" a="1"/>
  <c r="AD105" i="104" s="1"/>
  <c r="AC105" i="104" a="1"/>
  <c r="AC105" i="104" s="1"/>
  <c r="AB105" i="104" a="1"/>
  <c r="AB105" i="104" s="1"/>
  <c r="AA105" i="104" a="1"/>
  <c r="AA105" i="104" s="1"/>
  <c r="Z105" i="104" a="1"/>
  <c r="Z105" i="104" s="1"/>
  <c r="Y105" i="104" a="1"/>
  <c r="Y105" i="104" s="1"/>
  <c r="X105" i="104" a="1"/>
  <c r="X105" i="104" s="1"/>
  <c r="W105" i="104" a="1"/>
  <c r="W105" i="104" s="1"/>
  <c r="V105" i="104" a="1"/>
  <c r="V105" i="104" s="1"/>
  <c r="U105" i="104" a="1"/>
  <c r="U105" i="104" s="1"/>
  <c r="T105" i="104" a="1"/>
  <c r="T105" i="104" s="1"/>
  <c r="S105" i="104" a="1"/>
  <c r="S105" i="104" s="1"/>
  <c r="R105" i="104" a="1"/>
  <c r="R105" i="104" s="1"/>
  <c r="Q105" i="104" a="1"/>
  <c r="Q105" i="104" s="1"/>
  <c r="P105" i="104" a="1"/>
  <c r="P105" i="104" s="1"/>
  <c r="O105" i="104" a="1"/>
  <c r="O105" i="104" s="1"/>
  <c r="N105" i="104" a="1"/>
  <c r="N105" i="104" s="1"/>
  <c r="M105" i="104" a="1"/>
  <c r="M105" i="104" s="1"/>
  <c r="L105" i="104" a="1"/>
  <c r="L105" i="104" s="1"/>
  <c r="K105" i="104" a="1"/>
  <c r="K105" i="104" s="1"/>
  <c r="J105" i="104" a="1"/>
  <c r="J105" i="104" s="1"/>
  <c r="I105" i="104" a="1"/>
  <c r="I105" i="104" s="1"/>
  <c r="H105" i="104" a="1"/>
  <c r="H105" i="104" s="1"/>
  <c r="G105" i="104" a="1"/>
  <c r="G105" i="104" s="1"/>
  <c r="F105" i="104" a="1"/>
  <c r="F105" i="104" s="1"/>
  <c r="E105" i="104" a="1"/>
  <c r="E105" i="104" s="1"/>
  <c r="D105" i="104" a="1"/>
  <c r="D105" i="104" s="1"/>
  <c r="AH104" i="104" a="1"/>
  <c r="AH104" i="104" s="1"/>
  <c r="AG104" i="104" a="1"/>
  <c r="AG104" i="104" s="1"/>
  <c r="AF104" i="104" a="1"/>
  <c r="AF104" i="104" s="1"/>
  <c r="AE104" i="104" a="1"/>
  <c r="AE104" i="104" s="1"/>
  <c r="AD104" i="104" a="1"/>
  <c r="AD104" i="104" s="1"/>
  <c r="AC104" i="104" a="1"/>
  <c r="AC104" i="104" s="1"/>
  <c r="AB104" i="104" a="1"/>
  <c r="AB104" i="104" s="1"/>
  <c r="AA104" i="104" a="1"/>
  <c r="AA104" i="104" s="1"/>
  <c r="Z104" i="104" a="1"/>
  <c r="Z104" i="104" s="1"/>
  <c r="Y104" i="104" a="1"/>
  <c r="Y104" i="104" s="1"/>
  <c r="X104" i="104" a="1"/>
  <c r="X104" i="104" s="1"/>
  <c r="W104" i="104" a="1"/>
  <c r="W104" i="104" s="1"/>
  <c r="V104" i="104" a="1"/>
  <c r="V104" i="104" s="1"/>
  <c r="U104" i="104" a="1"/>
  <c r="U104" i="104" s="1"/>
  <c r="T104" i="104" a="1"/>
  <c r="T104" i="104" s="1"/>
  <c r="S104" i="104" a="1"/>
  <c r="S104" i="104" s="1"/>
  <c r="R104" i="104" a="1"/>
  <c r="R104" i="104" s="1"/>
  <c r="Q104" i="104" a="1"/>
  <c r="Q104" i="104" s="1"/>
  <c r="P104" i="104" a="1"/>
  <c r="P104" i="104" s="1"/>
  <c r="O104" i="104" a="1"/>
  <c r="O104" i="104" s="1"/>
  <c r="N104" i="104" a="1"/>
  <c r="N104" i="104" s="1"/>
  <c r="M104" i="104" a="1"/>
  <c r="M104" i="104" s="1"/>
  <c r="L104" i="104" a="1"/>
  <c r="L104" i="104" s="1"/>
  <c r="K104" i="104" a="1"/>
  <c r="K104" i="104" s="1"/>
  <c r="J104" i="104" a="1"/>
  <c r="J104" i="104" s="1"/>
  <c r="I104" i="104" a="1"/>
  <c r="I104" i="104" s="1"/>
  <c r="H104" i="104" a="1"/>
  <c r="H104" i="104" s="1"/>
  <c r="G104" i="104" a="1"/>
  <c r="G104" i="104" s="1"/>
  <c r="F104" i="104" a="1"/>
  <c r="F104" i="104" s="1"/>
  <c r="E104" i="104" a="1"/>
  <c r="E104" i="104" s="1"/>
  <c r="D104" i="104" a="1"/>
  <c r="D104" i="104" s="1"/>
  <c r="AH103" i="104" a="1"/>
  <c r="AH103" i="104" s="1"/>
  <c r="AG103" i="104" a="1"/>
  <c r="AG103" i="104" s="1"/>
  <c r="AF103" i="104" a="1"/>
  <c r="AF103" i="104" s="1"/>
  <c r="AE103" i="104" a="1"/>
  <c r="AE103" i="104" s="1"/>
  <c r="AD103" i="104" a="1"/>
  <c r="AD103" i="104" s="1"/>
  <c r="AC103" i="104" a="1"/>
  <c r="AC103" i="104" s="1"/>
  <c r="AB103" i="104" a="1"/>
  <c r="AB103" i="104" s="1"/>
  <c r="AA103" i="104" a="1"/>
  <c r="AA103" i="104" s="1"/>
  <c r="Z103" i="104" a="1"/>
  <c r="Z103" i="104" s="1"/>
  <c r="Y103" i="104" a="1"/>
  <c r="Y103" i="104" s="1"/>
  <c r="X103" i="104" a="1"/>
  <c r="X103" i="104" s="1"/>
  <c r="W103" i="104" a="1"/>
  <c r="W103" i="104" s="1"/>
  <c r="V103" i="104" a="1"/>
  <c r="V103" i="104" s="1"/>
  <c r="U103" i="104" a="1"/>
  <c r="U103" i="104" s="1"/>
  <c r="T103" i="104" a="1"/>
  <c r="T103" i="104" s="1"/>
  <c r="S103" i="104" a="1"/>
  <c r="S103" i="104" s="1"/>
  <c r="R103" i="104" a="1"/>
  <c r="R103" i="104" s="1"/>
  <c r="Q103" i="104" a="1"/>
  <c r="Q103" i="104" s="1"/>
  <c r="P103" i="104" a="1"/>
  <c r="P103" i="104" s="1"/>
  <c r="O103" i="104" a="1"/>
  <c r="O103" i="104" s="1"/>
  <c r="N103" i="104" a="1"/>
  <c r="N103" i="104" s="1"/>
  <c r="M103" i="104" a="1"/>
  <c r="M103" i="104" s="1"/>
  <c r="L103" i="104" a="1"/>
  <c r="L103" i="104" s="1"/>
  <c r="K103" i="104" a="1"/>
  <c r="K103" i="104" s="1"/>
  <c r="J103" i="104" a="1"/>
  <c r="J103" i="104" s="1"/>
  <c r="I103" i="104" a="1"/>
  <c r="I103" i="104" s="1"/>
  <c r="H103" i="104" a="1"/>
  <c r="H103" i="104" s="1"/>
  <c r="G103" i="104" a="1"/>
  <c r="G103" i="104" s="1"/>
  <c r="F103" i="104" a="1"/>
  <c r="F103" i="104" s="1"/>
  <c r="E103" i="104" a="1"/>
  <c r="E103" i="104" s="1"/>
  <c r="D103" i="104" a="1"/>
  <c r="D103" i="104" s="1"/>
  <c r="AH102" i="104" a="1"/>
  <c r="AH102" i="104" s="1"/>
  <c r="AG102" i="104" a="1"/>
  <c r="AG102" i="104" s="1"/>
  <c r="AF102" i="104" a="1"/>
  <c r="AF102" i="104" s="1"/>
  <c r="AE102" i="104" a="1"/>
  <c r="AE102" i="104" s="1"/>
  <c r="AD102" i="104" a="1"/>
  <c r="AD102" i="104" s="1"/>
  <c r="AC102" i="104" a="1"/>
  <c r="AC102" i="104" s="1"/>
  <c r="AB102" i="104" a="1"/>
  <c r="AB102" i="104" s="1"/>
  <c r="AA102" i="104" a="1"/>
  <c r="AA102" i="104" s="1"/>
  <c r="Z102" i="104" a="1"/>
  <c r="Z102" i="104" s="1"/>
  <c r="Y102" i="104" a="1"/>
  <c r="Y102" i="104" s="1"/>
  <c r="X102" i="104" a="1"/>
  <c r="X102" i="104" s="1"/>
  <c r="W102" i="104" a="1"/>
  <c r="W102" i="104" s="1"/>
  <c r="V102" i="104" a="1"/>
  <c r="V102" i="104" s="1"/>
  <c r="U102" i="104" a="1"/>
  <c r="U102" i="104" s="1"/>
  <c r="T102" i="104" a="1"/>
  <c r="T102" i="104" s="1"/>
  <c r="S102" i="104" a="1"/>
  <c r="S102" i="104" s="1"/>
  <c r="R102" i="104" a="1"/>
  <c r="R102" i="104" s="1"/>
  <c r="Q102" i="104" a="1"/>
  <c r="Q102" i="104" s="1"/>
  <c r="P102" i="104" a="1"/>
  <c r="P102" i="104" s="1"/>
  <c r="O102" i="104" a="1"/>
  <c r="O102" i="104" s="1"/>
  <c r="N102" i="104" a="1"/>
  <c r="N102" i="104" s="1"/>
  <c r="M102" i="104" a="1"/>
  <c r="M102" i="104" s="1"/>
  <c r="L102" i="104" a="1"/>
  <c r="L102" i="104" s="1"/>
  <c r="K102" i="104" a="1"/>
  <c r="K102" i="104" s="1"/>
  <c r="J102" i="104" a="1"/>
  <c r="J102" i="104" s="1"/>
  <c r="I102" i="104" a="1"/>
  <c r="I102" i="104" s="1"/>
  <c r="H102" i="104" a="1"/>
  <c r="H102" i="104" s="1"/>
  <c r="G102" i="104" a="1"/>
  <c r="G102" i="104" s="1"/>
  <c r="F102" i="104" a="1"/>
  <c r="F102" i="104" s="1"/>
  <c r="E102" i="104" a="1"/>
  <c r="E102" i="104" s="1"/>
  <c r="D102" i="104" a="1"/>
  <c r="D102" i="104" s="1"/>
  <c r="AH101" i="104" a="1"/>
  <c r="AH101" i="104" s="1"/>
  <c r="AG101" i="104" a="1"/>
  <c r="AG101" i="104" s="1"/>
  <c r="AF101" i="104" a="1"/>
  <c r="AF101" i="104" s="1"/>
  <c r="AE101" i="104" a="1"/>
  <c r="AE101" i="104" s="1"/>
  <c r="AD101" i="104" a="1"/>
  <c r="AD101" i="104" s="1"/>
  <c r="AC101" i="104" a="1"/>
  <c r="AC101" i="104" s="1"/>
  <c r="AB101" i="104" a="1"/>
  <c r="AB101" i="104" s="1"/>
  <c r="AA101" i="104" a="1"/>
  <c r="AA101" i="104" s="1"/>
  <c r="Z101" i="104" a="1"/>
  <c r="Z101" i="104" s="1"/>
  <c r="Y101" i="104" a="1"/>
  <c r="Y101" i="104" s="1"/>
  <c r="X101" i="104" a="1"/>
  <c r="X101" i="104" s="1"/>
  <c r="W101" i="104" a="1"/>
  <c r="W101" i="104" s="1"/>
  <c r="V101" i="104" a="1"/>
  <c r="V101" i="104" s="1"/>
  <c r="U101" i="104" a="1"/>
  <c r="U101" i="104" s="1"/>
  <c r="T101" i="104" a="1"/>
  <c r="T101" i="104" s="1"/>
  <c r="S101" i="104" a="1"/>
  <c r="S101" i="104" s="1"/>
  <c r="R101" i="104" a="1"/>
  <c r="R101" i="104" s="1"/>
  <c r="Q101" i="104" a="1"/>
  <c r="Q101" i="104" s="1"/>
  <c r="P101" i="104" a="1"/>
  <c r="P101" i="104" s="1"/>
  <c r="O101" i="104" a="1"/>
  <c r="O101" i="104" s="1"/>
  <c r="N101" i="104" a="1"/>
  <c r="N101" i="104" s="1"/>
  <c r="M101" i="104" a="1"/>
  <c r="M101" i="104" s="1"/>
  <c r="L101" i="104" a="1"/>
  <c r="L101" i="104" s="1"/>
  <c r="K101" i="104" a="1"/>
  <c r="K101" i="104" s="1"/>
  <c r="J101" i="104" a="1"/>
  <c r="J101" i="104" s="1"/>
  <c r="I101" i="104" a="1"/>
  <c r="I101" i="104" s="1"/>
  <c r="H101" i="104" a="1"/>
  <c r="H101" i="104" s="1"/>
  <c r="G101" i="104" a="1"/>
  <c r="G101" i="104" s="1"/>
  <c r="F101" i="104" a="1"/>
  <c r="F101" i="104" s="1"/>
  <c r="E101" i="104" a="1"/>
  <c r="E101" i="104" s="1"/>
  <c r="D101" i="104" a="1"/>
  <c r="D101" i="104" s="1"/>
  <c r="AH100" i="104" a="1"/>
  <c r="AH100" i="104" s="1"/>
  <c r="AG100" i="104" a="1"/>
  <c r="AG100" i="104" s="1"/>
  <c r="AF100" i="104" a="1"/>
  <c r="AF100" i="104" s="1"/>
  <c r="AE100" i="104" a="1"/>
  <c r="AE100" i="104" s="1"/>
  <c r="AD100" i="104" a="1"/>
  <c r="AD100" i="104" s="1"/>
  <c r="AC100" i="104" a="1"/>
  <c r="AC100" i="104" s="1"/>
  <c r="AB100" i="104" a="1"/>
  <c r="AB100" i="104" s="1"/>
  <c r="AA100" i="104" a="1"/>
  <c r="AA100" i="104" s="1"/>
  <c r="Z100" i="104" a="1"/>
  <c r="Z100" i="104" s="1"/>
  <c r="Y100" i="104" a="1"/>
  <c r="Y100" i="104" s="1"/>
  <c r="X100" i="104" a="1"/>
  <c r="X100" i="104" s="1"/>
  <c r="W100" i="104" a="1"/>
  <c r="W100" i="104" s="1"/>
  <c r="V100" i="104" a="1"/>
  <c r="V100" i="104" s="1"/>
  <c r="U100" i="104" a="1"/>
  <c r="U100" i="104" s="1"/>
  <c r="T100" i="104" a="1"/>
  <c r="T100" i="104" s="1"/>
  <c r="S100" i="104" a="1"/>
  <c r="S100" i="104" s="1"/>
  <c r="R100" i="104" a="1"/>
  <c r="R100" i="104" s="1"/>
  <c r="Q100" i="104" a="1"/>
  <c r="Q100" i="104" s="1"/>
  <c r="P100" i="104" a="1"/>
  <c r="P100" i="104" s="1"/>
  <c r="O100" i="104" a="1"/>
  <c r="O100" i="104" s="1"/>
  <c r="N100" i="104" a="1"/>
  <c r="N100" i="104" s="1"/>
  <c r="M100" i="104" a="1"/>
  <c r="M100" i="104" s="1"/>
  <c r="L100" i="104" a="1"/>
  <c r="L100" i="104" s="1"/>
  <c r="K100" i="104" a="1"/>
  <c r="K100" i="104" s="1"/>
  <c r="J100" i="104" a="1"/>
  <c r="J100" i="104" s="1"/>
  <c r="I100" i="104" a="1"/>
  <c r="I100" i="104" s="1"/>
  <c r="H100" i="104" a="1"/>
  <c r="H100" i="104" s="1"/>
  <c r="G100" i="104" a="1"/>
  <c r="G100" i="104" s="1"/>
  <c r="F100" i="104" a="1"/>
  <c r="F100" i="104" s="1"/>
  <c r="E100" i="104" a="1"/>
  <c r="E100" i="104" s="1"/>
  <c r="D100" i="104" a="1"/>
  <c r="D100" i="104" s="1"/>
  <c r="AH99" i="104" a="1"/>
  <c r="AH99" i="104" s="1"/>
  <c r="AG99" i="104" a="1"/>
  <c r="AG99" i="104" s="1"/>
  <c r="AF99" i="104" a="1"/>
  <c r="AF99" i="104" s="1"/>
  <c r="AE99" i="104" a="1"/>
  <c r="AE99" i="104" s="1"/>
  <c r="AD99" i="104" a="1"/>
  <c r="AD99" i="104" s="1"/>
  <c r="AC99" i="104" a="1"/>
  <c r="AC99" i="104" s="1"/>
  <c r="AB99" i="104" a="1"/>
  <c r="AB99" i="104" s="1"/>
  <c r="AA99" i="104" a="1"/>
  <c r="AA99" i="104" s="1"/>
  <c r="Z99" i="104" a="1"/>
  <c r="Z99" i="104" s="1"/>
  <c r="Y99" i="104" a="1"/>
  <c r="Y99" i="104" s="1"/>
  <c r="X99" i="104" a="1"/>
  <c r="X99" i="104" s="1"/>
  <c r="W99" i="104" a="1"/>
  <c r="W99" i="104" s="1"/>
  <c r="V99" i="104" a="1"/>
  <c r="V99" i="104" s="1"/>
  <c r="U99" i="104" a="1"/>
  <c r="U99" i="104" s="1"/>
  <c r="T99" i="104" a="1"/>
  <c r="T99" i="104" s="1"/>
  <c r="S99" i="104" a="1"/>
  <c r="S99" i="104" s="1"/>
  <c r="R99" i="104" a="1"/>
  <c r="R99" i="104" s="1"/>
  <c r="Q99" i="104" a="1"/>
  <c r="Q99" i="104" s="1"/>
  <c r="P99" i="104" a="1"/>
  <c r="P99" i="104" s="1"/>
  <c r="O99" i="104" a="1"/>
  <c r="O99" i="104" s="1"/>
  <c r="N99" i="104" a="1"/>
  <c r="N99" i="104" s="1"/>
  <c r="M99" i="104" a="1"/>
  <c r="M99" i="104" s="1"/>
  <c r="L99" i="104" a="1"/>
  <c r="L99" i="104" s="1"/>
  <c r="K99" i="104" a="1"/>
  <c r="K99" i="104" s="1"/>
  <c r="J99" i="104" a="1"/>
  <c r="J99" i="104" s="1"/>
  <c r="I99" i="104" a="1"/>
  <c r="I99" i="104" s="1"/>
  <c r="H99" i="104" a="1"/>
  <c r="H99" i="104" s="1"/>
  <c r="G99" i="104" a="1"/>
  <c r="G99" i="104" s="1"/>
  <c r="F99" i="104" a="1"/>
  <c r="F99" i="104" s="1"/>
  <c r="E99" i="104" a="1"/>
  <c r="E99" i="104" s="1"/>
  <c r="D99" i="104" a="1"/>
  <c r="D99" i="104" s="1"/>
  <c r="AH98" i="104" a="1"/>
  <c r="AH98" i="104" s="1"/>
  <c r="AG98" i="104" a="1"/>
  <c r="AG98" i="104" s="1"/>
  <c r="AF98" i="104" a="1"/>
  <c r="AF98" i="104" s="1"/>
  <c r="AE98" i="104" a="1"/>
  <c r="AE98" i="104" s="1"/>
  <c r="AD98" i="104" a="1"/>
  <c r="AD98" i="104" s="1"/>
  <c r="AC98" i="104" a="1"/>
  <c r="AC98" i="104" s="1"/>
  <c r="AB98" i="104" a="1"/>
  <c r="AB98" i="104" s="1"/>
  <c r="AA98" i="104" a="1"/>
  <c r="AA98" i="104" s="1"/>
  <c r="Z98" i="104" a="1"/>
  <c r="Z98" i="104" s="1"/>
  <c r="Y98" i="104" a="1"/>
  <c r="Y98" i="104" s="1"/>
  <c r="X98" i="104" a="1"/>
  <c r="X98" i="104" s="1"/>
  <c r="W98" i="104" a="1"/>
  <c r="W98" i="104" s="1"/>
  <c r="V98" i="104" a="1"/>
  <c r="V98" i="104" s="1"/>
  <c r="U98" i="104" a="1"/>
  <c r="U98" i="104" s="1"/>
  <c r="T98" i="104" a="1"/>
  <c r="T98" i="104" s="1"/>
  <c r="S98" i="104" a="1"/>
  <c r="S98" i="104" s="1"/>
  <c r="R98" i="104" a="1"/>
  <c r="R98" i="104" s="1"/>
  <c r="Q98" i="104" a="1"/>
  <c r="Q98" i="104" s="1"/>
  <c r="P98" i="104" a="1"/>
  <c r="P98" i="104" s="1"/>
  <c r="O98" i="104" a="1"/>
  <c r="O98" i="104" s="1"/>
  <c r="N98" i="104" a="1"/>
  <c r="N98" i="104" s="1"/>
  <c r="M98" i="104" a="1"/>
  <c r="M98" i="104" s="1"/>
  <c r="L98" i="104" a="1"/>
  <c r="L98" i="104" s="1"/>
  <c r="K98" i="104" a="1"/>
  <c r="K98" i="104" s="1"/>
  <c r="J98" i="104" a="1"/>
  <c r="J98" i="104" s="1"/>
  <c r="I98" i="104" a="1"/>
  <c r="I98" i="104" s="1"/>
  <c r="H98" i="104" a="1"/>
  <c r="H98" i="104" s="1"/>
  <c r="G98" i="104" a="1"/>
  <c r="G98" i="104" s="1"/>
  <c r="F98" i="104" a="1"/>
  <c r="F98" i="104" s="1"/>
  <c r="E98" i="104" a="1"/>
  <c r="E98" i="104" s="1"/>
  <c r="D98" i="104" a="1"/>
  <c r="D98" i="104" s="1"/>
  <c r="AH97" i="104" a="1"/>
  <c r="AH97" i="104" s="1"/>
  <c r="AG97" i="104" a="1"/>
  <c r="AG97" i="104" s="1"/>
  <c r="AF97" i="104" a="1"/>
  <c r="AF97" i="104" s="1"/>
  <c r="AE97" i="104" a="1"/>
  <c r="AE97" i="104" s="1"/>
  <c r="AD97" i="104" a="1"/>
  <c r="AD97" i="104" s="1"/>
  <c r="AC97" i="104" a="1"/>
  <c r="AC97" i="104" s="1"/>
  <c r="AB97" i="104" a="1"/>
  <c r="AB97" i="104" s="1"/>
  <c r="AA97" i="104" a="1"/>
  <c r="AA97" i="104" s="1"/>
  <c r="Z97" i="104" a="1"/>
  <c r="Z97" i="104" s="1"/>
  <c r="Y97" i="104" a="1"/>
  <c r="Y97" i="104" s="1"/>
  <c r="X97" i="104" a="1"/>
  <c r="X97" i="104" s="1"/>
  <c r="W97" i="104" a="1"/>
  <c r="W97" i="104" s="1"/>
  <c r="V97" i="104" a="1"/>
  <c r="V97" i="104" s="1"/>
  <c r="U97" i="104" a="1"/>
  <c r="U97" i="104" s="1"/>
  <c r="T97" i="104" a="1"/>
  <c r="T97"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AH96" i="104" a="1"/>
  <c r="AH96" i="104" s="1"/>
  <c r="AG96" i="104" a="1"/>
  <c r="AG96" i="104" s="1"/>
  <c r="AF96" i="104" a="1"/>
  <c r="AF96" i="104" s="1"/>
  <c r="AE96" i="104" a="1"/>
  <c r="AE96" i="104" s="1"/>
  <c r="AD96" i="104" a="1"/>
  <c r="AD96" i="104" s="1"/>
  <c r="AC96" i="104" a="1"/>
  <c r="AC96" i="104" s="1"/>
  <c r="AB96" i="104" a="1"/>
  <c r="AB96" i="104" s="1"/>
  <c r="AA96" i="104" a="1"/>
  <c r="AA96" i="104" s="1"/>
  <c r="Z96" i="104" a="1"/>
  <c r="Z96" i="104" s="1"/>
  <c r="Y96" i="104" a="1"/>
  <c r="Y96" i="104" s="1"/>
  <c r="X96" i="104" a="1"/>
  <c r="X96" i="104" s="1"/>
  <c r="W96" i="104" a="1"/>
  <c r="W96" i="104" s="1"/>
  <c r="V96" i="104" a="1"/>
  <c r="V96" i="104" s="1"/>
  <c r="U96" i="104" a="1"/>
  <c r="U96" i="104" s="1"/>
  <c r="T96" i="104" a="1"/>
  <c r="T96"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AH95" i="104" a="1"/>
  <c r="AH95" i="104" s="1"/>
  <c r="AG95" i="104" a="1"/>
  <c r="AG95" i="104" s="1"/>
  <c r="AF95" i="104" a="1"/>
  <c r="AF95" i="104" s="1"/>
  <c r="AE95" i="104" a="1"/>
  <c r="AE95" i="104" s="1"/>
  <c r="AD95" i="104" a="1"/>
  <c r="AD95" i="104" s="1"/>
  <c r="AC95" i="104" a="1"/>
  <c r="AC95" i="104" s="1"/>
  <c r="AB95" i="104" a="1"/>
  <c r="AB95" i="104" s="1"/>
  <c r="AA95" i="104" a="1"/>
  <c r="AA95" i="104" s="1"/>
  <c r="Z95" i="104" a="1"/>
  <c r="Z95" i="104" s="1"/>
  <c r="Y95" i="104" a="1"/>
  <c r="Y95" i="104" s="1"/>
  <c r="X95" i="104" a="1"/>
  <c r="X95" i="104" s="1"/>
  <c r="W95" i="104" a="1"/>
  <c r="W95" i="104" s="1"/>
  <c r="V95" i="104" a="1"/>
  <c r="V95" i="104" s="1"/>
  <c r="U95" i="104" a="1"/>
  <c r="U95" i="104" s="1"/>
  <c r="T95" i="104" a="1"/>
  <c r="T95"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AH94" i="104" a="1"/>
  <c r="AH94" i="104" s="1"/>
  <c r="AG94" i="104" a="1"/>
  <c r="AG94" i="104" s="1"/>
  <c r="AF94" i="104" a="1"/>
  <c r="AF94" i="104" s="1"/>
  <c r="AE94" i="104" a="1"/>
  <c r="AE94" i="104" s="1"/>
  <c r="AD94" i="104" a="1"/>
  <c r="AD94" i="104" s="1"/>
  <c r="AC94" i="104" a="1"/>
  <c r="AC94" i="104" s="1"/>
  <c r="AB94" i="104" a="1"/>
  <c r="AB94" i="104" s="1"/>
  <c r="AA94" i="104" a="1"/>
  <c r="AA94" i="104" s="1"/>
  <c r="Z94" i="104" a="1"/>
  <c r="Z94" i="104" s="1"/>
  <c r="Y94" i="104" a="1"/>
  <c r="Y94" i="104" s="1"/>
  <c r="X94" i="104" a="1"/>
  <c r="X94" i="104" s="1"/>
  <c r="W94" i="104" a="1"/>
  <c r="W94" i="104" s="1"/>
  <c r="V94" i="104" a="1"/>
  <c r="V94" i="104" s="1"/>
  <c r="U94" i="104" a="1"/>
  <c r="U94" i="104" s="1"/>
  <c r="T94" i="104" a="1"/>
  <c r="T94"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AH93" i="104" a="1"/>
  <c r="AH93" i="104" s="1"/>
  <c r="AG93" i="104" a="1"/>
  <c r="AG93" i="104" s="1"/>
  <c r="AF93" i="104" a="1"/>
  <c r="AF93" i="104" s="1"/>
  <c r="AE93" i="104" a="1"/>
  <c r="AE93" i="104" s="1"/>
  <c r="AD93" i="104" a="1"/>
  <c r="AD93" i="104" s="1"/>
  <c r="AC93" i="104" a="1"/>
  <c r="AC93" i="104" s="1"/>
  <c r="AB93" i="104" a="1"/>
  <c r="AB93" i="104" s="1"/>
  <c r="AA93" i="104" a="1"/>
  <c r="AA93" i="104" s="1"/>
  <c r="Z93" i="104" a="1"/>
  <c r="Z93" i="104" s="1"/>
  <c r="Y93" i="104" a="1"/>
  <c r="Y93" i="104" s="1"/>
  <c r="X93" i="104" a="1"/>
  <c r="X93" i="104" s="1"/>
  <c r="W93" i="104" a="1"/>
  <c r="W93" i="104" s="1"/>
  <c r="V93" i="104" a="1"/>
  <c r="V93" i="104" s="1"/>
  <c r="U93" i="104" a="1"/>
  <c r="U93" i="104" s="1"/>
  <c r="T93" i="104" a="1"/>
  <c r="T93"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AH92" i="104" a="1"/>
  <c r="AH92" i="104" s="1"/>
  <c r="AG92" i="104" a="1"/>
  <c r="AG92" i="104" s="1"/>
  <c r="AF92" i="104" a="1"/>
  <c r="AF92" i="104" s="1"/>
  <c r="AE92" i="104" a="1"/>
  <c r="AE92" i="104" s="1"/>
  <c r="AD92" i="104" a="1"/>
  <c r="AD92" i="104" s="1"/>
  <c r="AC92" i="104" a="1"/>
  <c r="AC92" i="104" s="1"/>
  <c r="AB92" i="104" a="1"/>
  <c r="AB92" i="104" s="1"/>
  <c r="AA92" i="104" a="1"/>
  <c r="AA92" i="104" s="1"/>
  <c r="Z92" i="104" a="1"/>
  <c r="Z92" i="104" s="1"/>
  <c r="Y92" i="104" a="1"/>
  <c r="Y92" i="104" s="1"/>
  <c r="X92" i="104" a="1"/>
  <c r="X92" i="104" s="1"/>
  <c r="W92" i="104" a="1"/>
  <c r="W92" i="104" s="1"/>
  <c r="V92" i="104" a="1"/>
  <c r="V92" i="104" s="1"/>
  <c r="U92" i="104" a="1"/>
  <c r="U92" i="104" s="1"/>
  <c r="T92" i="104" a="1"/>
  <c r="T92"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AH91" i="104" a="1"/>
  <c r="AH91" i="104" s="1"/>
  <c r="AG91" i="104" a="1"/>
  <c r="AG91" i="104" s="1"/>
  <c r="AF91" i="104" a="1"/>
  <c r="AF91" i="104" s="1"/>
  <c r="AE91" i="104" a="1"/>
  <c r="AE91" i="104" s="1"/>
  <c r="AD91" i="104" a="1"/>
  <c r="AD91" i="104" s="1"/>
  <c r="AC91" i="104" a="1"/>
  <c r="AC91" i="104" s="1"/>
  <c r="AB91" i="104" a="1"/>
  <c r="AB91" i="104" s="1"/>
  <c r="AA91" i="104" a="1"/>
  <c r="AA91" i="104" s="1"/>
  <c r="Z91" i="104" a="1"/>
  <c r="Z91" i="104" s="1"/>
  <c r="Y91" i="104" a="1"/>
  <c r="Y91" i="104" s="1"/>
  <c r="X91" i="104" a="1"/>
  <c r="X91" i="104" s="1"/>
  <c r="W91" i="104" a="1"/>
  <c r="W91" i="104" s="1"/>
  <c r="V91" i="104" a="1"/>
  <c r="V91" i="104" s="1"/>
  <c r="U91" i="104" a="1"/>
  <c r="U91" i="104" s="1"/>
  <c r="T91" i="104" a="1"/>
  <c r="T91"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AH90" i="104" a="1"/>
  <c r="AH90" i="104" s="1"/>
  <c r="AG90" i="104" a="1"/>
  <c r="AG90" i="104" s="1"/>
  <c r="AF90" i="104" a="1"/>
  <c r="AF90" i="104" s="1"/>
  <c r="AE90" i="104" a="1"/>
  <c r="AE90" i="104" s="1"/>
  <c r="AD90" i="104" a="1"/>
  <c r="AD90" i="104" s="1"/>
  <c r="AC90" i="104" a="1"/>
  <c r="AC90" i="104" s="1"/>
  <c r="AB90" i="104" a="1"/>
  <c r="AB90" i="104" s="1"/>
  <c r="AA90" i="104" a="1"/>
  <c r="AA90" i="104" s="1"/>
  <c r="Z90" i="104" a="1"/>
  <c r="Z90" i="104" s="1"/>
  <c r="Y90" i="104" a="1"/>
  <c r="Y90" i="104" s="1"/>
  <c r="X90" i="104" a="1"/>
  <c r="X90" i="104" s="1"/>
  <c r="W90" i="104" a="1"/>
  <c r="W90" i="104" s="1"/>
  <c r="V90" i="104" a="1"/>
  <c r="V90" i="104" s="1"/>
  <c r="U90" i="104" a="1"/>
  <c r="U90" i="104" s="1"/>
  <c r="T90" i="104" a="1"/>
  <c r="T90"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Q19" i="97" s="1" a="1"/>
  <c r="Q19" i="97" s="1"/>
  <c r="D90" i="104" a="1"/>
  <c r="D90" i="104" s="1"/>
  <c r="F83" i="104" a="1"/>
  <c r="F83" i="104" s="1"/>
  <c r="E83" i="104" a="1"/>
  <c r="E83" i="104" s="1"/>
  <c r="J91" i="103" s="1"/>
  <c r="D83" i="104" a="1"/>
  <c r="D83" i="104" s="1"/>
  <c r="D82" i="104" a="1"/>
  <c r="D82" i="104" s="1"/>
  <c r="D81" i="104" a="1"/>
  <c r="D81" i="104" s="1"/>
  <c r="F78" i="104" a="1"/>
  <c r="F78" i="104" s="1"/>
  <c r="E78" i="104" a="1"/>
  <c r="E78" i="104" s="1"/>
  <c r="I57" i="103" s="1"/>
  <c r="D78" i="104" a="1"/>
  <c r="D78" i="104" s="1"/>
  <c r="D77" i="104" a="1"/>
  <c r="D77" i="104" s="1"/>
  <c r="D76" i="104" a="1"/>
  <c r="D76" i="104" s="1"/>
  <c r="F73" i="104" a="1"/>
  <c r="F73" i="104" s="1"/>
  <c r="E73" i="104" a="1"/>
  <c r="E73" i="104" s="1"/>
  <c r="I97" i="102" s="1"/>
  <c r="D73" i="104" a="1"/>
  <c r="D73" i="104" s="1"/>
  <c r="D72" i="104" a="1"/>
  <c r="D72" i="104" s="1"/>
  <c r="D71" i="104" a="1"/>
  <c r="D71" i="104" s="1"/>
  <c r="F68" i="104" a="1"/>
  <c r="F68" i="104" s="1"/>
  <c r="E68" i="104" a="1"/>
  <c r="E68" i="104" s="1"/>
  <c r="D68" i="104" a="1"/>
  <c r="D68" i="104" s="1"/>
  <c r="F67" i="104" a="1"/>
  <c r="F67" i="104" s="1"/>
  <c r="I19" i="101" s="1"/>
  <c r="E67" i="104" a="1"/>
  <c r="E67" i="104" s="1"/>
  <c r="I18" i="101" s="1"/>
  <c r="D67" i="104" a="1"/>
  <c r="D67" i="104" s="1"/>
  <c r="F66" i="104" a="1"/>
  <c r="F66" i="104" s="1"/>
  <c r="I16" i="101" s="1"/>
  <c r="E66" i="104" a="1"/>
  <c r="E66" i="104" s="1"/>
  <c r="I15" i="101" s="1"/>
  <c r="D66" i="104" a="1"/>
  <c r="D66" i="104" s="1"/>
  <c r="D64" i="104" a="1"/>
  <c r="D64" i="104" s="1"/>
  <c r="D63" i="104" a="1"/>
  <c r="D63" i="104" s="1"/>
  <c r="F60" i="104" a="1"/>
  <c r="F60" i="104" s="1"/>
  <c r="E60" i="104" a="1"/>
  <c r="E60" i="104" s="1"/>
  <c r="I50" i="99" s="1"/>
  <c r="D60" i="104" a="1"/>
  <c r="D60" i="104" s="1"/>
  <c r="D59" i="104" a="1"/>
  <c r="D59" i="104" s="1"/>
  <c r="D58" i="104" a="1"/>
  <c r="D58" i="104" s="1"/>
  <c r="E55" i="104" a="1"/>
  <c r="E55" i="104" s="1"/>
  <c r="D55" i="104" a="1"/>
  <c r="D55" i="104" s="1"/>
  <c r="E54" i="104" a="1"/>
  <c r="E54" i="104" s="1"/>
  <c r="D54" i="104" a="1"/>
  <c r="D54" i="104" s="1"/>
  <c r="E53" i="104" a="1"/>
  <c r="E53" i="104" s="1"/>
  <c r="D53" i="104" a="1"/>
  <c r="D53" i="104" s="1"/>
  <c r="E52" i="104" a="1"/>
  <c r="E52" i="104" s="1"/>
  <c r="D52" i="104" a="1"/>
  <c r="D52" i="104" s="1"/>
  <c r="E51" i="104" a="1"/>
  <c r="E51" i="104" s="1"/>
  <c r="D51" i="104" a="1"/>
  <c r="D51" i="104" s="1"/>
  <c r="D49" i="104" a="1"/>
  <c r="D49" i="104" s="1"/>
  <c r="D48" i="104" a="1"/>
  <c r="D48" i="104" s="1"/>
  <c r="I38" i="104" a="1"/>
  <c r="I38" i="104" s="1"/>
  <c r="H38" i="104" a="1"/>
  <c r="H38" i="104" s="1"/>
  <c r="G38" i="104" a="1"/>
  <c r="G38" i="104" s="1"/>
  <c r="F38" i="104" a="1"/>
  <c r="F38" i="104" s="1"/>
  <c r="E38" i="104" a="1"/>
  <c r="E38" i="104" s="1"/>
  <c r="D38" i="104" a="1"/>
  <c r="D38" i="104" s="1"/>
  <c r="G180" i="115" s="1"/>
  <c r="I37" i="104" a="1"/>
  <c r="I37" i="104" s="1"/>
  <c r="H37" i="104" a="1"/>
  <c r="H37" i="104" s="1"/>
  <c r="G37" i="104" a="1"/>
  <c r="G37" i="104" s="1"/>
  <c r="F37" i="104" a="1"/>
  <c r="F37" i="104" s="1"/>
  <c r="E37" i="104" a="1"/>
  <c r="E37" i="104" s="1"/>
  <c r="D37" i="104" a="1"/>
  <c r="D37" i="104" s="1"/>
  <c r="G174" i="115" s="1"/>
  <c r="I36" i="104" a="1"/>
  <c r="I36" i="104" s="1"/>
  <c r="H36" i="104" a="1"/>
  <c r="H36" i="104" s="1"/>
  <c r="G36" i="104" a="1"/>
  <c r="G36" i="104" s="1"/>
  <c r="F36" i="104" a="1"/>
  <c r="F36" i="104" s="1"/>
  <c r="E36" i="104" a="1"/>
  <c r="E36" i="104" s="1"/>
  <c r="D36" i="104" a="1"/>
  <c r="D36" i="104" s="1"/>
  <c r="G190" i="115" s="1"/>
  <c r="I35" i="104" a="1"/>
  <c r="I35" i="104" s="1"/>
  <c r="H35" i="104" a="1"/>
  <c r="H35" i="104" s="1"/>
  <c r="G35" i="104" a="1"/>
  <c r="G35" i="104" s="1"/>
  <c r="F35" i="104" a="1"/>
  <c r="F35" i="104" s="1"/>
  <c r="E35" i="104" a="1"/>
  <c r="E35" i="104" s="1"/>
  <c r="D35" i="104" a="1"/>
  <c r="D35" i="104" s="1"/>
  <c r="G182" i="115" s="1"/>
  <c r="I34" i="104" a="1"/>
  <c r="I34" i="104" s="1"/>
  <c r="H34" i="104" a="1"/>
  <c r="H34" i="104" s="1"/>
  <c r="G34" i="104" a="1"/>
  <c r="G34" i="104" s="1"/>
  <c r="F34" i="104" a="1"/>
  <c r="F34" i="104" s="1"/>
  <c r="E34" i="104" a="1"/>
  <c r="E34" i="104" s="1"/>
  <c r="D34" i="104" a="1"/>
  <c r="D34" i="104" s="1"/>
  <c r="G184" i="115" s="1"/>
  <c r="I33" i="104" a="1"/>
  <c r="I33" i="104" s="1"/>
  <c r="H33" i="104" a="1"/>
  <c r="H33" i="104" s="1"/>
  <c r="G33" i="104" a="1"/>
  <c r="G33" i="104" s="1"/>
  <c r="F33" i="104" a="1"/>
  <c r="F33" i="104" s="1"/>
  <c r="E33" i="104" a="1"/>
  <c r="E33" i="104" s="1"/>
  <c r="D33" i="104" a="1"/>
  <c r="D33" i="104" s="1"/>
  <c r="G198" i="115" s="1"/>
  <c r="I32" i="104" a="1"/>
  <c r="I32" i="104" s="1"/>
  <c r="H32" i="104" a="1"/>
  <c r="H32" i="104" s="1"/>
  <c r="G32" i="104" a="1"/>
  <c r="G32" i="104" s="1"/>
  <c r="F32" i="104" a="1"/>
  <c r="F32" i="104" s="1"/>
  <c r="E32" i="104" a="1"/>
  <c r="E32" i="104" s="1"/>
  <c r="D32" i="104" a="1"/>
  <c r="D32" i="104" s="1"/>
  <c r="G191" i="115" s="1"/>
  <c r="I31" i="104" a="1"/>
  <c r="I31" i="104" s="1"/>
  <c r="H31" i="104" a="1"/>
  <c r="H31" i="104" s="1"/>
  <c r="G31" i="104" a="1"/>
  <c r="G31" i="104" s="1"/>
  <c r="F31" i="104" a="1"/>
  <c r="F31" i="104" s="1"/>
  <c r="E31" i="104" a="1"/>
  <c r="E31" i="104" s="1"/>
  <c r="D31" i="104" a="1"/>
  <c r="D31" i="104" s="1"/>
  <c r="G189" i="115" s="1"/>
  <c r="I30" i="104" a="1"/>
  <c r="I30" i="104" s="1"/>
  <c r="H30" i="104" a="1"/>
  <c r="H30" i="104" s="1"/>
  <c r="G30" i="104" a="1"/>
  <c r="G30" i="104" s="1"/>
  <c r="F30" i="104" a="1"/>
  <c r="F30" i="104" s="1"/>
  <c r="E30" i="104" a="1"/>
  <c r="E30" i="104" s="1"/>
  <c r="D30" i="104" a="1"/>
  <c r="D30" i="104" s="1"/>
  <c r="G188" i="115" s="1"/>
  <c r="I29" i="104" a="1"/>
  <c r="I29" i="104" s="1"/>
  <c r="H29" i="104" a="1"/>
  <c r="H29" i="104" s="1"/>
  <c r="G29" i="104" a="1"/>
  <c r="G29" i="104" s="1"/>
  <c r="F29" i="104" a="1"/>
  <c r="F29" i="104" s="1"/>
  <c r="E29" i="104" a="1"/>
  <c r="E29" i="104" s="1"/>
  <c r="D29" i="104" a="1"/>
  <c r="D29" i="104" s="1"/>
  <c r="G186" i="115" s="1"/>
  <c r="R28" i="104" a="1"/>
  <c r="R28" i="104" s="1"/>
  <c r="Q28" i="104" a="1"/>
  <c r="Q28" i="104" s="1"/>
  <c r="L28" i="104" a="1"/>
  <c r="L28" i="104" s="1"/>
  <c r="K28" i="104" a="1"/>
  <c r="K28" i="104" s="1"/>
  <c r="I28" i="104" a="1"/>
  <c r="I28" i="104" s="1"/>
  <c r="H28" i="104" a="1"/>
  <c r="H28" i="104" s="1"/>
  <c r="G28" i="104" a="1"/>
  <c r="G28" i="104" s="1"/>
  <c r="F28" i="104" a="1"/>
  <c r="F28" i="104" s="1"/>
  <c r="E28" i="104" a="1"/>
  <c r="E28" i="104" s="1"/>
  <c r="D28" i="104" a="1"/>
  <c r="D28" i="104" s="1"/>
  <c r="G187" i="115" s="1"/>
  <c r="R27" i="104" a="1"/>
  <c r="R27" i="104" s="1"/>
  <c r="Q27" i="104" a="1"/>
  <c r="Q27" i="104" s="1"/>
  <c r="L27" i="104" a="1"/>
  <c r="L27" i="104" s="1"/>
  <c r="K27" i="104" a="1"/>
  <c r="K27" i="104" s="1"/>
  <c r="I27" i="104" a="1"/>
  <c r="I27" i="104" s="1"/>
  <c r="H27" i="104" a="1"/>
  <c r="H27" i="104" s="1"/>
  <c r="G27" i="104" a="1"/>
  <c r="G27" i="104" s="1"/>
  <c r="F27" i="104" a="1"/>
  <c r="F27" i="104" s="1"/>
  <c r="E27" i="104" a="1"/>
  <c r="E27" i="104" s="1"/>
  <c r="D27" i="104" a="1"/>
  <c r="D27" i="104" s="1"/>
  <c r="G185" i="115" s="1"/>
  <c r="R26" i="104" a="1"/>
  <c r="R26" i="104" s="1"/>
  <c r="Q26" i="104" a="1"/>
  <c r="Q26" i="104" s="1"/>
  <c r="L26" i="104" a="1"/>
  <c r="L26" i="104" s="1"/>
  <c r="K26" i="104" a="1"/>
  <c r="K26" i="104" s="1"/>
  <c r="I26" i="104" a="1"/>
  <c r="I26" i="104" s="1"/>
  <c r="H26" i="104" a="1"/>
  <c r="H26" i="104" s="1"/>
  <c r="G26" i="104" a="1"/>
  <c r="G26" i="104" s="1"/>
  <c r="F26" i="104" a="1"/>
  <c r="F26" i="104" s="1"/>
  <c r="E26" i="104" a="1"/>
  <c r="E26" i="104" s="1"/>
  <c r="D26" i="104" a="1"/>
  <c r="D26" i="104" s="1"/>
  <c r="G179" i="115" s="1"/>
  <c r="R25" i="104" a="1"/>
  <c r="R25" i="104" s="1"/>
  <c r="Q25" i="104" a="1"/>
  <c r="Q25" i="104" s="1"/>
  <c r="L25" i="104" a="1"/>
  <c r="L25" i="104" s="1"/>
  <c r="K25" i="104" a="1"/>
  <c r="K25" i="104" s="1"/>
  <c r="I25" i="104" a="1"/>
  <c r="I25" i="104" s="1"/>
  <c r="H25" i="104" a="1"/>
  <c r="H25" i="104" s="1"/>
  <c r="G25" i="104" a="1"/>
  <c r="G25" i="104" s="1"/>
  <c r="F25" i="104" a="1"/>
  <c r="F25" i="104" s="1"/>
  <c r="E25" i="104" a="1"/>
  <c r="E25" i="104" s="1"/>
  <c r="D25" i="104" a="1"/>
  <c r="D25" i="104" s="1"/>
  <c r="G178" i="115" s="1"/>
  <c r="R24" i="104" a="1"/>
  <c r="R24" i="104" s="1"/>
  <c r="Q24" i="104" a="1"/>
  <c r="Q24" i="104" s="1"/>
  <c r="L24" i="104" a="1"/>
  <c r="L24" i="104" s="1"/>
  <c r="K24" i="104" a="1"/>
  <c r="K24" i="104" s="1"/>
  <c r="I24" i="104" a="1"/>
  <c r="I24" i="104" s="1"/>
  <c r="H24" i="104" a="1"/>
  <c r="H24" i="104" s="1"/>
  <c r="G24" i="104" a="1"/>
  <c r="G24" i="104" s="1"/>
  <c r="F24" i="104" a="1"/>
  <c r="F24" i="104" s="1"/>
  <c r="E24" i="104" a="1"/>
  <c r="E24" i="104" s="1"/>
  <c r="D24" i="104" a="1"/>
  <c r="D24" i="104" s="1"/>
  <c r="G193" i="115" s="1"/>
  <c r="V23" i="104" a="1"/>
  <c r="V23" i="104" s="1"/>
  <c r="R23" i="104" a="1"/>
  <c r="R23" i="104" s="1"/>
  <c r="Q23" i="104" a="1"/>
  <c r="Q23" i="104" s="1"/>
  <c r="L23" i="104" a="1"/>
  <c r="L23" i="104" s="1"/>
  <c r="K23" i="104" a="1"/>
  <c r="K23" i="104" s="1"/>
  <c r="I23" i="104" a="1"/>
  <c r="I23" i="104" s="1"/>
  <c r="H23" i="104" a="1"/>
  <c r="H23" i="104" s="1"/>
  <c r="G23" i="104" a="1"/>
  <c r="G23" i="104" s="1"/>
  <c r="F23" i="104" a="1"/>
  <c r="F23" i="104" s="1"/>
  <c r="E23" i="104" a="1"/>
  <c r="E23" i="104" s="1"/>
  <c r="D23" i="104" a="1"/>
  <c r="D23" i="104" s="1"/>
  <c r="G192" i="115" s="1"/>
  <c r="V22" i="104" a="1"/>
  <c r="V22" i="104" s="1"/>
  <c r="I176" i="115" s="1"/>
  <c r="R22" i="104" a="1"/>
  <c r="R22" i="104" s="1"/>
  <c r="Q22" i="104" a="1"/>
  <c r="Q22" i="104" s="1"/>
  <c r="L22" i="104" a="1"/>
  <c r="L22" i="104" s="1"/>
  <c r="K22" i="104" a="1"/>
  <c r="K22" i="104" s="1"/>
  <c r="I22" i="104" a="1"/>
  <c r="I22" i="104" s="1"/>
  <c r="H22" i="104" a="1"/>
  <c r="H22" i="104" s="1"/>
  <c r="G22" i="104" a="1"/>
  <c r="G22" i="104" s="1"/>
  <c r="F22" i="104" a="1"/>
  <c r="F22" i="104" s="1"/>
  <c r="E22" i="104" a="1"/>
  <c r="E22" i="104" s="1"/>
  <c r="D22" i="104" a="1"/>
  <c r="D22" i="104" s="1"/>
  <c r="V21" i="104" a="1"/>
  <c r="V21" i="104" s="1"/>
  <c r="I175" i="115" s="1"/>
  <c r="R21" i="104" a="1"/>
  <c r="R21" i="104" s="1"/>
  <c r="Q21" i="104" a="1"/>
  <c r="Q21" i="104" s="1"/>
  <c r="L21" i="104" a="1"/>
  <c r="L21" i="104" s="1"/>
  <c r="K21" i="104" a="1"/>
  <c r="K21" i="104" s="1"/>
  <c r="I21" i="104" a="1"/>
  <c r="I21" i="104" s="1"/>
  <c r="H21" i="104" a="1"/>
  <c r="H21" i="104" s="1"/>
  <c r="G21" i="104" a="1"/>
  <c r="G21" i="104" s="1"/>
  <c r="F21" i="104" a="1"/>
  <c r="F21" i="104" s="1"/>
  <c r="E21" i="104" a="1"/>
  <c r="E21" i="104" s="1"/>
  <c r="D21" i="104" a="1"/>
  <c r="D21" i="104" s="1"/>
  <c r="G181" i="115" s="1"/>
  <c r="V20" i="104" a="1"/>
  <c r="V20" i="104" s="1"/>
  <c r="H194" i="115" s="1"/>
  <c r="R20" i="104" a="1"/>
  <c r="R20" i="104" s="1"/>
  <c r="Q20" i="104" a="1"/>
  <c r="Q20" i="104" s="1"/>
  <c r="L20" i="104" a="1"/>
  <c r="L20" i="104" s="1"/>
  <c r="K20" i="104" a="1"/>
  <c r="K20" i="104" s="1"/>
  <c r="I20" i="104" a="1"/>
  <c r="I20" i="104" s="1"/>
  <c r="H20" i="104" a="1"/>
  <c r="H20" i="104" s="1"/>
  <c r="G20" i="104" a="1"/>
  <c r="G20" i="104" s="1"/>
  <c r="F20" i="104" a="1"/>
  <c r="F20" i="104" s="1"/>
  <c r="E20" i="104" a="1"/>
  <c r="E20" i="104" s="1"/>
  <c r="D20" i="104" a="1"/>
  <c r="D20" i="104" s="1"/>
  <c r="G183" i="115" s="1"/>
  <c r="V18" i="104" a="1"/>
  <c r="V18" i="104" s="1"/>
  <c r="Q18" i="104" a="1"/>
  <c r="Q18" i="104" s="1"/>
  <c r="K18" i="104" a="1"/>
  <c r="K18" i="104" s="1"/>
  <c r="V17" i="104" a="1"/>
  <c r="V17" i="104" s="1"/>
  <c r="Q17" i="104" a="1"/>
  <c r="Q17" i="104" s="1"/>
  <c r="K17" i="104" a="1"/>
  <c r="K17" i="104" s="1"/>
  <c r="D7" i="104" a="1"/>
  <c r="D7" i="104" s="1"/>
  <c r="D6" i="104" a="1"/>
  <c r="D6" i="104" s="1"/>
  <c r="D5" i="104" a="1"/>
  <c r="D5" i="104" s="1"/>
  <c r="F99" i="103" a="1"/>
  <c r="F99" i="103" s="1"/>
  <c r="D96" i="103" a="1"/>
  <c r="D96" i="103" s="1"/>
  <c r="H89" i="103" a="1"/>
  <c r="H89" i="103" s="1"/>
  <c r="D89" i="103" a="1"/>
  <c r="D89" i="103" s="1"/>
  <c r="E87" i="103" a="1"/>
  <c r="E87" i="103" s="1"/>
  <c r="F94" i="103" s="1"/>
  <c r="E86" i="103" a="1"/>
  <c r="E86" i="103" s="1"/>
  <c r="D82" i="103" a="1"/>
  <c r="D82" i="103" s="1"/>
  <c r="D81" i="103" a="1"/>
  <c r="D81" i="103" s="1"/>
  <c r="D67" i="103"/>
  <c r="D66" i="103"/>
  <c r="D65" i="103"/>
  <c r="I60" i="103"/>
  <c r="I59" i="103"/>
  <c r="I58" i="103"/>
  <c r="I55" i="103" a="1"/>
  <c r="I55" i="103" s="1"/>
  <c r="G55" i="103" a="1"/>
  <c r="G55" i="103" s="1"/>
  <c r="D55" i="103" a="1"/>
  <c r="D55" i="103" s="1"/>
  <c r="E53" i="103" a="1"/>
  <c r="E53" i="103" s="1"/>
  <c r="F77" i="103" s="1"/>
  <c r="E52" i="103" a="1"/>
  <c r="E52" i="103" s="1"/>
  <c r="D48" i="103" a="1"/>
  <c r="D48" i="103" s="1"/>
  <c r="D47" i="103" a="1"/>
  <c r="D47" i="103" s="1"/>
  <c r="I18" i="103"/>
  <c r="I17" i="103"/>
  <c r="I16" i="103"/>
  <c r="I13" i="103" a="1"/>
  <c r="I13" i="103" s="1"/>
  <c r="G13" i="103" a="1"/>
  <c r="G13" i="103" s="1"/>
  <c r="D13" i="103" a="1"/>
  <c r="D13" i="103" s="1"/>
  <c r="E11" i="103" a="1"/>
  <c r="E11" i="103" s="1"/>
  <c r="F43" i="103" s="1"/>
  <c r="E10" i="103" a="1"/>
  <c r="E10" i="103" s="1"/>
  <c r="D6" i="103" a="1"/>
  <c r="D6" i="103" s="1"/>
  <c r="D5" i="103" a="1"/>
  <c r="D5" i="103" s="1"/>
  <c r="F151" i="102" a="1"/>
  <c r="F151" i="102" s="1"/>
  <c r="D148" i="102" a="1"/>
  <c r="D148" i="102" s="1"/>
  <c r="I128" i="102"/>
  <c r="I127" i="102"/>
  <c r="I124" i="102" a="1"/>
  <c r="I124" i="102" s="1"/>
  <c r="G124" i="102" a="1"/>
  <c r="G124" i="102" s="1"/>
  <c r="D124" i="102" a="1"/>
  <c r="D124" i="102" s="1"/>
  <c r="E122" i="102" a="1"/>
  <c r="E122" i="102" s="1"/>
  <c r="F146" i="102" s="1"/>
  <c r="E121" i="102" a="1"/>
  <c r="E121" i="102" s="1"/>
  <c r="D117" i="102" a="1"/>
  <c r="D117" i="102" s="1"/>
  <c r="D116" i="102" a="1"/>
  <c r="D116" i="102" s="1"/>
  <c r="I96" i="102" a="1"/>
  <c r="I96" i="102" s="1"/>
  <c r="G96" i="102" a="1"/>
  <c r="G96" i="102" s="1"/>
  <c r="D96" i="102" a="1"/>
  <c r="D96" i="102" s="1"/>
  <c r="E94" i="102" a="1"/>
  <c r="E94" i="102" s="1"/>
  <c r="G102" i="102" s="1"/>
  <c r="E93" i="102" a="1"/>
  <c r="E93" i="102" s="1"/>
  <c r="D89" i="102" a="1"/>
  <c r="D89" i="102" s="1"/>
  <c r="D88" i="102" a="1"/>
  <c r="D88" i="102" s="1"/>
  <c r="F84" i="102" a="1"/>
  <c r="F84" i="102" s="1"/>
  <c r="D81" i="102" a="1"/>
  <c r="D81" i="102" s="1"/>
  <c r="J53" i="102"/>
  <c r="J52" i="102"/>
  <c r="J49" i="102" a="1"/>
  <c r="J49" i="102" s="1"/>
  <c r="H49" i="102" a="1"/>
  <c r="H49" i="102" s="1"/>
  <c r="D49" i="102" a="1"/>
  <c r="D49" i="102" s="1"/>
  <c r="E47" i="102" a="1"/>
  <c r="E47" i="102" s="1"/>
  <c r="F79" i="102" s="1"/>
  <c r="E46" i="102" a="1"/>
  <c r="E46" i="102" s="1"/>
  <c r="D42" i="102" a="1"/>
  <c r="D42" i="102" s="1"/>
  <c r="D41" i="102" a="1"/>
  <c r="D41" i="102" s="1"/>
  <c r="I14" i="102" a="1"/>
  <c r="I14" i="102" s="1"/>
  <c r="I13" i="102" a="1"/>
  <c r="I13" i="102" s="1"/>
  <c r="G13" i="102" a="1"/>
  <c r="G13" i="102" s="1"/>
  <c r="D13" i="102" a="1"/>
  <c r="D13" i="102" s="1"/>
  <c r="E11" i="102" a="1"/>
  <c r="E11" i="102" s="1"/>
  <c r="E10" i="102" a="1"/>
  <c r="E10" i="102" s="1"/>
  <c r="D6" i="102" a="1"/>
  <c r="D6" i="102" s="1"/>
  <c r="D5" i="102" a="1"/>
  <c r="D5" i="102" s="1"/>
  <c r="I17" i="101" a="1"/>
  <c r="I17" i="101" s="1"/>
  <c r="I14" i="101" a="1"/>
  <c r="I14" i="101" s="1"/>
  <c r="I13" i="101" a="1"/>
  <c r="I13" i="101" s="1"/>
  <c r="G13" i="101" a="1"/>
  <c r="G13" i="101" s="1"/>
  <c r="D13" i="101" a="1"/>
  <c r="D13" i="101" s="1"/>
  <c r="E11" i="101" a="1"/>
  <c r="E11" i="101" s="1"/>
  <c r="E10" i="101" a="1"/>
  <c r="E10" i="101" s="1"/>
  <c r="D6" i="101" a="1"/>
  <c r="D6" i="101" s="1"/>
  <c r="D5" i="101" a="1"/>
  <c r="D5" i="101" s="1"/>
  <c r="F55" i="100" a="1"/>
  <c r="F55" i="100" s="1"/>
  <c r="D52" i="100" a="1"/>
  <c r="D52" i="100" s="1"/>
  <c r="K47" i="100"/>
  <c r="I44" i="100" a="1"/>
  <c r="I44" i="100" s="1"/>
  <c r="D44" i="100" a="1"/>
  <c r="D44" i="100" s="1"/>
  <c r="E42" i="100" a="1"/>
  <c r="E42" i="100" s="1"/>
  <c r="F50" i="100" s="1"/>
  <c r="E41" i="100" a="1"/>
  <c r="E41" i="100" s="1"/>
  <c r="D37" i="100" a="1"/>
  <c r="D37" i="100" s="1"/>
  <c r="D36" i="100" a="1"/>
  <c r="D36" i="100" s="1"/>
  <c r="I30" i="100" a="1"/>
  <c r="I30" i="100" s="1"/>
  <c r="I29" i="100" a="1"/>
  <c r="I29" i="100" s="1"/>
  <c r="I28" i="100" a="1"/>
  <c r="I28" i="100" s="1"/>
  <c r="E73" i="103" s="1"/>
  <c r="I27" i="100" a="1"/>
  <c r="I27" i="100" s="1"/>
  <c r="E72" i="103" s="1"/>
  <c r="I26" i="100" a="1"/>
  <c r="I26" i="100" s="1"/>
  <c r="E71" i="103" s="1"/>
  <c r="I25" i="100" a="1"/>
  <c r="I25" i="100" s="1"/>
  <c r="E107" i="102" s="1"/>
  <c r="I24" i="100" a="1"/>
  <c r="I24" i="100" s="1"/>
  <c r="I23" i="100" a="1"/>
  <c r="I23" i="100" s="1"/>
  <c r="I15" i="100" a="1"/>
  <c r="I15" i="100" s="1"/>
  <c r="I14" i="100" a="1"/>
  <c r="I14" i="100" s="1"/>
  <c r="I13" i="100" a="1"/>
  <c r="I13" i="100" s="1"/>
  <c r="G13" i="100" a="1"/>
  <c r="G13" i="100" s="1"/>
  <c r="D13" i="100" a="1"/>
  <c r="D13" i="100" s="1"/>
  <c r="E11" i="100" a="1"/>
  <c r="E11" i="100" s="1"/>
  <c r="F32" i="100" s="1"/>
  <c r="E10" i="100" a="1"/>
  <c r="E10" i="100" s="1"/>
  <c r="D6" i="100" a="1"/>
  <c r="D6" i="100" s="1"/>
  <c r="D5" i="100" a="1"/>
  <c r="D5" i="100" s="1"/>
  <c r="I53" i="99" a="1"/>
  <c r="I53" i="99" s="1"/>
  <c r="I52" i="99"/>
  <c r="I49" i="99" a="1"/>
  <c r="I49" i="99" s="1"/>
  <c r="G49" i="99" a="1"/>
  <c r="G49" i="99" s="1"/>
  <c r="D49" i="99" a="1"/>
  <c r="D49" i="99" s="1"/>
  <c r="E47" i="99" a="1"/>
  <c r="E47" i="99" s="1"/>
  <c r="E46" i="99" a="1"/>
  <c r="E46" i="99" s="1"/>
  <c r="D42" i="99" a="1"/>
  <c r="D42" i="99" s="1"/>
  <c r="D41" i="99" a="1"/>
  <c r="D41" i="99" s="1"/>
  <c r="I14" i="99" a="1"/>
  <c r="I14" i="99" s="1"/>
  <c r="I13" i="99" a="1"/>
  <c r="I13" i="99" s="1"/>
  <c r="G13" i="99" a="1"/>
  <c r="G13" i="99" s="1"/>
  <c r="D13" i="99" a="1"/>
  <c r="D13" i="99" s="1"/>
  <c r="E11" i="99" a="1"/>
  <c r="E11" i="99" s="1"/>
  <c r="E10" i="99" a="1"/>
  <c r="E10" i="99" s="1"/>
  <c r="D6" i="99" a="1"/>
  <c r="D6" i="99" s="1"/>
  <c r="D5" i="99" a="1"/>
  <c r="D5" i="99" s="1"/>
  <c r="O115" i="98" a="1"/>
  <c r="O115" i="98" s="1"/>
  <c r="M112" i="98" a="1"/>
  <c r="M112" i="98" s="1"/>
  <c r="S98" i="98"/>
  <c r="S96" i="98"/>
  <c r="N107" i="98" s="1"/>
  <c r="S95" i="98"/>
  <c r="Q92" i="98" a="1"/>
  <c r="Q92" i="98" s="1"/>
  <c r="M92" i="98" a="1"/>
  <c r="M92" i="98" s="1"/>
  <c r="N90" i="98" a="1"/>
  <c r="N90" i="98" s="1"/>
  <c r="N89" i="98" a="1"/>
  <c r="N89" i="98" s="1"/>
  <c r="F85" i="98" a="1"/>
  <c r="F85" i="98" s="1"/>
  <c r="M84" i="98" a="1"/>
  <c r="M84" i="98" s="1"/>
  <c r="M83" i="98" a="1"/>
  <c r="M83" i="98" s="1"/>
  <c r="D82" i="98" a="1"/>
  <c r="D82" i="98" s="1"/>
  <c r="P76" i="98" a="1"/>
  <c r="P76" i="98" s="1"/>
  <c r="M76" i="98" a="1"/>
  <c r="M76" i="98" s="1"/>
  <c r="N72" i="98" a="1"/>
  <c r="N72" i="98" s="1"/>
  <c r="O79" i="98" s="1"/>
  <c r="N71" i="98" a="1"/>
  <c r="N71" i="98" s="1"/>
  <c r="M67" i="98" a="1"/>
  <c r="M67" i="98" s="1"/>
  <c r="M66" i="98" a="1"/>
  <c r="M66" i="98" s="1"/>
  <c r="P60" i="98" a="1"/>
  <c r="P60" i="98" s="1"/>
  <c r="M60" i="98" a="1"/>
  <c r="M60" i="98" s="1"/>
  <c r="N58" i="98" a="1"/>
  <c r="N58" i="98" s="1"/>
  <c r="O63" i="98" s="1"/>
  <c r="N57" i="98" a="1"/>
  <c r="N57" i="98" s="1"/>
  <c r="M54" i="98" a="1"/>
  <c r="M54" i="98" s="1"/>
  <c r="I54" i="98"/>
  <c r="M53" i="98" a="1"/>
  <c r="M53" i="98" s="1"/>
  <c r="I53" i="98"/>
  <c r="I52" i="98"/>
  <c r="I49" i="98" a="1"/>
  <c r="I49" i="98" s="1"/>
  <c r="G49" i="98" a="1"/>
  <c r="G49" i="98" s="1"/>
  <c r="D49" i="98" a="1"/>
  <c r="D49" i="98" s="1"/>
  <c r="E47" i="98" a="1"/>
  <c r="E47" i="98" s="1"/>
  <c r="F80" i="98" s="1"/>
  <c r="P46" i="98" a="1"/>
  <c r="P46" i="98" s="1"/>
  <c r="M46" i="98" a="1"/>
  <c r="M46" i="98" s="1"/>
  <c r="E46" i="98" a="1"/>
  <c r="E46" i="98" s="1"/>
  <c r="N44" i="98" a="1"/>
  <c r="N44" i="98" s="1"/>
  <c r="O49" i="98" s="1"/>
  <c r="N43" i="98" a="1"/>
  <c r="N43" i="98" s="1"/>
  <c r="D41" i="98" a="1"/>
  <c r="D41" i="98" s="1"/>
  <c r="M40" i="98" a="1"/>
  <c r="M40" i="98" s="1"/>
  <c r="D40" i="98" a="1"/>
  <c r="D40" i="98" s="1"/>
  <c r="M39" i="98" a="1"/>
  <c r="M39" i="98" s="1"/>
  <c r="I14" i="98" a="1"/>
  <c r="I14" i="98" s="1"/>
  <c r="I13" i="98" a="1"/>
  <c r="I13" i="98" s="1"/>
  <c r="G13" i="98" a="1"/>
  <c r="G13" i="98" s="1"/>
  <c r="D13" i="98" a="1"/>
  <c r="D13" i="98" s="1"/>
  <c r="E11" i="98" a="1"/>
  <c r="E11" i="98" s="1"/>
  <c r="E10" i="98" a="1"/>
  <c r="E10" i="98" s="1"/>
  <c r="D6" i="98" a="1"/>
  <c r="D6" i="98" s="1"/>
  <c r="D5" i="98" a="1"/>
  <c r="D5" i="98" s="1"/>
  <c r="H56" i="97"/>
  <c r="I56" i="97" s="1"/>
  <c r="G56" i="97"/>
  <c r="H55" i="97"/>
  <c r="G55" i="97"/>
  <c r="H54" i="97"/>
  <c r="I54" i="97" s="1"/>
  <c r="G54" i="97"/>
  <c r="K44" i="97"/>
  <c r="F44" i="97"/>
  <c r="G44" i="97" s="1"/>
  <c r="K43" i="97"/>
  <c r="F43" i="97"/>
  <c r="G43" i="97" s="1"/>
  <c r="K42" i="97"/>
  <c r="F42" i="97"/>
  <c r="G42" i="97" s="1"/>
  <c r="F34" i="97"/>
  <c r="G34" i="97" s="1"/>
  <c r="F33" i="97"/>
  <c r="G33" i="97" s="1"/>
  <c r="F32" i="97"/>
  <c r="G32" i="97" s="1"/>
  <c r="F31" i="97"/>
  <c r="G31" i="97" s="1"/>
  <c r="F30" i="97"/>
  <c r="G30" i="97" s="1"/>
  <c r="F29" i="97"/>
  <c r="G29" i="97" s="1"/>
  <c r="F28" i="97"/>
  <c r="G28" i="97" s="1"/>
  <c r="F27" i="97"/>
  <c r="G27" i="97" s="1"/>
  <c r="F26" i="97"/>
  <c r="G26" i="97" s="1"/>
  <c r="F25" i="97"/>
  <c r="G25" i="97" s="1"/>
  <c r="E252" i="113" s="1" a="1"/>
  <c r="G21" i="97"/>
  <c r="G20" i="97"/>
  <c r="G19" i="97"/>
  <c r="G18" i="97"/>
  <c r="G17" i="97"/>
  <c r="G16" i="97"/>
  <c r="G15" i="97"/>
  <c r="G14" i="97"/>
  <c r="G13" i="97"/>
  <c r="G12" i="97"/>
  <c r="E139" i="95"/>
  <c r="F40" i="94" s="1"/>
  <c r="G138" i="95"/>
  <c r="F32" i="93" s="1"/>
  <c r="M32" i="93" s="1" a="1"/>
  <c r="M32" i="93" s="1"/>
  <c r="E138" i="95"/>
  <c r="F39" i="94" s="1"/>
  <c r="G137" i="95"/>
  <c r="F31" i="93" s="1"/>
  <c r="E137" i="95"/>
  <c r="F38" i="94" s="1"/>
  <c r="M38" i="94" s="1" a="1"/>
  <c r="M38" i="94" s="1"/>
  <c r="D137" i="95"/>
  <c r="F31" i="94" s="1"/>
  <c r="G136" i="95"/>
  <c r="F30" i="93" s="1"/>
  <c r="E136" i="95"/>
  <c r="F37" i="94" s="1"/>
  <c r="D136" i="95"/>
  <c r="F30" i="94" s="1"/>
  <c r="G135" i="95"/>
  <c r="F29" i="93" s="1"/>
  <c r="E135" i="95"/>
  <c r="F36" i="94" s="1"/>
  <c r="D135" i="95"/>
  <c r="F29" i="94" s="1"/>
  <c r="M29" i="94" s="1" a="1"/>
  <c r="M29" i="94" s="1"/>
  <c r="G134" i="95"/>
  <c r="F28" i="93" s="1"/>
  <c r="E134" i="95"/>
  <c r="F35" i="94" s="1"/>
  <c r="M35" i="94" s="1" a="1"/>
  <c r="M35" i="94" s="1"/>
  <c r="D134" i="95"/>
  <c r="F28" i="94" s="1"/>
  <c r="G133" i="95"/>
  <c r="F27" i="93" s="1"/>
  <c r="F133" i="95"/>
  <c r="F36" i="93" s="1"/>
  <c r="E133" i="95"/>
  <c r="F34" i="94" s="1"/>
  <c r="D133" i="95"/>
  <c r="F27" i="94" s="1"/>
  <c r="I132" i="95"/>
  <c r="F38" i="93" s="1"/>
  <c r="G132" i="95"/>
  <c r="F26" i="93" s="1"/>
  <c r="F132" i="95"/>
  <c r="F35" i="93" s="1"/>
  <c r="E132" i="95"/>
  <c r="F33" i="94" s="1"/>
  <c r="D132" i="95"/>
  <c r="F26" i="94" s="1"/>
  <c r="I131" i="95"/>
  <c r="F37" i="93" s="1"/>
  <c r="H131" i="95"/>
  <c r="F33" i="93" s="1"/>
  <c r="G131" i="95"/>
  <c r="F25" i="93" s="1"/>
  <c r="F131" i="95"/>
  <c r="F34" i="93" s="1"/>
  <c r="E131" i="95"/>
  <c r="F32" i="94" s="1"/>
  <c r="M32" i="94" s="1" a="1"/>
  <c r="M32" i="94" s="1"/>
  <c r="D131" i="95"/>
  <c r="F25" i="94" s="1"/>
  <c r="F120" i="95" a="1"/>
  <c r="F120" i="95" s="1"/>
  <c r="E120" i="95" a="1"/>
  <c r="E120" i="95" s="1"/>
  <c r="D120" i="95" a="1"/>
  <c r="D120" i="95" s="1"/>
  <c r="F119" i="95" a="1"/>
  <c r="F119" i="95" s="1"/>
  <c r="E119" i="95" a="1"/>
  <c r="E119" i="95" s="1"/>
  <c r="D119" i="95" a="1"/>
  <c r="D119" i="95" s="1"/>
  <c r="F118" i="95" a="1"/>
  <c r="F118" i="95" s="1"/>
  <c r="E118" i="95" a="1"/>
  <c r="E118" i="95" s="1"/>
  <c r="D118" i="95" a="1"/>
  <c r="D118" i="95" s="1"/>
  <c r="F117" i="95" a="1"/>
  <c r="F117" i="95" s="1"/>
  <c r="E117" i="95" a="1"/>
  <c r="E117" i="95" s="1"/>
  <c r="D117" i="95" a="1"/>
  <c r="D117" i="95" s="1"/>
  <c r="F116" i="95" a="1"/>
  <c r="F116" i="95" s="1"/>
  <c r="E116" i="95" a="1"/>
  <c r="E116" i="95" s="1"/>
  <c r="D116" i="95" a="1"/>
  <c r="D116" i="95" s="1"/>
  <c r="F115" i="95" a="1"/>
  <c r="F115" i="95" s="1"/>
  <c r="E115" i="95" a="1"/>
  <c r="E115" i="95" s="1"/>
  <c r="D115" i="95" a="1"/>
  <c r="D115" i="95" s="1"/>
  <c r="F114" i="95" a="1"/>
  <c r="F114" i="95" s="1"/>
  <c r="E114" i="95" a="1"/>
  <c r="E114" i="95" s="1"/>
  <c r="D114" i="95" a="1"/>
  <c r="D114" i="95" s="1"/>
  <c r="G113" i="95" a="1"/>
  <c r="G113" i="95" s="1"/>
  <c r="F113" i="95" a="1"/>
  <c r="F113" i="95" s="1"/>
  <c r="E113" i="95" a="1"/>
  <c r="E113" i="95" s="1"/>
  <c r="D113" i="95" a="1"/>
  <c r="D113" i="95" s="1"/>
  <c r="D110" i="95" a="1"/>
  <c r="D110" i="95" s="1"/>
  <c r="D109" i="95" a="1"/>
  <c r="D109" i="95" s="1"/>
  <c r="D108" i="95" a="1"/>
  <c r="D108" i="95" s="1"/>
  <c r="D107" i="95" a="1"/>
  <c r="D107" i="95" s="1"/>
  <c r="J104" i="95" a="1"/>
  <c r="J104" i="95" s="1"/>
  <c r="I104" i="95" a="1"/>
  <c r="I104" i="95" s="1"/>
  <c r="H104" i="95" a="1"/>
  <c r="H104" i="95" s="1"/>
  <c r="G104" i="95" a="1"/>
  <c r="G104" i="95" s="1"/>
  <c r="F104" i="95" a="1"/>
  <c r="F104" i="95" s="1"/>
  <c r="E104" i="95" a="1"/>
  <c r="E104" i="95" s="1"/>
  <c r="D104" i="95" a="1"/>
  <c r="D104" i="95" s="1"/>
  <c r="E40" i="94" s="1"/>
  <c r="J40" i="94" s="1"/>
  <c r="J103" i="95" a="1"/>
  <c r="J103" i="95" s="1"/>
  <c r="I103" i="95" a="1"/>
  <c r="I103" i="95" s="1"/>
  <c r="H103" i="95" a="1"/>
  <c r="H103" i="95" s="1"/>
  <c r="G103" i="95" a="1"/>
  <c r="G103" i="95" s="1"/>
  <c r="F103" i="95" a="1"/>
  <c r="F103" i="95" s="1"/>
  <c r="E103" i="95" a="1"/>
  <c r="E103" i="95" s="1"/>
  <c r="D103" i="95" a="1"/>
  <c r="D103" i="95" s="1"/>
  <c r="E39" i="94" s="1"/>
  <c r="J102" i="95" a="1"/>
  <c r="J102" i="95" s="1"/>
  <c r="I102" i="95" a="1"/>
  <c r="I102" i="95" s="1"/>
  <c r="H102" i="95" a="1"/>
  <c r="H102" i="95" s="1"/>
  <c r="G102" i="95" a="1"/>
  <c r="G102" i="95" s="1"/>
  <c r="F102" i="95" a="1"/>
  <c r="F102" i="95" s="1"/>
  <c r="E102" i="95" a="1"/>
  <c r="E102" i="95" s="1"/>
  <c r="D102" i="95" a="1"/>
  <c r="D102" i="95" s="1"/>
  <c r="J101" i="95" a="1"/>
  <c r="J101" i="95" s="1"/>
  <c r="I101" i="95" a="1"/>
  <c r="I101" i="95" s="1"/>
  <c r="H101" i="95" a="1"/>
  <c r="H101" i="95" s="1"/>
  <c r="G101" i="95" a="1"/>
  <c r="G101" i="95" s="1"/>
  <c r="F101" i="95" a="1"/>
  <c r="F101" i="95" s="1"/>
  <c r="E101" i="95" a="1"/>
  <c r="E101" i="95" s="1"/>
  <c r="D101" i="95" a="1"/>
  <c r="D101" i="95" s="1"/>
  <c r="J100" i="95" a="1"/>
  <c r="J100" i="95" s="1"/>
  <c r="I100" i="95" a="1"/>
  <c r="I100" i="95" s="1"/>
  <c r="H100" i="95" a="1"/>
  <c r="H100" i="95" s="1"/>
  <c r="G100" i="95" a="1"/>
  <c r="G100" i="95" s="1"/>
  <c r="F100" i="95" a="1"/>
  <c r="F100" i="95" s="1"/>
  <c r="E100" i="95" a="1"/>
  <c r="E100" i="95" s="1"/>
  <c r="D100" i="95" a="1"/>
  <c r="D100" i="95" s="1"/>
  <c r="J99" i="95" a="1"/>
  <c r="J99" i="95" s="1"/>
  <c r="I99" i="95" a="1"/>
  <c r="I99" i="95" s="1"/>
  <c r="H99" i="95" a="1"/>
  <c r="H99" i="95" s="1"/>
  <c r="G99" i="95" a="1"/>
  <c r="G99" i="95" s="1"/>
  <c r="F99" i="95" a="1"/>
  <c r="F99" i="95" s="1"/>
  <c r="E99" i="95" a="1"/>
  <c r="E99" i="95" s="1"/>
  <c r="D99" i="95" a="1"/>
  <c r="D99" i="95" s="1"/>
  <c r="J98" i="95" a="1"/>
  <c r="J98" i="95" s="1"/>
  <c r="I98" i="95" a="1"/>
  <c r="I98" i="95" s="1"/>
  <c r="H98" i="95" a="1"/>
  <c r="H98" i="95" s="1"/>
  <c r="G98" i="95" a="1"/>
  <c r="G98" i="95" s="1"/>
  <c r="F98" i="95" a="1"/>
  <c r="F98" i="95" s="1"/>
  <c r="E98" i="95" a="1"/>
  <c r="E98" i="95" s="1"/>
  <c r="D98" i="95" a="1"/>
  <c r="D98" i="95" s="1"/>
  <c r="J97" i="95" a="1"/>
  <c r="J97" i="95" s="1"/>
  <c r="I97" i="95" a="1"/>
  <c r="I97" i="95" s="1"/>
  <c r="H97" i="95" a="1"/>
  <c r="H97" i="95" s="1"/>
  <c r="G97" i="95" a="1"/>
  <c r="G97" i="95" s="1"/>
  <c r="F97" i="95" a="1"/>
  <c r="F97" i="95" s="1"/>
  <c r="E97" i="95" a="1"/>
  <c r="E97" i="95" s="1"/>
  <c r="D97" i="95" a="1"/>
  <c r="D97" i="95" s="1"/>
  <c r="J96" i="95" a="1"/>
  <c r="J96" i="95" s="1"/>
  <c r="I96" i="95" a="1"/>
  <c r="I96" i="95" s="1"/>
  <c r="H96" i="95" a="1"/>
  <c r="H96" i="95" s="1"/>
  <c r="G96" i="95" a="1"/>
  <c r="G96" i="95" s="1"/>
  <c r="F96" i="95" a="1"/>
  <c r="F96" i="95" s="1"/>
  <c r="E96" i="95" a="1"/>
  <c r="E96" i="95" s="1"/>
  <c r="D96" i="95" a="1"/>
  <c r="D96" i="95" s="1"/>
  <c r="J95" i="95" a="1"/>
  <c r="J95" i="95" s="1"/>
  <c r="I95" i="95" a="1"/>
  <c r="I95" i="95" s="1"/>
  <c r="H95" i="95" a="1"/>
  <c r="H95" i="95" s="1"/>
  <c r="G95" i="95" a="1"/>
  <c r="G95" i="95" s="1"/>
  <c r="F95" i="95" a="1"/>
  <c r="F95" i="95" s="1"/>
  <c r="E95" i="95" a="1"/>
  <c r="E95" i="95" s="1"/>
  <c r="D95" i="95" a="1"/>
  <c r="D95" i="95" s="1"/>
  <c r="J94" i="95" a="1"/>
  <c r="J94" i="95" s="1"/>
  <c r="I94" i="95" a="1"/>
  <c r="I94" i="95" s="1"/>
  <c r="H94" i="95" a="1"/>
  <c r="H94" i="95" s="1"/>
  <c r="G94" i="95" a="1"/>
  <c r="G94" i="95" s="1"/>
  <c r="F94" i="95" a="1"/>
  <c r="F94" i="95" s="1"/>
  <c r="E94" i="95" a="1"/>
  <c r="E94" i="95" s="1"/>
  <c r="D94" i="95" a="1"/>
  <c r="D94" i="95" s="1"/>
  <c r="J93" i="95" a="1"/>
  <c r="J93" i="95" s="1"/>
  <c r="I93" i="95" a="1"/>
  <c r="I93" i="95" s="1"/>
  <c r="H93" i="95" a="1"/>
  <c r="H93" i="95" s="1"/>
  <c r="G93" i="95" a="1"/>
  <c r="G93" i="95" s="1"/>
  <c r="F93" i="95" a="1"/>
  <c r="F93" i="95" s="1"/>
  <c r="E93" i="95" a="1"/>
  <c r="E93" i="95" s="1"/>
  <c r="D93" i="95" a="1"/>
  <c r="D93" i="95" s="1"/>
  <c r="J92" i="95" a="1"/>
  <c r="J92" i="95" s="1"/>
  <c r="I92" i="95" a="1"/>
  <c r="I92" i="95" s="1"/>
  <c r="H92" i="95" a="1"/>
  <c r="H92" i="95" s="1"/>
  <c r="G92" i="95" a="1"/>
  <c r="G92" i="95" s="1"/>
  <c r="F92" i="95" a="1"/>
  <c r="F92" i="95" s="1"/>
  <c r="E92" i="95" a="1"/>
  <c r="E92" i="95" s="1"/>
  <c r="D92" i="95" a="1"/>
  <c r="D92" i="95" s="1"/>
  <c r="J91" i="95" a="1"/>
  <c r="J91" i="95" s="1"/>
  <c r="I91" i="95" a="1"/>
  <c r="I91" i="95" s="1"/>
  <c r="H91" i="95" a="1"/>
  <c r="H91" i="95" s="1"/>
  <c r="G91" i="95" a="1"/>
  <c r="G91" i="95" s="1"/>
  <c r="F91" i="95" a="1"/>
  <c r="F91" i="95" s="1"/>
  <c r="E91" i="95" a="1"/>
  <c r="E91" i="95" s="1"/>
  <c r="D91" i="95" a="1"/>
  <c r="D91" i="95" s="1"/>
  <c r="J90" i="95" a="1"/>
  <c r="J90" i="95" s="1"/>
  <c r="I90" i="95" a="1"/>
  <c r="I90" i="95" s="1"/>
  <c r="H90" i="95" a="1"/>
  <c r="H90" i="95" s="1"/>
  <c r="G90" i="95" a="1"/>
  <c r="G90" i="95" s="1"/>
  <c r="F90" i="95" a="1"/>
  <c r="F90" i="95" s="1"/>
  <c r="E90" i="95" a="1"/>
  <c r="E90" i="95" s="1"/>
  <c r="D90" i="95" a="1"/>
  <c r="D90" i="95" s="1"/>
  <c r="J89" i="95" a="1"/>
  <c r="J89" i="95" s="1"/>
  <c r="I89" i="95" a="1"/>
  <c r="I89" i="95" s="1"/>
  <c r="H89" i="95" a="1"/>
  <c r="H89" i="95" s="1"/>
  <c r="G89" i="95" a="1"/>
  <c r="G89" i="95" s="1"/>
  <c r="F89" i="95" a="1"/>
  <c r="F89" i="95" s="1"/>
  <c r="E89" i="95" a="1"/>
  <c r="E89" i="95" s="1"/>
  <c r="D89" i="95" a="1"/>
  <c r="D89" i="95" s="1"/>
  <c r="J88" i="95" a="1"/>
  <c r="J88" i="95" s="1"/>
  <c r="I88" i="95" a="1"/>
  <c r="I88" i="95" s="1"/>
  <c r="H88" i="95" a="1"/>
  <c r="H88" i="95" s="1"/>
  <c r="G88" i="95" a="1"/>
  <c r="G88" i="95" s="1"/>
  <c r="F88" i="95" a="1"/>
  <c r="F88" i="95" s="1"/>
  <c r="E88" i="95" a="1"/>
  <c r="E88" i="95" s="1"/>
  <c r="D88" i="95" a="1"/>
  <c r="D88" i="95" s="1"/>
  <c r="J87" i="95" a="1"/>
  <c r="J87" i="95" s="1"/>
  <c r="I87" i="95" a="1"/>
  <c r="I87" i="95" s="1"/>
  <c r="H87" i="95" a="1"/>
  <c r="H87" i="95" s="1"/>
  <c r="G87" i="95" a="1"/>
  <c r="G87" i="95" s="1"/>
  <c r="F87" i="95" a="1"/>
  <c r="F87" i="95" s="1"/>
  <c r="E87" i="95" a="1"/>
  <c r="E87" i="95" s="1"/>
  <c r="D87" i="95" a="1"/>
  <c r="D87" i="95" s="1"/>
  <c r="D84" i="95" a="1"/>
  <c r="D84" i="95" s="1"/>
  <c r="D83" i="95" a="1"/>
  <c r="D83" i="95" s="1"/>
  <c r="D82" i="95" a="1"/>
  <c r="D82" i="95" s="1"/>
  <c r="D81" i="95" a="1"/>
  <c r="D81" i="95" s="1"/>
  <c r="K77" i="95" a="1"/>
  <c r="K77" i="95" s="1"/>
  <c r="J77" i="95" a="1"/>
  <c r="J77" i="95" s="1"/>
  <c r="I77" i="95" a="1"/>
  <c r="I77" i="95" s="1"/>
  <c r="H77" i="95" a="1"/>
  <c r="H77" i="95" s="1"/>
  <c r="G77" i="95" a="1"/>
  <c r="G77" i="95" s="1"/>
  <c r="F77" i="95" a="1"/>
  <c r="F77" i="95" s="1"/>
  <c r="E77" i="95" a="1"/>
  <c r="E77" i="95" s="1"/>
  <c r="D77" i="95" a="1"/>
  <c r="D77" i="95" s="1"/>
  <c r="K76" i="95" a="1"/>
  <c r="K76" i="95" s="1"/>
  <c r="J76" i="95" a="1"/>
  <c r="J76" i="95" s="1"/>
  <c r="I76" i="95" a="1"/>
  <c r="I76" i="95" s="1"/>
  <c r="H76" i="95" a="1"/>
  <c r="H76" i="95" s="1"/>
  <c r="G76" i="95" a="1"/>
  <c r="G76" i="95" s="1"/>
  <c r="F76" i="95" a="1"/>
  <c r="F76" i="95" s="1"/>
  <c r="E76" i="95" a="1"/>
  <c r="E76" i="95" s="1"/>
  <c r="D76" i="95" a="1"/>
  <c r="D76" i="95" s="1"/>
  <c r="K75" i="95" a="1"/>
  <c r="K75" i="95" s="1"/>
  <c r="J75" i="95" a="1"/>
  <c r="J75" i="95" s="1"/>
  <c r="I75" i="95" a="1"/>
  <c r="I75" i="95" s="1"/>
  <c r="H75" i="95" a="1"/>
  <c r="H75" i="95" s="1"/>
  <c r="G75" i="95" a="1"/>
  <c r="G75" i="95" s="1"/>
  <c r="F75" i="95" a="1"/>
  <c r="F75" i="95" s="1"/>
  <c r="E75" i="95" a="1"/>
  <c r="E75" i="95" s="1"/>
  <c r="D75" i="95" a="1"/>
  <c r="D75" i="95" s="1"/>
  <c r="K74" i="95" a="1"/>
  <c r="K74" i="95" s="1"/>
  <c r="J74" i="95" a="1"/>
  <c r="J74" i="95" s="1"/>
  <c r="I74" i="95" a="1"/>
  <c r="I74" i="95" s="1"/>
  <c r="H74" i="95" a="1"/>
  <c r="H74" i="95" s="1"/>
  <c r="G74" i="95" a="1"/>
  <c r="G74" i="95" s="1"/>
  <c r="F74" i="95" a="1"/>
  <c r="F74" i="95" s="1"/>
  <c r="E74" i="95" a="1"/>
  <c r="E74" i="95" s="1"/>
  <c r="D74" i="95" a="1"/>
  <c r="D74" i="95" s="1"/>
  <c r="K73" i="95" a="1"/>
  <c r="K73" i="95" s="1"/>
  <c r="J73" i="95" a="1"/>
  <c r="J73" i="95" s="1"/>
  <c r="I73" i="95" a="1"/>
  <c r="I73" i="95" s="1"/>
  <c r="H73" i="95" a="1"/>
  <c r="H73" i="95" s="1"/>
  <c r="G73" i="95" a="1"/>
  <c r="G73" i="95" s="1"/>
  <c r="F73" i="95" a="1"/>
  <c r="F73" i="95" s="1"/>
  <c r="E73" i="95" a="1"/>
  <c r="E73" i="95" s="1"/>
  <c r="D73" i="95" a="1"/>
  <c r="D73" i="95" s="1"/>
  <c r="E35" i="94" s="1"/>
  <c r="K72" i="95" a="1"/>
  <c r="K72" i="95" s="1"/>
  <c r="J72" i="95" a="1"/>
  <c r="J72" i="95" s="1"/>
  <c r="I72" i="95" a="1"/>
  <c r="I72" i="95" s="1"/>
  <c r="H72" i="95" a="1"/>
  <c r="H72" i="95" s="1"/>
  <c r="G72" i="95" a="1"/>
  <c r="G72" i="95" s="1"/>
  <c r="F72" i="95" a="1"/>
  <c r="F72" i="95" s="1"/>
  <c r="E72" i="95" a="1"/>
  <c r="E72" i="95" s="1"/>
  <c r="D72" i="95" a="1"/>
  <c r="D72" i="95" s="1"/>
  <c r="K71" i="95" a="1"/>
  <c r="K71" i="95" s="1"/>
  <c r="J71" i="95" a="1"/>
  <c r="J71" i="95" s="1"/>
  <c r="I71" i="95" a="1"/>
  <c r="I71" i="95" s="1"/>
  <c r="H71" i="95" a="1"/>
  <c r="H71" i="95" s="1"/>
  <c r="G71" i="95" a="1"/>
  <c r="G71" i="95" s="1"/>
  <c r="F71" i="95" a="1"/>
  <c r="F71" i="95" s="1"/>
  <c r="E71" i="95" a="1"/>
  <c r="E71" i="95" s="1"/>
  <c r="D71" i="95" a="1"/>
  <c r="D71" i="95" s="1"/>
  <c r="K70" i="95" a="1"/>
  <c r="K70" i="95" s="1"/>
  <c r="J70" i="95" a="1"/>
  <c r="J70" i="95" s="1"/>
  <c r="I70" i="95" a="1"/>
  <c r="I70" i="95" s="1"/>
  <c r="H70" i="95" a="1"/>
  <c r="H70" i="95" s="1"/>
  <c r="G70" i="95" a="1"/>
  <c r="G70" i="95" s="1"/>
  <c r="F70" i="95" a="1"/>
  <c r="F70" i="95" s="1"/>
  <c r="E70" i="95" a="1"/>
  <c r="E70" i="95" s="1"/>
  <c r="D70" i="95" a="1"/>
  <c r="D70" i="95" s="1"/>
  <c r="K69" i="95" a="1"/>
  <c r="K69" i="95" s="1"/>
  <c r="J69" i="95" a="1"/>
  <c r="J69" i="95" s="1"/>
  <c r="I69" i="95" a="1"/>
  <c r="I69" i="95" s="1"/>
  <c r="H69" i="95" a="1"/>
  <c r="H69" i="95" s="1"/>
  <c r="G69" i="95" a="1"/>
  <c r="G69" i="95" s="1"/>
  <c r="F69" i="95" a="1"/>
  <c r="F69" i="95" s="1"/>
  <c r="E69" i="95" a="1"/>
  <c r="E69" i="95" s="1"/>
  <c r="D69" i="95" a="1"/>
  <c r="D69" i="95" s="1"/>
  <c r="K68" i="95" a="1"/>
  <c r="K68" i="95" s="1"/>
  <c r="J68" i="95" a="1"/>
  <c r="J68" i="95" s="1"/>
  <c r="I68" i="95" a="1"/>
  <c r="I68" i="95" s="1"/>
  <c r="H68" i="95" a="1"/>
  <c r="H68" i="95" s="1"/>
  <c r="G68" i="95" a="1"/>
  <c r="G68" i="95" s="1"/>
  <c r="F68" i="95" a="1"/>
  <c r="F68" i="95" s="1"/>
  <c r="E68" i="95" a="1"/>
  <c r="E68" i="95" s="1"/>
  <c r="D68" i="95" a="1"/>
  <c r="D68" i="95" s="1"/>
  <c r="K67" i="95" a="1"/>
  <c r="K67" i="95" s="1"/>
  <c r="J67" i="95" a="1"/>
  <c r="J67" i="95" s="1"/>
  <c r="I67" i="95" a="1"/>
  <c r="I67" i="95" s="1"/>
  <c r="H67" i="95" a="1"/>
  <c r="H67" i="95" s="1"/>
  <c r="G67" i="95" a="1"/>
  <c r="G67" i="95" s="1"/>
  <c r="F67" i="95" a="1"/>
  <c r="F67" i="95" s="1"/>
  <c r="E67" i="95" a="1"/>
  <c r="E67" i="95" s="1"/>
  <c r="D67" i="95" a="1"/>
  <c r="D67" i="95" s="1"/>
  <c r="K66" i="95" a="1"/>
  <c r="K66" i="95" s="1"/>
  <c r="J66" i="95" a="1"/>
  <c r="J66" i="95" s="1"/>
  <c r="I66" i="95" a="1"/>
  <c r="I66" i="95" s="1"/>
  <c r="H66" i="95" a="1"/>
  <c r="H66" i="95" s="1"/>
  <c r="G66" i="95" a="1"/>
  <c r="G66" i="95" s="1"/>
  <c r="F66" i="95" a="1"/>
  <c r="F66" i="95" s="1"/>
  <c r="E66" i="95" a="1"/>
  <c r="E66" i="95" s="1"/>
  <c r="D66" i="95" a="1"/>
  <c r="D66" i="95" s="1"/>
  <c r="K65" i="95" a="1"/>
  <c r="K65" i="95" s="1"/>
  <c r="J65" i="95" a="1"/>
  <c r="J65" i="95" s="1"/>
  <c r="I65" i="95" a="1"/>
  <c r="I65" i="95" s="1"/>
  <c r="H65" i="95" a="1"/>
  <c r="H65" i="95" s="1"/>
  <c r="G65" i="95" a="1"/>
  <c r="G65" i="95" s="1"/>
  <c r="F65" i="95" a="1"/>
  <c r="F65" i="95" s="1"/>
  <c r="E65" i="95" a="1"/>
  <c r="E65" i="95" s="1"/>
  <c r="D65" i="95" a="1"/>
  <c r="D65" i="95" s="1"/>
  <c r="K64" i="95" a="1"/>
  <c r="K64" i="95" s="1"/>
  <c r="J64" i="95" a="1"/>
  <c r="J64" i="95" s="1"/>
  <c r="I64" i="95" a="1"/>
  <c r="I64" i="95" s="1"/>
  <c r="H64" i="95" a="1"/>
  <c r="H64" i="95" s="1"/>
  <c r="G64" i="95" a="1"/>
  <c r="G64" i="95" s="1"/>
  <c r="F64" i="95" a="1"/>
  <c r="F64" i="95" s="1"/>
  <c r="E64" i="95" a="1"/>
  <c r="E64" i="95" s="1"/>
  <c r="D64" i="95" a="1"/>
  <c r="D64" i="95" s="1"/>
  <c r="K63" i="95" a="1"/>
  <c r="K63" i="95" s="1"/>
  <c r="J63" i="95" a="1"/>
  <c r="J63" i="95" s="1"/>
  <c r="I63" i="95" a="1"/>
  <c r="I63" i="95" s="1"/>
  <c r="H63" i="95" a="1"/>
  <c r="H63" i="95" s="1"/>
  <c r="G63" i="95" a="1"/>
  <c r="G63" i="95" s="1"/>
  <c r="F63" i="95" a="1"/>
  <c r="F63" i="95" s="1"/>
  <c r="E63" i="95" a="1"/>
  <c r="E63" i="95" s="1"/>
  <c r="D63" i="95" a="1"/>
  <c r="D63" i="95" s="1"/>
  <c r="K62" i="95" a="1"/>
  <c r="K62" i="95" s="1"/>
  <c r="J62" i="95" a="1"/>
  <c r="J62" i="95" s="1"/>
  <c r="I62" i="95" a="1"/>
  <c r="I62" i="95" s="1"/>
  <c r="H62" i="95" a="1"/>
  <c r="H62" i="95" s="1"/>
  <c r="G62" i="95" a="1"/>
  <c r="G62" i="95" s="1"/>
  <c r="F62" i="95" a="1"/>
  <c r="F62" i="95" s="1"/>
  <c r="E62" i="95" a="1"/>
  <c r="E62" i="95" s="1"/>
  <c r="D62" i="95" a="1"/>
  <c r="D62" i="95" s="1"/>
  <c r="K61" i="95" a="1"/>
  <c r="K61" i="95" s="1"/>
  <c r="J61" i="95" a="1"/>
  <c r="J61" i="95" s="1"/>
  <c r="I61" i="95" a="1"/>
  <c r="I61" i="95" s="1"/>
  <c r="H61" i="95" a="1"/>
  <c r="H61" i="95" s="1"/>
  <c r="G61" i="95" a="1"/>
  <c r="G61" i="95" s="1"/>
  <c r="F61" i="95" a="1"/>
  <c r="F61" i="95" s="1"/>
  <c r="E61" i="95" a="1"/>
  <c r="E61" i="95" s="1"/>
  <c r="D61" i="95" a="1"/>
  <c r="D61" i="95" s="1"/>
  <c r="K60" i="95" a="1"/>
  <c r="K60" i="95" s="1"/>
  <c r="J60" i="95" a="1"/>
  <c r="J60" i="95" s="1"/>
  <c r="I60" i="95" a="1"/>
  <c r="I60" i="95" s="1"/>
  <c r="H60" i="95" a="1"/>
  <c r="H60" i="95" s="1"/>
  <c r="G60" i="95" a="1"/>
  <c r="G60" i="95" s="1"/>
  <c r="F60" i="95" a="1"/>
  <c r="F60" i="95" s="1"/>
  <c r="E60" i="95" a="1"/>
  <c r="E60" i="95" s="1"/>
  <c r="D60" i="95" a="1"/>
  <c r="D60" i="95" s="1"/>
  <c r="K59" i="95" a="1"/>
  <c r="K59" i="95" s="1"/>
  <c r="J59" i="95" a="1"/>
  <c r="J59" i="95" s="1"/>
  <c r="I59" i="95" a="1"/>
  <c r="I59" i="95" s="1"/>
  <c r="H59" i="95" a="1"/>
  <c r="H59" i="95" s="1"/>
  <c r="G59" i="95" a="1"/>
  <c r="G59" i="95" s="1"/>
  <c r="F59" i="95" a="1"/>
  <c r="F59" i="95" s="1"/>
  <c r="E59" i="95" a="1"/>
  <c r="E59" i="95" s="1"/>
  <c r="D59" i="95" a="1"/>
  <c r="D59" i="95" s="1"/>
  <c r="K58" i="95" a="1"/>
  <c r="K58" i="95" s="1"/>
  <c r="J58" i="95" a="1"/>
  <c r="J58" i="95" s="1"/>
  <c r="I58" i="95" a="1"/>
  <c r="I58" i="95" s="1"/>
  <c r="H58" i="95" a="1"/>
  <c r="H58" i="95" s="1"/>
  <c r="G58" i="95" a="1"/>
  <c r="G58" i="95" s="1"/>
  <c r="F58" i="95" a="1"/>
  <c r="F58" i="95" s="1"/>
  <c r="E58" i="95" a="1"/>
  <c r="E58" i="95" s="1"/>
  <c r="D58" i="95" a="1"/>
  <c r="D58" i="95" s="1"/>
  <c r="E32" i="94" s="1"/>
  <c r="K32" i="94" s="1"/>
  <c r="K57" i="95" a="1"/>
  <c r="K57" i="95" s="1"/>
  <c r="J57" i="95" a="1"/>
  <c r="J57" i="95" s="1"/>
  <c r="I57" i="95" a="1"/>
  <c r="I57" i="95" s="1"/>
  <c r="H57" i="95" a="1"/>
  <c r="H57" i="95" s="1"/>
  <c r="G57" i="95" a="1"/>
  <c r="G57" i="95" s="1"/>
  <c r="F57" i="95" a="1"/>
  <c r="F57" i="95" s="1"/>
  <c r="E57" i="95" a="1"/>
  <c r="E57" i="95" s="1"/>
  <c r="D57" i="95" a="1"/>
  <c r="D57" i="95" s="1"/>
  <c r="K56" i="95" a="1"/>
  <c r="K56" i="95" s="1"/>
  <c r="J56" i="95" a="1"/>
  <c r="J56" i="95" s="1"/>
  <c r="I56" i="95" a="1"/>
  <c r="I56" i="95" s="1"/>
  <c r="H56" i="95" a="1"/>
  <c r="H56" i="95" s="1"/>
  <c r="G56" i="95" a="1"/>
  <c r="G56" i="95" s="1"/>
  <c r="F56" i="95" a="1"/>
  <c r="F56" i="95" s="1"/>
  <c r="E56" i="95" a="1"/>
  <c r="E56" i="95" s="1"/>
  <c r="D56" i="95" a="1"/>
  <c r="D56" i="95" s="1"/>
  <c r="K55" i="95" a="1"/>
  <c r="K55" i="95" s="1"/>
  <c r="J55" i="95" a="1"/>
  <c r="J55" i="95" s="1"/>
  <c r="I55" i="95" a="1"/>
  <c r="I55" i="95" s="1"/>
  <c r="H55" i="95" a="1"/>
  <c r="H55" i="95" s="1"/>
  <c r="G55" i="95" a="1"/>
  <c r="G55" i="95" s="1"/>
  <c r="F55" i="95" a="1"/>
  <c r="F55" i="95" s="1"/>
  <c r="E55" i="95" a="1"/>
  <c r="E55" i="95" s="1"/>
  <c r="D55" i="95" a="1"/>
  <c r="D55" i="95" s="1"/>
  <c r="K54" i="95" a="1"/>
  <c r="K54" i="95" s="1"/>
  <c r="J54" i="95" a="1"/>
  <c r="J54" i="95" s="1"/>
  <c r="I54" i="95" a="1"/>
  <c r="I54" i="95" s="1"/>
  <c r="H54" i="95" a="1"/>
  <c r="H54" i="95" s="1"/>
  <c r="G54" i="95" a="1"/>
  <c r="G54" i="95" s="1"/>
  <c r="F54" i="95" a="1"/>
  <c r="F54" i="95" s="1"/>
  <c r="E54" i="95" a="1"/>
  <c r="E54" i="95" s="1"/>
  <c r="D54" i="95" a="1"/>
  <c r="D54" i="95" s="1"/>
  <c r="D52" i="95" a="1"/>
  <c r="D52" i="95" s="1"/>
  <c r="D51" i="95" a="1"/>
  <c r="D51" i="95" s="1"/>
  <c r="D50" i="95" a="1"/>
  <c r="D50" i="95" s="1"/>
  <c r="D49" i="95" a="1"/>
  <c r="D49" i="95" s="1"/>
  <c r="J43" i="95" a="1"/>
  <c r="J43" i="95" s="1"/>
  <c r="I43" i="95" a="1"/>
  <c r="I43" i="95" s="1"/>
  <c r="H43" i="95" a="1"/>
  <c r="H43" i="95" s="1"/>
  <c r="G43" i="95" a="1"/>
  <c r="G43" i="95" s="1"/>
  <c r="F43" i="95" a="1"/>
  <c r="F43" i="95" s="1"/>
  <c r="E43" i="95" a="1"/>
  <c r="E43" i="95" s="1"/>
  <c r="D43" i="95" a="1"/>
  <c r="D43" i="95" s="1"/>
  <c r="J42" i="95" a="1"/>
  <c r="J42" i="95" s="1"/>
  <c r="I42" i="95" a="1"/>
  <c r="I42" i="95" s="1"/>
  <c r="H42" i="95" a="1"/>
  <c r="H42" i="95" s="1"/>
  <c r="G42" i="95" a="1"/>
  <c r="G42" i="95" s="1"/>
  <c r="F42" i="95" a="1"/>
  <c r="F42" i="95" s="1"/>
  <c r="E42" i="95" a="1"/>
  <c r="E42" i="95" s="1"/>
  <c r="D42" i="95" a="1"/>
  <c r="D42" i="95" s="1"/>
  <c r="J41" i="95" a="1"/>
  <c r="J41" i="95" s="1"/>
  <c r="I41" i="95" a="1"/>
  <c r="I41" i="95" s="1"/>
  <c r="H41" i="95" a="1"/>
  <c r="H41" i="95" s="1"/>
  <c r="G41" i="95" a="1"/>
  <c r="G41" i="95" s="1"/>
  <c r="F41" i="95" a="1"/>
  <c r="F41" i="95" s="1"/>
  <c r="E41" i="95" a="1"/>
  <c r="E41" i="95" s="1"/>
  <c r="D41" i="95" a="1"/>
  <c r="D41" i="95" s="1"/>
  <c r="J40" i="95" a="1"/>
  <c r="J40" i="95" s="1"/>
  <c r="I40" i="95" a="1"/>
  <c r="I40" i="95" s="1"/>
  <c r="H40" i="95" a="1"/>
  <c r="H40" i="95" s="1"/>
  <c r="G40" i="95" a="1"/>
  <c r="G40" i="95" s="1"/>
  <c r="F40" i="95" a="1"/>
  <c r="F40" i="95" s="1"/>
  <c r="E40" i="95" a="1"/>
  <c r="E40" i="95" s="1"/>
  <c r="D40" i="95" a="1"/>
  <c r="D40" i="95" s="1"/>
  <c r="D38" i="95" a="1"/>
  <c r="D38" i="95" s="1"/>
  <c r="D37" i="95" a="1"/>
  <c r="D37" i="95" s="1"/>
  <c r="L34" i="95" a="1"/>
  <c r="L34" i="95" s="1"/>
  <c r="K34" i="95" a="1"/>
  <c r="K34" i="95" s="1"/>
  <c r="J34" i="95" a="1"/>
  <c r="J34" i="95" s="1"/>
  <c r="I34" i="95" a="1"/>
  <c r="I34" i="95" s="1"/>
  <c r="H34" i="95" a="1"/>
  <c r="H34" i="95" s="1"/>
  <c r="G34" i="95" a="1"/>
  <c r="G34" i="95" s="1"/>
  <c r="F34" i="95" a="1"/>
  <c r="F34" i="95" s="1"/>
  <c r="E34" i="95" a="1"/>
  <c r="E34" i="95" s="1"/>
  <c r="D34" i="95" a="1"/>
  <c r="D34" i="95" s="1"/>
  <c r="L33" i="95" a="1"/>
  <c r="L33" i="95" s="1"/>
  <c r="K33" i="95" a="1"/>
  <c r="K33" i="95" s="1"/>
  <c r="J33" i="95" a="1"/>
  <c r="J33" i="95" s="1"/>
  <c r="I33" i="95" a="1"/>
  <c r="I33" i="95" s="1"/>
  <c r="H33" i="95" a="1"/>
  <c r="H33" i="95" s="1"/>
  <c r="G33" i="95" a="1"/>
  <c r="G33" i="95" s="1"/>
  <c r="F33" i="95" a="1"/>
  <c r="F33" i="95" s="1"/>
  <c r="E33" i="95" a="1"/>
  <c r="E33" i="95" s="1"/>
  <c r="E39" i="93" s="1"/>
  <c r="D33" i="95" a="1"/>
  <c r="D33" i="95" s="1"/>
  <c r="L32" i="95" a="1"/>
  <c r="L32" i="95" s="1"/>
  <c r="K32" i="95" a="1"/>
  <c r="K32" i="95" s="1"/>
  <c r="J32" i="95" a="1"/>
  <c r="J32" i="95" s="1"/>
  <c r="I32" i="95" a="1"/>
  <c r="I32" i="95" s="1"/>
  <c r="H32" i="95" a="1"/>
  <c r="H32" i="95" s="1"/>
  <c r="G32" i="95" a="1"/>
  <c r="G32" i="95" s="1"/>
  <c r="F32" i="95" a="1"/>
  <c r="F32" i="95" s="1"/>
  <c r="E32" i="95" a="1"/>
  <c r="E32" i="95" s="1"/>
  <c r="D32" i="95" a="1"/>
  <c r="D32" i="95" s="1"/>
  <c r="L31" i="95" a="1"/>
  <c r="L31" i="95" s="1"/>
  <c r="K31" i="95" a="1"/>
  <c r="K31" i="95" s="1"/>
  <c r="J31" i="95" a="1"/>
  <c r="J31" i="95" s="1"/>
  <c r="I31" i="95" a="1"/>
  <c r="I31" i="95" s="1"/>
  <c r="H31" i="95" a="1"/>
  <c r="H31" i="95" s="1"/>
  <c r="G31" i="95" a="1"/>
  <c r="G31" i="95" s="1"/>
  <c r="F31" i="95" a="1"/>
  <c r="F31" i="95" s="1"/>
  <c r="E31" i="95" a="1"/>
  <c r="E31" i="95" s="1"/>
  <c r="D31" i="95" a="1"/>
  <c r="D31" i="95" s="1"/>
  <c r="L30" i="95" a="1"/>
  <c r="L30" i="95" s="1"/>
  <c r="K30" i="95" a="1"/>
  <c r="K30" i="95" s="1"/>
  <c r="J30" i="95" a="1"/>
  <c r="J30" i="95" s="1"/>
  <c r="I30" i="95" a="1"/>
  <c r="I30" i="95" s="1"/>
  <c r="H30" i="95" a="1"/>
  <c r="H30" i="95" s="1"/>
  <c r="G30" i="95" a="1"/>
  <c r="G30" i="95" s="1"/>
  <c r="F30" i="95" a="1"/>
  <c r="F30" i="95" s="1"/>
  <c r="E30" i="95" a="1"/>
  <c r="E30" i="95" s="1"/>
  <c r="E36" i="93" s="1"/>
  <c r="D30" i="95" a="1"/>
  <c r="D30" i="95" s="1"/>
  <c r="L29" i="95" a="1"/>
  <c r="L29" i="95" s="1"/>
  <c r="K29" i="95" a="1"/>
  <c r="K29" i="95" s="1"/>
  <c r="J29" i="95" a="1"/>
  <c r="J29" i="95" s="1"/>
  <c r="I29" i="95" a="1"/>
  <c r="I29" i="95" s="1"/>
  <c r="H29" i="95" a="1"/>
  <c r="H29" i="95" s="1"/>
  <c r="G29" i="95" a="1"/>
  <c r="G29" i="95" s="1"/>
  <c r="F29" i="95" a="1"/>
  <c r="F29" i="95" s="1"/>
  <c r="E29" i="95" a="1"/>
  <c r="E29" i="95" s="1"/>
  <c r="E35" i="93" s="1"/>
  <c r="D29" i="95" a="1"/>
  <c r="D29" i="95" s="1"/>
  <c r="L28" i="95" a="1"/>
  <c r="L28" i="95" s="1"/>
  <c r="K28" i="95" a="1"/>
  <c r="K28" i="95" s="1"/>
  <c r="J28" i="95" a="1"/>
  <c r="J28" i="95" s="1"/>
  <c r="I28" i="95" a="1"/>
  <c r="I28" i="95" s="1"/>
  <c r="H28" i="95" a="1"/>
  <c r="H28" i="95" s="1"/>
  <c r="G28" i="95" a="1"/>
  <c r="G28" i="95" s="1"/>
  <c r="F28" i="95" a="1"/>
  <c r="F28" i="95" s="1"/>
  <c r="E28" i="95" a="1"/>
  <c r="E28" i="95" s="1"/>
  <c r="E34" i="93" s="1"/>
  <c r="D28" i="95" a="1"/>
  <c r="D28" i="95" s="1"/>
  <c r="L27" i="95" a="1"/>
  <c r="L27" i="95" s="1"/>
  <c r="K27" i="95" a="1"/>
  <c r="K27" i="95" s="1"/>
  <c r="J27" i="95" a="1"/>
  <c r="J27" i="95" s="1"/>
  <c r="I27" i="95" a="1"/>
  <c r="I27" i="95" s="1"/>
  <c r="H27" i="95" a="1"/>
  <c r="H27" i="95" s="1"/>
  <c r="G27" i="95" a="1"/>
  <c r="G27" i="95" s="1"/>
  <c r="F27" i="95" a="1"/>
  <c r="F27" i="95" s="1"/>
  <c r="E27" i="95" a="1"/>
  <c r="E27" i="95" s="1"/>
  <c r="D27" i="95" a="1"/>
  <c r="D27" i="95" s="1"/>
  <c r="L26" i="95" a="1"/>
  <c r="L26" i="95" s="1"/>
  <c r="K26" i="95" a="1"/>
  <c r="K26" i="95" s="1"/>
  <c r="J26" i="95" a="1"/>
  <c r="J26" i="95" s="1"/>
  <c r="I26" i="95" a="1"/>
  <c r="I26" i="95" s="1"/>
  <c r="H26" i="95" a="1"/>
  <c r="H26" i="95" s="1"/>
  <c r="G26" i="95" a="1"/>
  <c r="G26" i="95" s="1"/>
  <c r="F26" i="95" a="1"/>
  <c r="F26" i="95" s="1"/>
  <c r="E26" i="95" a="1"/>
  <c r="E26" i="95" s="1"/>
  <c r="D26" i="95" a="1"/>
  <c r="D26" i="95" s="1"/>
  <c r="L25" i="95" a="1"/>
  <c r="L25" i="95" s="1"/>
  <c r="K25" i="95" a="1"/>
  <c r="K25" i="95" s="1"/>
  <c r="J25" i="95" a="1"/>
  <c r="J25" i="95" s="1"/>
  <c r="I25" i="95" a="1"/>
  <c r="I25" i="95" s="1"/>
  <c r="H25" i="95" a="1"/>
  <c r="H25" i="95" s="1"/>
  <c r="G25" i="95" a="1"/>
  <c r="G25" i="95" s="1"/>
  <c r="F25" i="95" a="1"/>
  <c r="F25" i="95" s="1"/>
  <c r="E25" i="95" a="1"/>
  <c r="E25" i="95" s="1"/>
  <c r="D25" i="95" a="1"/>
  <c r="D25" i="95" s="1"/>
  <c r="L24" i="95" a="1"/>
  <c r="L24" i="95" s="1"/>
  <c r="K24" i="95" a="1"/>
  <c r="K24" i="95" s="1"/>
  <c r="J24" i="95" a="1"/>
  <c r="J24" i="95" s="1"/>
  <c r="I24" i="95" a="1"/>
  <c r="I24" i="95" s="1"/>
  <c r="H24" i="95" a="1"/>
  <c r="H24" i="95" s="1"/>
  <c r="G24" i="95" a="1"/>
  <c r="G24" i="95" s="1"/>
  <c r="F24" i="95" a="1"/>
  <c r="F24" i="95" s="1"/>
  <c r="E24" i="95" a="1"/>
  <c r="E24" i="95" s="1"/>
  <c r="D24" i="95" a="1"/>
  <c r="D24" i="95" s="1"/>
  <c r="L23" i="95" a="1"/>
  <c r="L23" i="95" s="1"/>
  <c r="K23" i="95" a="1"/>
  <c r="K23" i="95" s="1"/>
  <c r="J23" i="95" a="1"/>
  <c r="J23" i="95" s="1"/>
  <c r="I23" i="95" a="1"/>
  <c r="I23" i="95" s="1"/>
  <c r="H23" i="95" a="1"/>
  <c r="H23" i="95" s="1"/>
  <c r="G23" i="95" a="1"/>
  <c r="G23" i="95" s="1"/>
  <c r="F23" i="95" a="1"/>
  <c r="F23" i="95" s="1"/>
  <c r="E23" i="95" a="1"/>
  <c r="E23" i="95" s="1"/>
  <c r="D23" i="95" a="1"/>
  <c r="D23" i="95" s="1"/>
  <c r="L22" i="95" a="1"/>
  <c r="L22" i="95" s="1"/>
  <c r="K22" i="95" a="1"/>
  <c r="K22" i="95" s="1"/>
  <c r="J22" i="95" a="1"/>
  <c r="J22" i="95" s="1"/>
  <c r="I22" i="95" a="1"/>
  <c r="I22" i="95" s="1"/>
  <c r="H22" i="95" a="1"/>
  <c r="H22" i="95" s="1"/>
  <c r="G22" i="95" a="1"/>
  <c r="G22" i="95" s="1"/>
  <c r="F22" i="95" a="1"/>
  <c r="F22" i="95" s="1"/>
  <c r="E22" i="95" a="1"/>
  <c r="E22" i="95" s="1"/>
  <c r="D22" i="95" a="1"/>
  <c r="D22" i="95" s="1"/>
  <c r="L21" i="95" a="1"/>
  <c r="L21" i="95" s="1"/>
  <c r="K21" i="95" a="1"/>
  <c r="K21" i="95" s="1"/>
  <c r="J21" i="95" a="1"/>
  <c r="J21" i="95" s="1"/>
  <c r="I21" i="95" a="1"/>
  <c r="I21" i="95" s="1"/>
  <c r="H21" i="95" a="1"/>
  <c r="H21" i="95" s="1"/>
  <c r="G21" i="95" a="1"/>
  <c r="G21" i="95" s="1"/>
  <c r="F21" i="95" a="1"/>
  <c r="F21" i="95" s="1"/>
  <c r="E21" i="95" a="1"/>
  <c r="E21" i="95" s="1"/>
  <c r="D21" i="95" a="1"/>
  <c r="D21" i="95" s="1"/>
  <c r="L20" i="95" a="1"/>
  <c r="L20" i="95" s="1"/>
  <c r="K20" i="95" a="1"/>
  <c r="K20" i="95" s="1"/>
  <c r="J20" i="95" a="1"/>
  <c r="J20" i="95" s="1"/>
  <c r="I20" i="95" a="1"/>
  <c r="I20" i="95" s="1"/>
  <c r="H20" i="95" a="1"/>
  <c r="H20" i="95" s="1"/>
  <c r="G20" i="95" a="1"/>
  <c r="G20" i="95" s="1"/>
  <c r="F20" i="95" a="1"/>
  <c r="F20" i="95" s="1"/>
  <c r="E20" i="95" a="1"/>
  <c r="E20" i="95" s="1"/>
  <c r="D20" i="95" a="1"/>
  <c r="D20" i="95" s="1"/>
  <c r="L19" i="95" a="1"/>
  <c r="L19" i="95" s="1"/>
  <c r="K19" i="95" a="1"/>
  <c r="K19" i="95" s="1"/>
  <c r="J19" i="95" a="1"/>
  <c r="J19" i="95" s="1"/>
  <c r="I19" i="95" a="1"/>
  <c r="I19" i="95" s="1"/>
  <c r="H19" i="95" a="1"/>
  <c r="H19" i="95" s="1"/>
  <c r="G19" i="95" a="1"/>
  <c r="G19" i="95" s="1"/>
  <c r="F19" i="95" a="1"/>
  <c r="F19" i="95" s="1"/>
  <c r="E19" i="95" a="1"/>
  <c r="E19" i="95" s="1"/>
  <c r="D19" i="95" a="1"/>
  <c r="D19" i="95" s="1"/>
  <c r="L18" i="95" a="1"/>
  <c r="L18" i="95" s="1"/>
  <c r="K18" i="95" a="1"/>
  <c r="K18" i="95" s="1"/>
  <c r="J18" i="95" a="1"/>
  <c r="J18" i="95" s="1"/>
  <c r="I18" i="95" a="1"/>
  <c r="I18" i="95" s="1"/>
  <c r="H18" i="95" a="1"/>
  <c r="H18" i="95" s="1"/>
  <c r="G18" i="95" a="1"/>
  <c r="G18" i="95" s="1"/>
  <c r="F18" i="95" a="1"/>
  <c r="F18" i="95" s="1"/>
  <c r="E18" i="95" a="1"/>
  <c r="E18" i="95" s="1"/>
  <c r="D18" i="95" a="1"/>
  <c r="D18" i="95" s="1"/>
  <c r="L17" i="95" a="1"/>
  <c r="L17" i="95" s="1"/>
  <c r="K17" i="95" a="1"/>
  <c r="K17" i="95" s="1"/>
  <c r="J17" i="95" a="1"/>
  <c r="J17" i="95" s="1"/>
  <c r="I17" i="95" a="1"/>
  <c r="I17" i="95" s="1"/>
  <c r="H17" i="95" a="1"/>
  <c r="H17" i="95" s="1"/>
  <c r="G17" i="95" a="1"/>
  <c r="G17" i="95" s="1"/>
  <c r="F17" i="95" a="1"/>
  <c r="F17" i="95" s="1"/>
  <c r="E17" i="95" a="1"/>
  <c r="E17" i="95" s="1"/>
  <c r="E32" i="93" s="1"/>
  <c r="D17" i="95" a="1"/>
  <c r="D17" i="95" s="1"/>
  <c r="L16" i="95" a="1"/>
  <c r="L16" i="95" s="1"/>
  <c r="K16" i="95" a="1"/>
  <c r="K16" i="95" s="1"/>
  <c r="J16" i="95" a="1"/>
  <c r="J16" i="95" s="1"/>
  <c r="I16" i="95" a="1"/>
  <c r="I16" i="95" s="1"/>
  <c r="H16" i="95" a="1"/>
  <c r="H16" i="95" s="1"/>
  <c r="G16" i="95" a="1"/>
  <c r="G16" i="95" s="1"/>
  <c r="F16" i="95" a="1"/>
  <c r="F16" i="95" s="1"/>
  <c r="E16" i="95" a="1"/>
  <c r="E16" i="95" s="1"/>
  <c r="E31" i="93" s="1"/>
  <c r="D16" i="95" a="1"/>
  <c r="D16" i="95" s="1"/>
  <c r="L15" i="95" a="1"/>
  <c r="L15" i="95" s="1"/>
  <c r="K15" i="95" a="1"/>
  <c r="K15" i="95" s="1"/>
  <c r="J15" i="95" a="1"/>
  <c r="J15" i="95" s="1"/>
  <c r="I15" i="95" a="1"/>
  <c r="I15" i="95" s="1"/>
  <c r="H15" i="95" a="1"/>
  <c r="H15" i="95" s="1"/>
  <c r="G15" i="95" a="1"/>
  <c r="G15" i="95" s="1"/>
  <c r="F15" i="95" a="1"/>
  <c r="F15" i="95" s="1"/>
  <c r="E15" i="95" a="1"/>
  <c r="E15" i="95" s="1"/>
  <c r="E30" i="93" s="1"/>
  <c r="D15" i="95" a="1"/>
  <c r="D15" i="95" s="1"/>
  <c r="L14" i="95" a="1"/>
  <c r="L14" i="95" s="1"/>
  <c r="K14" i="95" a="1"/>
  <c r="K14" i="95" s="1"/>
  <c r="J14" i="95" a="1"/>
  <c r="J14" i="95" s="1"/>
  <c r="I14" i="95" a="1"/>
  <c r="I14" i="95" s="1"/>
  <c r="H14" i="95" a="1"/>
  <c r="H14" i="95" s="1"/>
  <c r="G14" i="95" a="1"/>
  <c r="G14" i="95" s="1"/>
  <c r="F14" i="95" a="1"/>
  <c r="F14" i="95" s="1"/>
  <c r="E14" i="95" a="1"/>
  <c r="E14" i="95" s="1"/>
  <c r="E29" i="93" s="1"/>
  <c r="D14" i="95" a="1"/>
  <c r="D14" i="95" s="1"/>
  <c r="L13" i="95" a="1"/>
  <c r="L13" i="95" s="1"/>
  <c r="K13" i="95" a="1"/>
  <c r="K13" i="95" s="1"/>
  <c r="J13" i="95" a="1"/>
  <c r="J13" i="95" s="1"/>
  <c r="I13" i="95" a="1"/>
  <c r="I13" i="95" s="1"/>
  <c r="H13" i="95" a="1"/>
  <c r="H13" i="95" s="1"/>
  <c r="G13" i="95" a="1"/>
  <c r="G13" i="95" s="1"/>
  <c r="F13" i="95" a="1"/>
  <c r="F13" i="95" s="1"/>
  <c r="E13" i="95" a="1"/>
  <c r="E13" i="95" s="1"/>
  <c r="E28" i="93" s="1"/>
  <c r="D13" i="95" a="1"/>
  <c r="D13" i="95" s="1"/>
  <c r="L12" i="95" a="1"/>
  <c r="L12" i="95" s="1"/>
  <c r="K12" i="95" a="1"/>
  <c r="K12" i="95" s="1"/>
  <c r="J12" i="95" a="1"/>
  <c r="J12" i="95" s="1"/>
  <c r="I12" i="95" a="1"/>
  <c r="I12" i="95" s="1"/>
  <c r="H12" i="95" a="1"/>
  <c r="H12" i="95" s="1"/>
  <c r="G12" i="95" a="1"/>
  <c r="G12" i="95" s="1"/>
  <c r="F12" i="95" a="1"/>
  <c r="F12" i="95" s="1"/>
  <c r="E12" i="95" a="1"/>
  <c r="E12" i="95" s="1"/>
  <c r="E27" i="93" s="1"/>
  <c r="D12" i="95" a="1"/>
  <c r="D12" i="95" s="1"/>
  <c r="L11" i="95" a="1"/>
  <c r="L11" i="95" s="1"/>
  <c r="K11" i="95" a="1"/>
  <c r="K11" i="95" s="1"/>
  <c r="J11" i="95" a="1"/>
  <c r="J11" i="95" s="1"/>
  <c r="I11" i="95" a="1"/>
  <c r="I11" i="95" s="1"/>
  <c r="H11" i="95" a="1"/>
  <c r="H11" i="95" s="1"/>
  <c r="G11" i="95" a="1"/>
  <c r="G11" i="95" s="1"/>
  <c r="F11" i="95" a="1"/>
  <c r="F11" i="95" s="1"/>
  <c r="E11" i="95" a="1"/>
  <c r="E11" i="95" s="1"/>
  <c r="D11" i="95" a="1"/>
  <c r="D11" i="95" s="1"/>
  <c r="L10" i="95" a="1"/>
  <c r="L10" i="95" s="1"/>
  <c r="K10" i="95" a="1"/>
  <c r="K10" i="95" s="1"/>
  <c r="J10" i="95" a="1"/>
  <c r="J10" i="95" s="1"/>
  <c r="I10" i="95" a="1"/>
  <c r="I10" i="95" s="1"/>
  <c r="H10" i="95" a="1"/>
  <c r="H10" i="95" s="1"/>
  <c r="G10" i="95" a="1"/>
  <c r="G10" i="95" s="1"/>
  <c r="F10" i="95" a="1"/>
  <c r="F10" i="95" s="1"/>
  <c r="E10" i="95" a="1"/>
  <c r="E10" i="95" s="1"/>
  <c r="D10" i="95" a="1"/>
  <c r="D10" i="95" s="1"/>
  <c r="D8" i="95" a="1"/>
  <c r="D8" i="95" s="1"/>
  <c r="D7" i="95" a="1"/>
  <c r="D7" i="95" s="1"/>
  <c r="D6" i="95" a="1"/>
  <c r="D6" i="95" s="1"/>
  <c r="D5" i="95" a="1"/>
  <c r="D5" i="95" s="1"/>
  <c r="D34" i="94"/>
  <c r="D33" i="94"/>
  <c r="D36" i="94"/>
  <c r="D27" i="94"/>
  <c r="D26" i="94"/>
  <c r="D29" i="94"/>
  <c r="P18" i="94"/>
  <c r="P17" i="94"/>
  <c r="P16" i="94" a="1"/>
  <c r="P16" i="94" s="1"/>
  <c r="I16" i="94" a="1"/>
  <c r="I16" i="94" s="1"/>
  <c r="P15" i="94" a="1"/>
  <c r="P15" i="94" s="1"/>
  <c r="I15" i="94" a="1"/>
  <c r="I15" i="94" s="1"/>
  <c r="P14" i="94" a="1"/>
  <c r="P14" i="94" s="1"/>
  <c r="N14" i="94" a="1"/>
  <c r="N14" i="94" s="1"/>
  <c r="K14" i="94" a="1"/>
  <c r="K14" i="94" s="1"/>
  <c r="I14" i="94" a="1"/>
  <c r="I14" i="94" s="1"/>
  <c r="G14" i="94" a="1"/>
  <c r="G14" i="94" s="1"/>
  <c r="D14" i="94" a="1"/>
  <c r="D14" i="94" s="1"/>
  <c r="L12" i="94" a="1"/>
  <c r="L12" i="94" s="1"/>
  <c r="E12" i="94" a="1"/>
  <c r="E12" i="94" s="1"/>
  <c r="L11" i="94" a="1"/>
  <c r="L11" i="94" s="1"/>
  <c r="E11" i="94" a="1"/>
  <c r="E11" i="94" s="1"/>
  <c r="K7" i="94" a="1"/>
  <c r="K7" i="94" s="1"/>
  <c r="K6" i="94" a="1"/>
  <c r="K6" i="94" s="1"/>
  <c r="D6" i="94" a="1"/>
  <c r="D6" i="94" s="1"/>
  <c r="K5" i="94" a="1"/>
  <c r="K5" i="94" s="1"/>
  <c r="D5" i="94" a="1"/>
  <c r="D5" i="94" s="1"/>
  <c r="D60" i="93"/>
  <c r="D39" i="93"/>
  <c r="D38" i="93"/>
  <c r="D35" i="93"/>
  <c r="D48" i="93"/>
  <c r="D30" i="93"/>
  <c r="P16" i="93" a="1"/>
  <c r="P16" i="93" s="1"/>
  <c r="I16" i="93" a="1"/>
  <c r="I16" i="93" s="1"/>
  <c r="P15" i="93" a="1"/>
  <c r="P15" i="93" s="1"/>
  <c r="I15" i="93" a="1"/>
  <c r="I15" i="93" s="1"/>
  <c r="P14" i="93" a="1"/>
  <c r="P14" i="93" s="1"/>
  <c r="N14" i="93" a="1"/>
  <c r="N14" i="93" s="1"/>
  <c r="K14" i="93" a="1"/>
  <c r="K14" i="93" s="1"/>
  <c r="I14" i="93" a="1"/>
  <c r="I14" i="93" s="1"/>
  <c r="G14" i="93" a="1"/>
  <c r="G14" i="93" s="1"/>
  <c r="D14" i="93" a="1"/>
  <c r="D14" i="93" s="1"/>
  <c r="L12" i="93" a="1"/>
  <c r="L12" i="93" s="1"/>
  <c r="E12" i="93" a="1"/>
  <c r="E12" i="93" s="1"/>
  <c r="L11" i="93" a="1"/>
  <c r="L11" i="93" s="1"/>
  <c r="E11" i="93" a="1"/>
  <c r="E11" i="93" s="1"/>
  <c r="K6" i="93" a="1"/>
  <c r="K6" i="93" s="1"/>
  <c r="D6" i="93" a="1"/>
  <c r="D6" i="93" s="1"/>
  <c r="K5" i="93" a="1"/>
  <c r="K5" i="93" s="1"/>
  <c r="D5" i="93" a="1"/>
  <c r="D5" i="93" s="1"/>
  <c r="H21" i="92"/>
  <c r="H20" i="92"/>
  <c r="H19" i="92"/>
  <c r="H18" i="92"/>
  <c r="H17" i="92"/>
  <c r="H25" i="91" a="1"/>
  <c r="H25" i="91" s="1"/>
  <c r="G25" i="91" a="1"/>
  <c r="G25" i="91" s="1"/>
  <c r="I567" i="113" s="1" a="1"/>
  <c r="I567" i="113" s="1"/>
  <c r="F25" i="91" a="1"/>
  <c r="F25" i="91" s="1"/>
  <c r="E25" i="91" a="1"/>
  <c r="E25" i="91" s="1"/>
  <c r="J36" i="90" s="1" a="1"/>
  <c r="J36" i="90" s="1"/>
  <c r="D25" i="91" a="1"/>
  <c r="D25" i="91" s="1"/>
  <c r="D22" i="91" a="1"/>
  <c r="D22" i="91" s="1"/>
  <c r="D21" i="91" a="1"/>
  <c r="D21" i="91" s="1"/>
  <c r="F19" i="91" a="1"/>
  <c r="F19" i="91" s="1"/>
  <c r="E19" i="91" a="1"/>
  <c r="E19" i="91" s="1"/>
  <c r="D19" i="91" a="1"/>
  <c r="D19" i="91" s="1"/>
  <c r="F18" i="91" a="1"/>
  <c r="F18" i="91" s="1"/>
  <c r="E18" i="91" a="1"/>
  <c r="E18" i="91" s="1"/>
  <c r="D18" i="91" a="1"/>
  <c r="D18" i="91" s="1"/>
  <c r="F17" i="91" a="1"/>
  <c r="F17" i="91" s="1"/>
  <c r="E17" i="91" a="1"/>
  <c r="E17" i="91" s="1"/>
  <c r="D17" i="91" a="1"/>
  <c r="D17" i="91" s="1"/>
  <c r="F16" i="91" a="1"/>
  <c r="F16" i="91" s="1"/>
  <c r="E16" i="91" a="1"/>
  <c r="E16" i="91" s="1"/>
  <c r="D16" i="91" a="1"/>
  <c r="D16" i="91" s="1"/>
  <c r="F15" i="91" a="1"/>
  <c r="F15" i="91" s="1"/>
  <c r="E15" i="91" a="1"/>
  <c r="E15" i="91" s="1"/>
  <c r="D15" i="91" a="1"/>
  <c r="D15" i="91" s="1"/>
  <c r="F14" i="91" a="1"/>
  <c r="F14" i="91" s="1"/>
  <c r="E14" i="91" a="1"/>
  <c r="E14" i="91" s="1"/>
  <c r="D14" i="91" a="1"/>
  <c r="D14" i="91" s="1"/>
  <c r="F13" i="91" a="1"/>
  <c r="F13" i="91" s="1"/>
  <c r="E13" i="91" a="1"/>
  <c r="E13" i="91" s="1"/>
  <c r="D13" i="91" a="1"/>
  <c r="D13" i="91" s="1"/>
  <c r="F12" i="91" a="1"/>
  <c r="F12" i="91" s="1"/>
  <c r="E12" i="91" a="1"/>
  <c r="E12" i="91" s="1"/>
  <c r="D12" i="91" a="1"/>
  <c r="D12" i="91" s="1"/>
  <c r="F11" i="91" a="1"/>
  <c r="F11" i="91" s="1"/>
  <c r="E11" i="91" a="1"/>
  <c r="E11" i="91" s="1"/>
  <c r="D11" i="91" a="1"/>
  <c r="D11" i="91" s="1"/>
  <c r="F10" i="91" a="1"/>
  <c r="F10" i="91" s="1"/>
  <c r="E10" i="91" a="1"/>
  <c r="E10" i="91" s="1"/>
  <c r="D10" i="91" a="1"/>
  <c r="D10" i="91" s="1"/>
  <c r="D7" i="91" a="1"/>
  <c r="D7" i="91" s="1"/>
  <c r="D6" i="91" a="1"/>
  <c r="D6" i="91" s="1"/>
  <c r="D5" i="91" a="1"/>
  <c r="D5" i="91" s="1"/>
  <c r="J37" i="90"/>
  <c r="J33" i="90" s="1"/>
  <c r="J32" i="90"/>
  <c r="J31" i="90"/>
  <c r="H31" i="90" a="1"/>
  <c r="H31" i="90" s="1"/>
  <c r="D31" i="90" a="1"/>
  <c r="D31" i="90" s="1"/>
  <c r="E29" i="90" a="1"/>
  <c r="E29" i="90" s="1"/>
  <c r="F39" i="90" s="1"/>
  <c r="E28" i="90" a="1"/>
  <c r="E28" i="90" s="1"/>
  <c r="D24" i="90" a="1"/>
  <c r="D24" i="90" s="1"/>
  <c r="D23" i="90" a="1"/>
  <c r="D23" i="90" s="1"/>
  <c r="D22" i="90" a="1"/>
  <c r="D22" i="90" s="1"/>
  <c r="I16" i="90"/>
  <c r="I14" i="90"/>
  <c r="G14" i="90" a="1"/>
  <c r="G14" i="90" s="1"/>
  <c r="D14" i="90" a="1"/>
  <c r="D14" i="90" s="1"/>
  <c r="E12" i="90" a="1"/>
  <c r="E12" i="90" s="1"/>
  <c r="F18" i="90" s="1"/>
  <c r="E11" i="90" a="1"/>
  <c r="E11" i="90" s="1"/>
  <c r="D7" i="90" a="1"/>
  <c r="D7" i="90" s="1"/>
  <c r="D6" i="90" a="1"/>
  <c r="D6" i="90" s="1"/>
  <c r="D5" i="90" a="1"/>
  <c r="D5" i="90" s="1"/>
  <c r="H48" i="89"/>
  <c r="E48" i="89"/>
  <c r="H47" i="89"/>
  <c r="E47" i="89"/>
  <c r="H46" i="89"/>
  <c r="E46" i="89"/>
  <c r="H39" i="89"/>
  <c r="H38" i="89"/>
  <c r="H37" i="89"/>
  <c r="E29" i="89"/>
  <c r="E16" i="89"/>
  <c r="E22" i="89" s="1"/>
  <c r="E6" i="89"/>
  <c r="O72" i="88" a="1"/>
  <c r="O72" i="88" s="1"/>
  <c r="F72" i="88" a="1"/>
  <c r="F72" i="88" s="1"/>
  <c r="M69" i="88" a="1"/>
  <c r="M69" i="88" s="1"/>
  <c r="D69" i="88" a="1"/>
  <c r="D69" i="88" s="1"/>
  <c r="D60" i="88" a="1"/>
  <c r="D60" i="88" s="1"/>
  <c r="D55" i="88" a="1"/>
  <c r="I50" i="88" a="1"/>
  <c r="I50" i="88" s="1"/>
  <c r="I49" i="88" a="1"/>
  <c r="I49" i="88" s="1"/>
  <c r="I48" i="88" a="1"/>
  <c r="I48" i="88" s="1"/>
  <c r="G48" i="88" a="1"/>
  <c r="G48" i="88" s="1"/>
  <c r="G55" i="88" s="1"/>
  <c r="D48" i="88" a="1"/>
  <c r="D48" i="88" s="1"/>
  <c r="E46" i="88" a="1"/>
  <c r="E46" i="88" s="1"/>
  <c r="H69" i="88" s="1"/>
  <c r="E45" i="88" a="1"/>
  <c r="E45" i="88" s="1"/>
  <c r="D40" i="88" a="1"/>
  <c r="D40" i="88" s="1"/>
  <c r="D39" i="88" a="1"/>
  <c r="D39" i="88" s="1"/>
  <c r="I15" i="88" a="1"/>
  <c r="I15" i="88" s="1"/>
  <c r="I14" i="88" a="1"/>
  <c r="I14" i="88" s="1"/>
  <c r="I13" i="88" a="1"/>
  <c r="I13" i="88" s="1"/>
  <c r="G13" i="88" a="1"/>
  <c r="G25" i="88" s="1"/>
  <c r="D13" i="88" a="1"/>
  <c r="D13" i="88" s="1"/>
  <c r="E11" i="88" a="1"/>
  <c r="E11" i="88" s="1"/>
  <c r="E10" i="88" a="1"/>
  <c r="E10" i="88" s="1"/>
  <c r="D6" i="88" a="1"/>
  <c r="D6" i="88" s="1"/>
  <c r="D5" i="88" a="1"/>
  <c r="D5" i="88" s="1"/>
  <c r="G117" i="87" a="1"/>
  <c r="G117" i="87" s="1"/>
  <c r="F117" i="87" a="1"/>
  <c r="F117" i="87" s="1"/>
  <c r="E117" i="87" a="1"/>
  <c r="E117" i="87" s="1"/>
  <c r="D117" i="87" a="1"/>
  <c r="D117" i="87" s="1"/>
  <c r="G116" i="87" a="1"/>
  <c r="G116" i="87" s="1"/>
  <c r="F116" i="87" a="1"/>
  <c r="F116" i="87" s="1"/>
  <c r="E116" i="87" a="1"/>
  <c r="E116" i="87" s="1"/>
  <c r="D116" i="87" a="1"/>
  <c r="D116" i="87" s="1"/>
  <c r="G115" i="87" a="1"/>
  <c r="G115" i="87" s="1"/>
  <c r="F115" i="87" a="1"/>
  <c r="F115" i="87" s="1"/>
  <c r="E115" i="87" a="1"/>
  <c r="E115" i="87" s="1"/>
  <c r="D115" i="87" a="1"/>
  <c r="D115" i="87" s="1"/>
  <c r="G114" i="87" a="1"/>
  <c r="G114" i="87" s="1"/>
  <c r="F114" i="87" a="1"/>
  <c r="F114" i="87" s="1"/>
  <c r="E114" i="87" a="1"/>
  <c r="E114" i="87" s="1"/>
  <c r="D114" i="87" a="1"/>
  <c r="D114" i="87" s="1"/>
  <c r="G113" i="87" a="1"/>
  <c r="G113" i="87" s="1"/>
  <c r="F113" i="87" a="1"/>
  <c r="F113" i="87" s="1"/>
  <c r="I142" i="84" s="1"/>
  <c r="E113" i="87" a="1"/>
  <c r="E113" i="87" s="1"/>
  <c r="D113" i="87" a="1"/>
  <c r="D113" i="87" s="1"/>
  <c r="D110" i="87" a="1"/>
  <c r="D110" i="87" s="1"/>
  <c r="D109" i="87" a="1"/>
  <c r="D109" i="87" s="1"/>
  <c r="D108" i="87" a="1"/>
  <c r="D108" i="87" s="1"/>
  <c r="G105" i="87" a="1"/>
  <c r="G105" i="87" s="1"/>
  <c r="F105" i="87" a="1"/>
  <c r="F105" i="87" s="1"/>
  <c r="E105" i="87" a="1"/>
  <c r="E105" i="87" s="1"/>
  <c r="D105" i="87" a="1"/>
  <c r="D105" i="87" s="1"/>
  <c r="G104" i="87" a="1"/>
  <c r="G104" i="87" s="1"/>
  <c r="F104" i="87" a="1"/>
  <c r="F104" i="87" s="1"/>
  <c r="E104" i="87" a="1"/>
  <c r="E104" i="87" s="1"/>
  <c r="D104" i="87" a="1"/>
  <c r="D104" i="87" s="1"/>
  <c r="G103" i="87" a="1"/>
  <c r="G103" i="87" s="1"/>
  <c r="F103" i="87" a="1"/>
  <c r="F103" i="87" s="1"/>
  <c r="E103" i="87" a="1"/>
  <c r="E103" i="87" s="1"/>
  <c r="D103" i="87" a="1"/>
  <c r="D103" i="87" s="1"/>
  <c r="G102" i="87" a="1"/>
  <c r="G102" i="87" s="1"/>
  <c r="F102" i="87" a="1"/>
  <c r="F102" i="87" s="1"/>
  <c r="E102" i="87" a="1"/>
  <c r="E102" i="87" s="1"/>
  <c r="D102" i="87" a="1"/>
  <c r="D102" i="87" s="1"/>
  <c r="G101" i="87" a="1"/>
  <c r="G101" i="87" s="1"/>
  <c r="E33" i="86" s="1"/>
  <c r="F101" i="87" a="1"/>
  <c r="F101" i="87" s="1"/>
  <c r="I143" i="84" s="1"/>
  <c r="E101" i="87" a="1"/>
  <c r="E101" i="87" s="1"/>
  <c r="D101" i="87" a="1"/>
  <c r="D101" i="87" s="1"/>
  <c r="D98" i="87" a="1"/>
  <c r="D98" i="87" s="1"/>
  <c r="D97" i="87" a="1"/>
  <c r="D97" i="87" s="1"/>
  <c r="D96" i="87" a="1"/>
  <c r="D96" i="87" s="1"/>
  <c r="N93" i="87" a="1"/>
  <c r="N93" i="87" s="1"/>
  <c r="M93" i="87" a="1"/>
  <c r="M93" i="87" s="1"/>
  <c r="L93" i="87" a="1"/>
  <c r="L93" i="87" s="1"/>
  <c r="K93" i="87" a="1"/>
  <c r="K93" i="87" s="1"/>
  <c r="J93" i="87" a="1"/>
  <c r="J93" i="87" s="1"/>
  <c r="I93" i="87" a="1"/>
  <c r="I93" i="87" s="1"/>
  <c r="H93" i="87" a="1"/>
  <c r="H93" i="87" s="1"/>
  <c r="G93" i="87" a="1"/>
  <c r="G93" i="87" s="1"/>
  <c r="F93" i="87" a="1"/>
  <c r="F93" i="87" s="1"/>
  <c r="E93" i="87" a="1"/>
  <c r="E93" i="87" s="1"/>
  <c r="D93" i="87" a="1"/>
  <c r="D93" i="87" s="1"/>
  <c r="N92" i="87" a="1"/>
  <c r="N92" i="87" s="1"/>
  <c r="M92" i="87" a="1"/>
  <c r="M92" i="87" s="1"/>
  <c r="L92" i="87" a="1"/>
  <c r="L92" i="87" s="1"/>
  <c r="K92" i="87" a="1"/>
  <c r="K92" i="87" s="1"/>
  <c r="J92" i="87" a="1"/>
  <c r="J92" i="87" s="1"/>
  <c r="I92" i="87" a="1"/>
  <c r="I92" i="87" s="1"/>
  <c r="H92" i="87" a="1"/>
  <c r="H92" i="87" s="1"/>
  <c r="G92" i="87" a="1"/>
  <c r="G92" i="87" s="1"/>
  <c r="F92" i="87" a="1"/>
  <c r="F92" i="87" s="1"/>
  <c r="E92" i="87" a="1"/>
  <c r="E92" i="87" s="1"/>
  <c r="D92" i="87" a="1"/>
  <c r="D92" i="87" s="1"/>
  <c r="N91" i="87" a="1"/>
  <c r="N91" i="87" s="1"/>
  <c r="M91" i="87" a="1"/>
  <c r="M91" i="87" s="1"/>
  <c r="L91" i="87" a="1"/>
  <c r="L91" i="87" s="1"/>
  <c r="K91" i="87" a="1"/>
  <c r="K91" i="87" s="1"/>
  <c r="J91" i="87" a="1"/>
  <c r="J91" i="87" s="1"/>
  <c r="I91" i="87" a="1"/>
  <c r="I91" i="87" s="1"/>
  <c r="H91" i="87" a="1"/>
  <c r="H91" i="87" s="1"/>
  <c r="G91" i="87" a="1"/>
  <c r="G91" i="87" s="1"/>
  <c r="F91" i="87" a="1"/>
  <c r="F91" i="87" s="1"/>
  <c r="E91" i="87" a="1"/>
  <c r="E91" i="87" s="1"/>
  <c r="D91" i="87" a="1"/>
  <c r="D91" i="87" s="1"/>
  <c r="N90" i="87" a="1"/>
  <c r="N90" i="87" s="1"/>
  <c r="M90" i="87" a="1"/>
  <c r="M90" i="87" s="1"/>
  <c r="L90" i="87" a="1"/>
  <c r="L90" i="87" s="1"/>
  <c r="K90" i="87" a="1"/>
  <c r="K90" i="87" s="1"/>
  <c r="J90" i="87" a="1"/>
  <c r="J90" i="87" s="1"/>
  <c r="I90" i="87" a="1"/>
  <c r="I90" i="87" s="1"/>
  <c r="H90" i="87" a="1"/>
  <c r="H90" i="87" s="1"/>
  <c r="G90" i="87" a="1"/>
  <c r="G90" i="87" s="1"/>
  <c r="F90" i="87" a="1"/>
  <c r="F90" i="87" s="1"/>
  <c r="E90" i="87" a="1"/>
  <c r="E90" i="87" s="1"/>
  <c r="D90" i="87" a="1"/>
  <c r="D90" i="87" s="1"/>
  <c r="N89" i="87" a="1"/>
  <c r="N89" i="87" s="1"/>
  <c r="M89" i="87" a="1"/>
  <c r="M89" i="87" s="1"/>
  <c r="L89" i="87" a="1"/>
  <c r="L89" i="87" s="1"/>
  <c r="K89" i="87" a="1"/>
  <c r="K89" i="87" s="1"/>
  <c r="J89" i="87" a="1"/>
  <c r="J89" i="87" s="1"/>
  <c r="I89" i="87" a="1"/>
  <c r="I89" i="87" s="1"/>
  <c r="H89" i="87" a="1"/>
  <c r="H89" i="87" s="1"/>
  <c r="G89" i="87" a="1"/>
  <c r="G89" i="87" s="1"/>
  <c r="F89" i="87" a="1"/>
  <c r="F89" i="87" s="1"/>
  <c r="E89" i="87" a="1"/>
  <c r="E89" i="87" s="1"/>
  <c r="D89" i="87" a="1"/>
  <c r="D89" i="87" s="1"/>
  <c r="D83" i="87" a="1"/>
  <c r="D83" i="87" s="1"/>
  <c r="D82" i="87" a="1"/>
  <c r="D82" i="87" s="1"/>
  <c r="D81" i="87" a="1"/>
  <c r="D81" i="87" s="1"/>
  <c r="J78" i="87" a="1"/>
  <c r="J78" i="87" s="1"/>
  <c r="I78" i="87" a="1"/>
  <c r="I78" i="87" s="1"/>
  <c r="H78" i="87" a="1"/>
  <c r="H78" i="87" s="1"/>
  <c r="G78" i="87" a="1"/>
  <c r="G78" i="87" s="1"/>
  <c r="F78" i="87" a="1"/>
  <c r="F78" i="87" s="1"/>
  <c r="E78" i="87" a="1"/>
  <c r="E78" i="87" s="1"/>
  <c r="D78" i="87" a="1"/>
  <c r="D78" i="87" s="1"/>
  <c r="J77" i="87" a="1"/>
  <c r="J77" i="87" s="1"/>
  <c r="I77" i="87" a="1"/>
  <c r="I77" i="87" s="1"/>
  <c r="H77" i="87" a="1"/>
  <c r="H77" i="87" s="1"/>
  <c r="G77" i="87" a="1"/>
  <c r="G77" i="87" s="1"/>
  <c r="F77" i="87" a="1"/>
  <c r="F77" i="87" s="1"/>
  <c r="E77" i="87" a="1"/>
  <c r="E77" i="87" s="1"/>
  <c r="D77" i="87" a="1"/>
  <c r="D77" i="87" s="1"/>
  <c r="J76" i="87" a="1"/>
  <c r="J76" i="87" s="1"/>
  <c r="I76" i="87" a="1"/>
  <c r="I76" i="87" s="1"/>
  <c r="H76" i="87" a="1"/>
  <c r="H76" i="87" s="1"/>
  <c r="G76" i="87" a="1"/>
  <c r="G76" i="87" s="1"/>
  <c r="F76" i="87" a="1"/>
  <c r="F76" i="87" s="1"/>
  <c r="E76" i="87" a="1"/>
  <c r="E76" i="87" s="1"/>
  <c r="D76" i="87" a="1"/>
  <c r="D76" i="87" s="1"/>
  <c r="J75" i="87" a="1"/>
  <c r="J75" i="87" s="1"/>
  <c r="I75" i="87" a="1"/>
  <c r="I75" i="87" s="1"/>
  <c r="H75" i="87" a="1"/>
  <c r="H75" i="87" s="1"/>
  <c r="G75" i="87" a="1"/>
  <c r="G75" i="87" s="1"/>
  <c r="F75" i="87" a="1"/>
  <c r="F75" i="87" s="1"/>
  <c r="E75" i="87" a="1"/>
  <c r="E75" i="87" s="1"/>
  <c r="D75" i="87" a="1"/>
  <c r="D75" i="87" s="1"/>
  <c r="J74" i="87" a="1"/>
  <c r="J74" i="87" s="1"/>
  <c r="I74" i="87" a="1"/>
  <c r="I74" i="87" s="1"/>
  <c r="H74" i="87" a="1"/>
  <c r="H74" i="87" s="1"/>
  <c r="G74" i="87" a="1"/>
  <c r="G74" i="87" s="1"/>
  <c r="F74" i="87" a="1"/>
  <c r="F74" i="87" s="1"/>
  <c r="E74" i="87" a="1"/>
  <c r="E74" i="87" s="1"/>
  <c r="D74" i="87" a="1"/>
  <c r="D74" i="87" s="1"/>
  <c r="J73" i="87" a="1"/>
  <c r="J73" i="87" s="1"/>
  <c r="I73" i="87" a="1"/>
  <c r="I73" i="87" s="1"/>
  <c r="H73" i="87" a="1"/>
  <c r="H73" i="87" s="1"/>
  <c r="G73" i="87" a="1"/>
  <c r="G73" i="87" s="1"/>
  <c r="F73" i="87" a="1"/>
  <c r="F73" i="87" s="1"/>
  <c r="E73" i="87" a="1"/>
  <c r="E73" i="87" s="1"/>
  <c r="D73" i="87" a="1"/>
  <c r="D73" i="87" s="1"/>
  <c r="J72" i="87" a="1"/>
  <c r="J72" i="87" s="1"/>
  <c r="I72" i="87" a="1"/>
  <c r="I72" i="87" s="1"/>
  <c r="H72" i="87" a="1"/>
  <c r="H72" i="87" s="1"/>
  <c r="G72" i="87" a="1"/>
  <c r="G72" i="87" s="1"/>
  <c r="F72" i="87" a="1"/>
  <c r="F72" i="87" s="1"/>
  <c r="E72" i="87" a="1"/>
  <c r="E72" i="87" s="1"/>
  <c r="D72" i="87" a="1"/>
  <c r="D72" i="87" s="1"/>
  <c r="J71" i="87" a="1"/>
  <c r="J71" i="87" s="1"/>
  <c r="I71" i="87" a="1"/>
  <c r="I71" i="87" s="1"/>
  <c r="H71" i="87" a="1"/>
  <c r="H71" i="87" s="1"/>
  <c r="G71" i="87" a="1"/>
  <c r="G71" i="87" s="1"/>
  <c r="F71" i="87" a="1"/>
  <c r="F71" i="87" s="1"/>
  <c r="E71" i="87" a="1"/>
  <c r="E71" i="87" s="1"/>
  <c r="D71" i="87" a="1"/>
  <c r="D71" i="87" s="1"/>
  <c r="J70" i="87" a="1"/>
  <c r="J70" i="87" s="1"/>
  <c r="I70" i="87" a="1"/>
  <c r="I70" i="87" s="1"/>
  <c r="H70" i="87" a="1"/>
  <c r="H70" i="87" s="1"/>
  <c r="G70" i="87" a="1"/>
  <c r="G70" i="87" s="1"/>
  <c r="F70" i="87" a="1"/>
  <c r="F70" i="87" s="1"/>
  <c r="E70" i="87" a="1"/>
  <c r="E70" i="87" s="1"/>
  <c r="D70" i="87" a="1"/>
  <c r="D70" i="87" s="1"/>
  <c r="J69" i="87" a="1"/>
  <c r="J69" i="87" s="1"/>
  <c r="I69" i="87" a="1"/>
  <c r="I69" i="87" s="1"/>
  <c r="H69" i="87" a="1"/>
  <c r="H69" i="87" s="1"/>
  <c r="G69" i="87" a="1"/>
  <c r="G69" i="87" s="1"/>
  <c r="F69" i="87" a="1"/>
  <c r="F69" i="87" s="1"/>
  <c r="E69" i="87" a="1"/>
  <c r="E69" i="87" s="1"/>
  <c r="D69" i="87" a="1"/>
  <c r="D69" i="87" s="1"/>
  <c r="J68" i="87" a="1"/>
  <c r="J68" i="87" s="1"/>
  <c r="I68" i="87" a="1"/>
  <c r="I68" i="87" s="1"/>
  <c r="H68" i="87" a="1"/>
  <c r="H68" i="87" s="1"/>
  <c r="G68" i="87" a="1"/>
  <c r="G68" i="87" s="1"/>
  <c r="F68" i="87" a="1"/>
  <c r="F68" i="87" s="1"/>
  <c r="E68" i="87" a="1"/>
  <c r="E68" i="87" s="1"/>
  <c r="D68" i="87" a="1"/>
  <c r="D68" i="87" s="1"/>
  <c r="J67" i="87" a="1"/>
  <c r="J67" i="87" s="1"/>
  <c r="I67" i="87" a="1"/>
  <c r="I67" i="87" s="1"/>
  <c r="H67" i="87" a="1"/>
  <c r="H67" i="87" s="1"/>
  <c r="G67" i="87" a="1"/>
  <c r="G67" i="87" s="1"/>
  <c r="F67" i="87" a="1"/>
  <c r="F67" i="87" s="1"/>
  <c r="E67" i="87" a="1"/>
  <c r="E67" i="87" s="1"/>
  <c r="D67" i="87" a="1"/>
  <c r="D67" i="87" s="1"/>
  <c r="F16" i="82" s="1" a="1"/>
  <c r="F16" i="82" s="1"/>
  <c r="D63" i="87" a="1"/>
  <c r="D63" i="87" s="1"/>
  <c r="D62" i="87" a="1"/>
  <c r="D62" i="87" s="1"/>
  <c r="D61" i="87" a="1"/>
  <c r="D61" i="87" s="1"/>
  <c r="J58" i="87" a="1"/>
  <c r="J58" i="87" s="1"/>
  <c r="I58" i="87" a="1"/>
  <c r="I58" i="87" s="1"/>
  <c r="H58" i="87" a="1"/>
  <c r="H58" i="87" s="1"/>
  <c r="G58" i="87" a="1"/>
  <c r="G58" i="87" s="1"/>
  <c r="F58" i="87" a="1"/>
  <c r="F58" i="87" s="1"/>
  <c r="E58" i="87" a="1"/>
  <c r="E58" i="87" s="1"/>
  <c r="D58" i="87" a="1"/>
  <c r="D58" i="87" s="1"/>
  <c r="J57" i="87" a="1"/>
  <c r="J57" i="87" s="1"/>
  <c r="I57" i="87" a="1"/>
  <c r="I57" i="87" s="1"/>
  <c r="H57" i="87" a="1"/>
  <c r="H57" i="87" s="1"/>
  <c r="G57" i="87" a="1"/>
  <c r="G57" i="87" s="1"/>
  <c r="F57" i="87" a="1"/>
  <c r="F57" i="87" s="1"/>
  <c r="E57" i="87" a="1"/>
  <c r="E57" i="87" s="1"/>
  <c r="D57" i="87" a="1"/>
  <c r="D57" i="87" s="1"/>
  <c r="J56" i="87" a="1"/>
  <c r="J56" i="87" s="1"/>
  <c r="I56" i="87" a="1"/>
  <c r="I56" i="87" s="1"/>
  <c r="H56" i="87" a="1"/>
  <c r="H56" i="87" s="1"/>
  <c r="G56" i="87" a="1"/>
  <c r="G56" i="87" s="1"/>
  <c r="F56" i="87" a="1"/>
  <c r="F56" i="87" s="1"/>
  <c r="E56" i="87" a="1"/>
  <c r="E56" i="87" s="1"/>
  <c r="D56" i="87" a="1"/>
  <c r="D56" i="87" s="1"/>
  <c r="J55" i="87" a="1"/>
  <c r="J55" i="87" s="1"/>
  <c r="I55" i="87" a="1"/>
  <c r="I55" i="87" s="1"/>
  <c r="H55" i="87" a="1"/>
  <c r="H55" i="87" s="1"/>
  <c r="G55" i="87" a="1"/>
  <c r="G55" i="87" s="1"/>
  <c r="F55" i="87" a="1"/>
  <c r="F55" i="87" s="1"/>
  <c r="E55" i="87" a="1"/>
  <c r="E55" i="87" s="1"/>
  <c r="D55" i="87" a="1"/>
  <c r="D55" i="87" s="1"/>
  <c r="J54" i="87" a="1"/>
  <c r="J54" i="87" s="1"/>
  <c r="I54" i="87" a="1"/>
  <c r="I54" i="87" s="1"/>
  <c r="H54" i="87" a="1"/>
  <c r="H54" i="87" s="1"/>
  <c r="G54" i="87" a="1"/>
  <c r="G54" i="87" s="1"/>
  <c r="F54" i="87" a="1"/>
  <c r="F54" i="87" s="1"/>
  <c r="E54" i="87" a="1"/>
  <c r="E54" i="87" s="1"/>
  <c r="D54" i="87" a="1"/>
  <c r="D54" i="87" s="1"/>
  <c r="J53" i="87" a="1"/>
  <c r="J53" i="87" s="1"/>
  <c r="I53" i="87" a="1"/>
  <c r="I53" i="87" s="1"/>
  <c r="H53" i="87" a="1"/>
  <c r="H53" i="87" s="1"/>
  <c r="G53" i="87" a="1"/>
  <c r="G53" i="87" s="1"/>
  <c r="F53" i="87" a="1"/>
  <c r="F53" i="87" s="1"/>
  <c r="E53" i="87" a="1"/>
  <c r="E53" i="87" s="1"/>
  <c r="D53" i="87" a="1"/>
  <c r="D53" i="87" s="1"/>
  <c r="J52" i="87" a="1"/>
  <c r="J52" i="87" s="1"/>
  <c r="I52" i="87" a="1"/>
  <c r="I52" i="87" s="1"/>
  <c r="H52" i="87" a="1"/>
  <c r="H52" i="87" s="1"/>
  <c r="G52" i="87" a="1"/>
  <c r="G52" i="87" s="1"/>
  <c r="F52" i="87" a="1"/>
  <c r="F52" i="87" s="1"/>
  <c r="E52" i="87" a="1"/>
  <c r="E52" i="87" s="1"/>
  <c r="D52" i="87" a="1"/>
  <c r="D52" i="87" s="1"/>
  <c r="J51" i="87" a="1"/>
  <c r="J51" i="87" s="1"/>
  <c r="I51" i="87" a="1"/>
  <c r="I51" i="87" s="1"/>
  <c r="H51" i="87" a="1"/>
  <c r="H51" i="87" s="1"/>
  <c r="G51" i="87" a="1"/>
  <c r="G51" i="87" s="1"/>
  <c r="F51" i="87" a="1"/>
  <c r="F51" i="87" s="1"/>
  <c r="E51" i="87" a="1"/>
  <c r="E51" i="87" s="1"/>
  <c r="D51" i="87" a="1"/>
  <c r="D51" i="87" s="1"/>
  <c r="J50" i="87" a="1"/>
  <c r="J50" i="87" s="1"/>
  <c r="I50" i="87" a="1"/>
  <c r="I50" i="87" s="1"/>
  <c r="H50" i="87" a="1"/>
  <c r="H50" i="87" s="1"/>
  <c r="G50" i="87" a="1"/>
  <c r="G50" i="87" s="1"/>
  <c r="F50" i="87" a="1"/>
  <c r="F50" i="87" s="1"/>
  <c r="E50" i="87" a="1"/>
  <c r="E50" i="87" s="1"/>
  <c r="D50" i="87" a="1"/>
  <c r="D50" i="87" s="1"/>
  <c r="F27" i="82" s="1" a="1"/>
  <c r="F27" i="82" s="1"/>
  <c r="D46" i="87" a="1"/>
  <c r="D46" i="87" s="1"/>
  <c r="D45" i="87" a="1"/>
  <c r="D45" i="87" s="1"/>
  <c r="D44" i="87" a="1"/>
  <c r="D44" i="87" s="1"/>
  <c r="E41" i="87" a="1"/>
  <c r="E41" i="87" s="1"/>
  <c r="D41" i="87" a="1"/>
  <c r="D41" i="87" s="1"/>
  <c r="E40" i="87" a="1"/>
  <c r="E40" i="87" s="1"/>
  <c r="D40" i="87" a="1"/>
  <c r="D40" i="87" s="1"/>
  <c r="E39" i="87" a="1"/>
  <c r="E39" i="87" s="1"/>
  <c r="D39" i="87" a="1"/>
  <c r="D39" i="87" s="1"/>
  <c r="D37" i="87" a="1"/>
  <c r="D37" i="87" s="1"/>
  <c r="D36" i="87" a="1"/>
  <c r="D36" i="87" s="1"/>
  <c r="F22" i="87" a="1"/>
  <c r="F22" i="87" s="1"/>
  <c r="E22" i="87" a="1"/>
  <c r="E22" i="87" s="1"/>
  <c r="D22" i="87" a="1"/>
  <c r="D22" i="87" s="1"/>
  <c r="D21" i="87" a="1"/>
  <c r="D21" i="87" s="1"/>
  <c r="D20" i="87" a="1"/>
  <c r="D20" i="87" s="1"/>
  <c r="F17" i="87" a="1"/>
  <c r="F17" i="87" s="1"/>
  <c r="E17" i="87" a="1"/>
  <c r="E17" i="87" s="1"/>
  <c r="H15" i="83" s="1"/>
  <c r="D17" i="87" a="1"/>
  <c r="D17" i="87" s="1"/>
  <c r="D16" i="87" a="1"/>
  <c r="D16" i="87" s="1"/>
  <c r="D15" i="87" a="1"/>
  <c r="D15" i="87" s="1"/>
  <c r="F12" i="87" a="1"/>
  <c r="F12" i="87" s="1"/>
  <c r="E12" i="87" a="1"/>
  <c r="E12" i="87" s="1"/>
  <c r="D12" i="87" a="1"/>
  <c r="D12" i="87" s="1"/>
  <c r="D11" i="87" a="1"/>
  <c r="D11" i="87" s="1"/>
  <c r="D10" i="87" a="1"/>
  <c r="D10" i="87" s="1"/>
  <c r="F7" i="87" a="1"/>
  <c r="F7" i="87" s="1"/>
  <c r="E7" i="87" a="1"/>
  <c r="E7" i="87" s="1"/>
  <c r="I69" i="83" s="1"/>
  <c r="D7" i="87" a="1"/>
  <c r="D7" i="87" s="1"/>
  <c r="D6" i="87" a="1"/>
  <c r="D6" i="87" s="1"/>
  <c r="D5" i="87" a="1"/>
  <c r="D5" i="87" s="1"/>
  <c r="N109" i="86"/>
  <c r="D109" i="86"/>
  <c r="N108" i="86"/>
  <c r="D108" i="86"/>
  <c r="N107" i="86"/>
  <c r="D107" i="86"/>
  <c r="N106" i="86"/>
  <c r="D106" i="86"/>
  <c r="E101" i="86"/>
  <c r="D101" i="86"/>
  <c r="D100" i="86"/>
  <c r="E99" i="86"/>
  <c r="D99" i="86"/>
  <c r="E98" i="86"/>
  <c r="D98" i="86"/>
  <c r="N85" i="86"/>
  <c r="D85" i="86"/>
  <c r="N84" i="86"/>
  <c r="D84" i="86"/>
  <c r="N83" i="86"/>
  <c r="D83" i="86"/>
  <c r="N82" i="86"/>
  <c r="D82" i="86"/>
  <c r="J77" i="86" a="1"/>
  <c r="J77" i="86" s="1"/>
  <c r="J76" i="86" a="1"/>
  <c r="J76" i="86" s="1"/>
  <c r="J75" i="86" a="1"/>
  <c r="J75" i="86" s="1"/>
  <c r="J74" i="86" a="1"/>
  <c r="J74" i="86" s="1"/>
  <c r="H74" i="86" a="1"/>
  <c r="H74" i="86" s="1"/>
  <c r="D74" i="86" a="1"/>
  <c r="D74" i="86" s="1"/>
  <c r="E72" i="86" a="1"/>
  <c r="E72" i="86" s="1"/>
  <c r="E71" i="86" a="1"/>
  <c r="E71" i="86" s="1"/>
  <c r="D66" i="86" a="1"/>
  <c r="D66" i="86" s="1"/>
  <c r="D65" i="86" a="1"/>
  <c r="D65" i="86" s="1"/>
  <c r="N59" i="86"/>
  <c r="D59" i="86"/>
  <c r="N58" i="86"/>
  <c r="D58" i="86"/>
  <c r="N57" i="86"/>
  <c r="D57" i="86"/>
  <c r="N56" i="86"/>
  <c r="D56" i="86"/>
  <c r="D51" i="86"/>
  <c r="D50" i="86"/>
  <c r="D49" i="86"/>
  <c r="D48" i="86"/>
  <c r="D43" i="86"/>
  <c r="D42" i="86"/>
  <c r="E42" i="86" s="1"/>
  <c r="D41" i="86"/>
  <c r="E41" i="86" s="1"/>
  <c r="D40" i="86"/>
  <c r="D39" i="86"/>
  <c r="D34" i="86"/>
  <c r="D32" i="86"/>
  <c r="D31" i="86"/>
  <c r="D30" i="86"/>
  <c r="N25" i="86"/>
  <c r="D25" i="86"/>
  <c r="N24" i="86"/>
  <c r="D24" i="86"/>
  <c r="N23" i="86"/>
  <c r="D23" i="86"/>
  <c r="N22" i="86"/>
  <c r="D22" i="86"/>
  <c r="J17" i="86" a="1"/>
  <c r="J17" i="86" s="1"/>
  <c r="J16" i="86" a="1"/>
  <c r="J16" i="86" s="1"/>
  <c r="J15" i="86" a="1"/>
  <c r="J15" i="86" s="1"/>
  <c r="J14" i="86" a="1"/>
  <c r="J14" i="86" s="1"/>
  <c r="H14" i="86" a="1"/>
  <c r="H14" i="86" s="1"/>
  <c r="D14" i="86" a="1"/>
  <c r="D14" i="86" s="1"/>
  <c r="E12" i="86" a="1"/>
  <c r="E12" i="86" s="1"/>
  <c r="E11" i="86" a="1"/>
  <c r="E11" i="86" s="1"/>
  <c r="D6" i="86" a="1"/>
  <c r="D6" i="86" s="1"/>
  <c r="D91" i="86" s="1"/>
  <c r="D5" i="86" a="1"/>
  <c r="D5" i="86" s="1"/>
  <c r="O70" i="85" a="1"/>
  <c r="O70" i="85" s="1"/>
  <c r="F70" i="85" a="1"/>
  <c r="F70" i="85" s="1"/>
  <c r="M67" i="85" a="1"/>
  <c r="M67" i="85" s="1"/>
  <c r="D67" i="85" a="1"/>
  <c r="D67" i="85" s="1"/>
  <c r="P58" i="85" a="1"/>
  <c r="P58" i="85" s="1"/>
  <c r="M58" i="85" a="1"/>
  <c r="M58" i="85" s="1"/>
  <c r="G58" i="85" a="1"/>
  <c r="G58" i="85" s="1"/>
  <c r="D58" i="85" a="1"/>
  <c r="D58" i="85" s="1"/>
  <c r="E56" i="85" a="1"/>
  <c r="E56" i="85" s="1"/>
  <c r="O65" i="85" s="1"/>
  <c r="E55" i="85" a="1"/>
  <c r="E55" i="85" s="1"/>
  <c r="D51" i="85" a="1"/>
  <c r="D51" i="85" s="1"/>
  <c r="D50" i="85" a="1"/>
  <c r="D50" i="85" s="1"/>
  <c r="M44" i="85"/>
  <c r="D44" i="85"/>
  <c r="M43" i="85"/>
  <c r="D43" i="85"/>
  <c r="M42" i="85"/>
  <c r="D42" i="85"/>
  <c r="M41" i="85"/>
  <c r="D41" i="85"/>
  <c r="M40" i="85"/>
  <c r="D40" i="85"/>
  <c r="D35" i="85"/>
  <c r="D34" i="85"/>
  <c r="D33" i="85"/>
  <c r="D32" i="85"/>
  <c r="E32" i="85" s="1"/>
  <c r="M27" i="85"/>
  <c r="D27" i="85"/>
  <c r="M26" i="85"/>
  <c r="D26" i="85"/>
  <c r="M25" i="85"/>
  <c r="D25" i="85"/>
  <c r="M24" i="85"/>
  <c r="D24" i="85"/>
  <c r="M23" i="85"/>
  <c r="D23" i="85"/>
  <c r="I15" i="85" a="1"/>
  <c r="I15" i="85" s="1"/>
  <c r="I14" i="85" a="1"/>
  <c r="I14" i="85" s="1"/>
  <c r="G14" i="85" a="1"/>
  <c r="G14" i="85" s="1"/>
  <c r="Q23" i="85" s="1"/>
  <c r="D14" i="85" a="1"/>
  <c r="D14" i="85" s="1"/>
  <c r="E12" i="85" a="1"/>
  <c r="E12" i="85" s="1"/>
  <c r="E11" i="85" a="1"/>
  <c r="E11" i="85" s="1"/>
  <c r="D6" i="85" a="1"/>
  <c r="D6" i="85" s="1"/>
  <c r="D5" i="85" a="1"/>
  <c r="D5" i="85" s="1"/>
  <c r="Q217" i="84" a="1"/>
  <c r="Q217" i="84" s="1"/>
  <c r="F217" i="84" a="1"/>
  <c r="F217" i="84" s="1"/>
  <c r="O214" i="84" a="1"/>
  <c r="O214" i="84" s="1"/>
  <c r="D214" i="84" a="1"/>
  <c r="D214" i="84" s="1"/>
  <c r="O210" i="84"/>
  <c r="D210" i="84"/>
  <c r="O209" i="84"/>
  <c r="D209" i="84"/>
  <c r="O208" i="84"/>
  <c r="D208" i="84"/>
  <c r="O207" i="84"/>
  <c r="D207" i="84"/>
  <c r="O206" i="84"/>
  <c r="D206" i="84"/>
  <c r="D198" i="84"/>
  <c r="E198" i="84" s="1"/>
  <c r="D197" i="84"/>
  <c r="D196" i="84"/>
  <c r="D195" i="84"/>
  <c r="I189" i="84" a="1"/>
  <c r="I189" i="84" s="1"/>
  <c r="K188" i="84" a="1"/>
  <c r="K188" i="84" s="1"/>
  <c r="J188" i="84" a="1"/>
  <c r="J188" i="84" s="1"/>
  <c r="I188" i="84" a="1"/>
  <c r="I188" i="84" s="1"/>
  <c r="G188" i="84" a="1"/>
  <c r="G188" i="84" s="1"/>
  <c r="D188" i="84" a="1"/>
  <c r="D188" i="84" s="1"/>
  <c r="E186" i="84" a="1"/>
  <c r="E186" i="84" s="1"/>
  <c r="E185" i="84" a="1"/>
  <c r="E185" i="84" s="1"/>
  <c r="D180" i="84" a="1"/>
  <c r="D180" i="84" s="1"/>
  <c r="D179" i="84" a="1"/>
  <c r="D179" i="84" s="1"/>
  <c r="O176" i="84"/>
  <c r="D176" i="84"/>
  <c r="O175" i="84"/>
  <c r="D175" i="84"/>
  <c r="O174" i="84"/>
  <c r="D174" i="84"/>
  <c r="I162" i="84" a="1"/>
  <c r="I162" i="84" s="1"/>
  <c r="I161" i="84" a="1"/>
  <c r="I161" i="84" s="1"/>
  <c r="G161" i="84" a="1"/>
  <c r="G161" i="84" s="1"/>
  <c r="D161" i="84" a="1"/>
  <c r="D161" i="84" s="1"/>
  <c r="E159" i="84" a="1"/>
  <c r="E159" i="84" s="1"/>
  <c r="E158" i="84" a="1"/>
  <c r="E158" i="84" s="1"/>
  <c r="D154" i="84" a="1"/>
  <c r="D154" i="84" s="1"/>
  <c r="D153" i="84" a="1"/>
  <c r="D153" i="84" s="1"/>
  <c r="I144" i="84" a="1"/>
  <c r="I144" i="84" s="1"/>
  <c r="I141" i="84" a="1"/>
  <c r="I141" i="84" s="1"/>
  <c r="G141" i="84" a="1"/>
  <c r="G141" i="84" s="1"/>
  <c r="D141" i="84" a="1"/>
  <c r="D141" i="84" s="1"/>
  <c r="E139" i="84" a="1"/>
  <c r="E139" i="84" s="1"/>
  <c r="E138" i="84" a="1"/>
  <c r="E138" i="84" s="1"/>
  <c r="D134" i="84" a="1"/>
  <c r="D134" i="84" s="1"/>
  <c r="D133" i="84" a="1"/>
  <c r="D133" i="84" s="1"/>
  <c r="O129" i="84"/>
  <c r="D129" i="84"/>
  <c r="I119" i="84" a="1"/>
  <c r="I119" i="84" s="1"/>
  <c r="I118" i="84" a="1"/>
  <c r="I118" i="84" s="1"/>
  <c r="G118" i="84" a="1"/>
  <c r="G118" i="84" s="1"/>
  <c r="D118" i="84" a="1"/>
  <c r="D118" i="84" s="1"/>
  <c r="E116" i="84" a="1"/>
  <c r="E116" i="84" s="1"/>
  <c r="E115" i="84" a="1"/>
  <c r="E115" i="84" s="1"/>
  <c r="D111" i="84" a="1"/>
  <c r="D111" i="84" s="1"/>
  <c r="D110" i="84" a="1"/>
  <c r="D110" i="84" s="1"/>
  <c r="O106" i="84"/>
  <c r="D106" i="84"/>
  <c r="E101" i="84" a="1"/>
  <c r="E101" i="84" s="1"/>
  <c r="I96" i="84" a="1"/>
  <c r="I96" i="84" s="1"/>
  <c r="I95" i="84" a="1"/>
  <c r="I95" i="84" s="1"/>
  <c r="G95" i="84" a="1"/>
  <c r="G95" i="84" s="1"/>
  <c r="D95" i="84" a="1"/>
  <c r="D95" i="84" s="1"/>
  <c r="E93" i="84" a="1"/>
  <c r="E93" i="84" s="1"/>
  <c r="E92" i="84" a="1"/>
  <c r="E92" i="84" s="1"/>
  <c r="D88" i="84" a="1"/>
  <c r="D88" i="84" s="1"/>
  <c r="D87" i="84" a="1"/>
  <c r="D87" i="84" s="1"/>
  <c r="D78" i="84" a="1"/>
  <c r="D78" i="84" s="1"/>
  <c r="D73" i="84" a="1"/>
  <c r="H68" i="84" a="1"/>
  <c r="H68" i="84" s="1"/>
  <c r="H67" i="84" a="1"/>
  <c r="H67" i="84" s="1"/>
  <c r="H66" i="84" a="1"/>
  <c r="H66" i="84" s="1"/>
  <c r="D66" i="84" a="1"/>
  <c r="D66" i="84" s="1"/>
  <c r="E64" i="84" a="1"/>
  <c r="E64" i="84" s="1"/>
  <c r="E63" i="84" a="1"/>
  <c r="E63" i="84" s="1"/>
  <c r="D59" i="84" a="1"/>
  <c r="D59" i="84" s="1"/>
  <c r="D58" i="84" a="1"/>
  <c r="D58" i="84" s="1"/>
  <c r="I44" i="84" a="1"/>
  <c r="I44" i="84" s="1"/>
  <c r="I43" i="84" a="1"/>
  <c r="I43" i="84" s="1"/>
  <c r="G43" i="84" a="1"/>
  <c r="G43" i="84" s="1"/>
  <c r="D43" i="84" a="1"/>
  <c r="D43" i="84" s="1"/>
  <c r="E41" i="84" a="1"/>
  <c r="E41" i="84" s="1"/>
  <c r="E40" i="84" a="1"/>
  <c r="E40" i="84" s="1"/>
  <c r="D35" i="84" a="1"/>
  <c r="D35" i="84" s="1"/>
  <c r="D34" i="84" a="1"/>
  <c r="D34" i="84" s="1"/>
  <c r="I14" i="84" a="1"/>
  <c r="I14" i="84" s="1"/>
  <c r="I13" i="84" a="1"/>
  <c r="I13" i="84" s="1"/>
  <c r="G13" i="84" a="1"/>
  <c r="G13" i="84" s="1"/>
  <c r="D13" i="84" a="1"/>
  <c r="I15" i="84" s="1"/>
  <c r="E11" i="84" a="1"/>
  <c r="E11" i="84" s="1"/>
  <c r="R30" i="84" s="1"/>
  <c r="E10" i="84" a="1"/>
  <c r="E10" i="84" s="1"/>
  <c r="D6" i="84" a="1"/>
  <c r="D6" i="84" s="1"/>
  <c r="D5" i="84" a="1"/>
  <c r="D5" i="84" s="1"/>
  <c r="O176" i="83" a="1"/>
  <c r="O176" i="83" s="1"/>
  <c r="F176" i="83" a="1"/>
  <c r="F176" i="83" s="1"/>
  <c r="M173" i="83" a="1"/>
  <c r="M173" i="83" s="1"/>
  <c r="D173" i="83" a="1"/>
  <c r="D173" i="83" s="1"/>
  <c r="N168" i="83"/>
  <c r="E168" i="83"/>
  <c r="N167" i="83"/>
  <c r="E167" i="83"/>
  <c r="N166" i="83"/>
  <c r="E166" i="83"/>
  <c r="N165" i="83"/>
  <c r="E165" i="83"/>
  <c r="N164" i="83"/>
  <c r="E164" i="83"/>
  <c r="D159" i="83" a="1"/>
  <c r="D159" i="83" s="1"/>
  <c r="N154" i="83"/>
  <c r="E154" i="83"/>
  <c r="N153" i="83"/>
  <c r="E153" i="83"/>
  <c r="N152" i="83"/>
  <c r="E152" i="83"/>
  <c r="N151" i="83"/>
  <c r="E151" i="83"/>
  <c r="N150" i="83"/>
  <c r="E150" i="83"/>
  <c r="D145" i="83" a="1"/>
  <c r="D145" i="83" s="1"/>
  <c r="I140" i="83" a="1"/>
  <c r="I140" i="83" s="1"/>
  <c r="I139" i="83" a="1"/>
  <c r="I139" i="83" s="1"/>
  <c r="I138" i="83" a="1"/>
  <c r="I138" i="83" s="1"/>
  <c r="G138" i="83" a="1"/>
  <c r="G159" i="83" s="1"/>
  <c r="D138" i="83" a="1"/>
  <c r="D138" i="83" s="1"/>
  <c r="E136" i="83" a="1"/>
  <c r="E136" i="83" s="1"/>
  <c r="Q173" i="83" s="1"/>
  <c r="E135" i="83" a="1"/>
  <c r="E135" i="83" s="1"/>
  <c r="D130" i="83" a="1"/>
  <c r="D130" i="83" s="1"/>
  <c r="D129" i="83" a="1"/>
  <c r="D129" i="83" s="1"/>
  <c r="M125" i="83"/>
  <c r="D125" i="83"/>
  <c r="R115" i="83"/>
  <c r="R112" i="83" a="1"/>
  <c r="R112" i="83" s="1"/>
  <c r="I112" i="83" a="1"/>
  <c r="I112" i="83" s="1"/>
  <c r="P110" i="83" a="1"/>
  <c r="P110" i="83" s="1"/>
  <c r="M110" i="83" a="1"/>
  <c r="M110" i="83" s="1"/>
  <c r="I110" i="83" a="1"/>
  <c r="I110" i="83" s="1"/>
  <c r="G110" i="83" a="1"/>
  <c r="G110" i="83" s="1"/>
  <c r="D110" i="83" a="1"/>
  <c r="D110" i="83" s="1"/>
  <c r="E108" i="83" a="1"/>
  <c r="E108" i="83" s="1"/>
  <c r="E107" i="83" a="1"/>
  <c r="E107" i="83" s="1"/>
  <c r="D103" i="83" a="1"/>
  <c r="D103" i="83" s="1"/>
  <c r="D102" i="83" a="1"/>
  <c r="D102" i="83" s="1"/>
  <c r="M98" i="83"/>
  <c r="D98" i="83"/>
  <c r="M97" i="83"/>
  <c r="D97" i="83"/>
  <c r="M96" i="83"/>
  <c r="D96" i="83"/>
  <c r="N89" i="83"/>
  <c r="M89" i="83"/>
  <c r="E89" i="83"/>
  <c r="N88" i="83"/>
  <c r="M88" i="83"/>
  <c r="E88" i="83"/>
  <c r="N87" i="83"/>
  <c r="M87" i="83"/>
  <c r="E87" i="83"/>
  <c r="R75" i="83"/>
  <c r="R73" i="83" a="1"/>
  <c r="R73" i="83" s="1"/>
  <c r="I73" i="83" a="1"/>
  <c r="I73" i="83" s="1"/>
  <c r="I72" i="83" a="1"/>
  <c r="I72" i="83" s="1"/>
  <c r="I70" i="83" a="1"/>
  <c r="I70" i="83" s="1"/>
  <c r="P69" i="83" a="1"/>
  <c r="P69" i="83" s="1"/>
  <c r="M69" i="83" a="1"/>
  <c r="M69" i="83" s="1"/>
  <c r="G69" i="83" a="1"/>
  <c r="G69" i="83" s="1"/>
  <c r="D69" i="83" a="1"/>
  <c r="D69" i="83" s="1"/>
  <c r="E67" i="83" a="1"/>
  <c r="E67" i="83" s="1"/>
  <c r="Q96" i="83" s="1"/>
  <c r="E66" i="83" a="1"/>
  <c r="E66" i="83" s="1"/>
  <c r="D62" i="83" a="1"/>
  <c r="D62" i="83" s="1"/>
  <c r="D61" i="83" a="1"/>
  <c r="D61" i="83" s="1"/>
  <c r="M57" i="83"/>
  <c r="D57" i="83"/>
  <c r="E52" i="83" a="1"/>
  <c r="E52" i="83" s="1"/>
  <c r="D52" i="83"/>
  <c r="R44" i="83" a="1"/>
  <c r="R44" i="83" s="1"/>
  <c r="I44" i="83" a="1"/>
  <c r="I44" i="83" s="1"/>
  <c r="R42" i="83" a="1"/>
  <c r="R42" i="83" s="1"/>
  <c r="P42" i="83" a="1"/>
  <c r="P42" i="83" s="1"/>
  <c r="M42" i="83" a="1"/>
  <c r="M42" i="83" s="1"/>
  <c r="I42" i="83" a="1"/>
  <c r="I42" i="83" s="1"/>
  <c r="G42" i="83" a="1"/>
  <c r="G42" i="83" s="1"/>
  <c r="D42" i="83" a="1"/>
  <c r="D42" i="83" s="1"/>
  <c r="E40" i="83" a="1"/>
  <c r="E40" i="83" s="1"/>
  <c r="Q57" i="83" s="1"/>
  <c r="E39" i="83" a="1"/>
  <c r="E39" i="83" s="1"/>
  <c r="D35" i="83" a="1"/>
  <c r="D35" i="83" s="1"/>
  <c r="D34" i="83" a="1"/>
  <c r="D34" i="83" s="1"/>
  <c r="H14" i="83" a="1"/>
  <c r="H14" i="83" s="1"/>
  <c r="H13" i="83" a="1"/>
  <c r="H13" i="83" s="1"/>
  <c r="D13" i="83" a="1"/>
  <c r="D13" i="83" s="1"/>
  <c r="E11" i="83" a="1"/>
  <c r="E11" i="83" s="1"/>
  <c r="E10" i="83" a="1"/>
  <c r="E10" i="83" s="1"/>
  <c r="D6" i="83" a="1"/>
  <c r="D6" i="83" s="1"/>
  <c r="D5" i="83" a="1"/>
  <c r="D5" i="83" s="1"/>
  <c r="K42" i="82"/>
  <c r="E51" i="86" s="1"/>
  <c r="D41" i="82"/>
  <c r="K38" i="82"/>
  <c r="E50" i="86" s="1"/>
  <c r="G38" i="82"/>
  <c r="F38" i="82"/>
  <c r="E38" i="82"/>
  <c r="E80" i="83" s="1" a="1"/>
  <c r="E80" i="83" s="1"/>
  <c r="K37" i="82"/>
  <c r="E49" i="86" s="1"/>
  <c r="K36" i="82"/>
  <c r="E48" i="86" s="1"/>
  <c r="D35" i="82"/>
  <c r="D58" i="78"/>
  <c r="D39" i="78"/>
  <c r="D38" i="78"/>
  <c r="D37" i="78"/>
  <c r="D36" i="78"/>
  <c r="D35" i="78"/>
  <c r="D34" i="78"/>
  <c r="D33" i="78"/>
  <c r="D32" i="78"/>
  <c r="D31" i="78"/>
  <c r="D30" i="78"/>
  <c r="D29" i="78"/>
  <c r="J36" i="78"/>
  <c r="J33" i="78"/>
  <c r="J34" i="78"/>
  <c r="J35" i="78"/>
  <c r="E118" i="102" a="1"/>
  <c r="E7" i="94" a="1"/>
  <c r="E101" i="113" a="1"/>
  <c r="E7" i="83" a="1"/>
  <c r="E42" i="114"/>
  <c r="E89" i="84" a="1"/>
  <c r="E25" i="90"/>
  <c r="E155" i="84" a="1"/>
  <c r="E370" i="113" a="1"/>
  <c r="E38" i="100" a="1"/>
  <c r="E523" i="113"/>
  <c r="E7" i="88" a="1"/>
  <c r="E131" i="83" a="1"/>
  <c r="E67" i="86" a="1"/>
  <c r="E43" i="99" a="1"/>
  <c r="O7" i="114"/>
  <c r="E181" i="84" a="1"/>
  <c r="O42" i="114"/>
  <c r="E61" i="114" a="1"/>
  <c r="E7" i="114"/>
  <c r="E43" i="102" a="1"/>
  <c r="E36" i="83" a="1"/>
  <c r="L7" i="93" a="1"/>
  <c r="E305" i="113" a="1"/>
  <c r="E99" i="106" a="1"/>
  <c r="N85" i="98" a="1"/>
  <c r="E26" i="114" a="1"/>
  <c r="E83" i="103"/>
  <c r="E41" i="88" a="1"/>
  <c r="E609" i="113" a="1"/>
  <c r="E203" i="113" a="1"/>
  <c r="E90" i="102" a="1"/>
  <c r="E104" i="83" a="1"/>
  <c r="E166" i="113" a="1"/>
  <c r="E63" i="83" a="1"/>
  <c r="E49" i="103" a="1"/>
  <c r="E538" i="113"/>
  <c r="L8" i="94" a="1"/>
  <c r="E7" i="84" a="1"/>
  <c r="E7" i="106" a="1"/>
  <c r="O26" i="114" a="1"/>
  <c r="E7" i="100" a="1"/>
  <c r="E36" i="84" a="1"/>
  <c r="E273" i="113" a="1"/>
  <c r="E112" i="84" a="1"/>
  <c r="E555" i="113"/>
  <c r="E338" i="113" a="1"/>
  <c r="E189" i="113" a="1"/>
  <c r="O61" i="114" a="1"/>
  <c r="E79" i="114"/>
  <c r="E7" i="103" a="1"/>
  <c r="E42" i="98" a="1"/>
  <c r="E7" i="86" a="1"/>
  <c r="E7" i="113" a="1"/>
  <c r="E7" i="99" a="1"/>
  <c r="E135" i="84" a="1"/>
  <c r="E576" i="113" a="1"/>
  <c r="E7" i="93" a="1"/>
  <c r="E7" i="102" a="1"/>
  <c r="E433" i="113" a="1"/>
  <c r="O79" i="114"/>
  <c r="E7" i="85" a="1"/>
  <c r="E218" i="113" a="1"/>
  <c r="E8" i="90"/>
  <c r="E52" i="85"/>
  <c r="E400" i="113" a="1"/>
  <c r="E7" i="101" a="1"/>
  <c r="E60" i="84" a="1"/>
  <c r="E7" i="98" a="1"/>
  <c r="M28" i="93" l="1" a="1"/>
  <c r="M28" i="93" s="1"/>
  <c r="M37" i="93" a="1"/>
  <c r="M37" i="93" s="1"/>
  <c r="L37" i="93" a="1"/>
  <c r="L37" i="93" s="1"/>
  <c r="O37" i="93" s="1" a="1"/>
  <c r="O37" i="93" s="1"/>
  <c r="M31" i="94" a="1"/>
  <c r="M31" i="94" s="1"/>
  <c r="D285" i="113"/>
  <c r="F285" i="113" s="1" a="1"/>
  <c r="F285" i="113" s="1"/>
  <c r="F287" i="113" a="1"/>
  <c r="F287" i="113" s="1"/>
  <c r="F286" i="113" a="1"/>
  <c r="F286" i="113" s="1"/>
  <c r="F296" i="113" a="1"/>
  <c r="F296" i="113" s="1"/>
  <c r="F295" i="113" a="1"/>
  <c r="F295" i="113" s="1"/>
  <c r="F294" i="113" a="1"/>
  <c r="F294" i="113" s="1"/>
  <c r="F290" i="113" a="1"/>
  <c r="F290" i="113" s="1"/>
  <c r="F289" i="113" a="1"/>
  <c r="F289" i="113" s="1"/>
  <c r="F288" i="113" a="1"/>
  <c r="F288" i="113" s="1"/>
  <c r="F292" i="113" a="1"/>
  <c r="F292" i="113" s="1"/>
  <c r="F291" i="113" a="1"/>
  <c r="F291" i="113" s="1"/>
  <c r="I291" i="113" s="1" a="1"/>
  <c r="I291" i="113" s="1"/>
  <c r="F293" i="113" a="1"/>
  <c r="F293" i="113" s="1"/>
  <c r="I293" i="113" s="1" a="1"/>
  <c r="I293" i="113" s="1"/>
  <c r="M34" i="94" a="1"/>
  <c r="M34" i="94" s="1"/>
  <c r="L34" i="94" a="1"/>
  <c r="L34" i="94" s="1"/>
  <c r="M31" i="93" a="1"/>
  <c r="M31" i="93" s="1"/>
  <c r="J39" i="94"/>
  <c r="I39" i="94"/>
  <c r="H39" i="94"/>
  <c r="G39" i="94"/>
  <c r="M25" i="94" a="1"/>
  <c r="M25" i="94" s="1"/>
  <c r="L25" i="94" a="1"/>
  <c r="L25" i="94" s="1"/>
  <c r="M28" i="94" a="1"/>
  <c r="M28" i="94" s="1"/>
  <c r="L28" i="94" a="1"/>
  <c r="L28" i="94" s="1"/>
  <c r="M34" i="93" a="1"/>
  <c r="M34" i="93" s="1"/>
  <c r="L34" i="93" a="1"/>
  <c r="L34" i="93" s="1"/>
  <c r="I17" i="107"/>
  <c r="E116" i="106" a="1"/>
  <c r="E116" i="106" s="1"/>
  <c r="E21" i="106" a="1"/>
  <c r="E157" i="106" a="1"/>
  <c r="E157" i="106" s="1"/>
  <c r="F22" i="82" a="1"/>
  <c r="F22" i="82" s="1"/>
  <c r="I35" i="93" a="1"/>
  <c r="I35" i="93" s="1"/>
  <c r="H40" i="94"/>
  <c r="T120" i="113" a="1"/>
  <c r="T120" i="113" s="1"/>
  <c r="P129" i="113" a="1"/>
  <c r="P129" i="113" s="1"/>
  <c r="G448" i="113" a="1"/>
  <c r="G448" i="113" s="1"/>
  <c r="H448" i="113" s="1" a="1"/>
  <c r="H448" i="113" s="1"/>
  <c r="H196" i="115"/>
  <c r="S15" i="97" a="1"/>
  <c r="S15" i="97" s="1"/>
  <c r="P19" i="97" a="1"/>
  <c r="P19" i="97" s="1"/>
  <c r="D19" i="98" a="1"/>
  <c r="I33" i="114"/>
  <c r="O35" i="114" s="1" a="1"/>
  <c r="O35" i="114" s="1"/>
  <c r="S48" i="114" s="1"/>
  <c r="F483" i="113" a="1"/>
  <c r="F483" i="113" s="1"/>
  <c r="G22" i="82" a="1"/>
  <c r="G22" i="82" s="1"/>
  <c r="I29" i="93" a="1"/>
  <c r="I29" i="93" s="1"/>
  <c r="J35" i="93" a="1"/>
  <c r="J35" i="93" s="1"/>
  <c r="I40" i="94"/>
  <c r="E59" i="106" a="1"/>
  <c r="P12" i="97" a="1"/>
  <c r="P12" i="97" s="1"/>
  <c r="AC236" i="113" s="1" a="1"/>
  <c r="T15" i="97" a="1"/>
  <c r="T15" i="97" s="1"/>
  <c r="R21" i="97" a="1"/>
  <c r="R21" i="97" s="1"/>
  <c r="F20" i="97"/>
  <c r="L19" i="97" a="1"/>
  <c r="L19" i="97" s="1"/>
  <c r="P18" i="97" a="1"/>
  <c r="P18" i="97" s="1"/>
  <c r="T17" i="97" a="1"/>
  <c r="T17" i="97" s="1"/>
  <c r="Y16" i="97"/>
  <c r="J16" i="97" a="1"/>
  <c r="J16" i="97" s="1"/>
  <c r="N15" i="97" a="1"/>
  <c r="N15" i="97" s="1"/>
  <c r="R14" i="97" a="1"/>
  <c r="R14" i="97" s="1"/>
  <c r="F13" i="97"/>
  <c r="L12" i="97" a="1"/>
  <c r="L12" i="97" s="1"/>
  <c r="Q21" i="97" a="1"/>
  <c r="Q21" i="97" s="1"/>
  <c r="U20" i="97" a="1"/>
  <c r="U20" i="97" s="1"/>
  <c r="Z19" i="97"/>
  <c r="P236" i="113" s="1" a="1"/>
  <c r="P236" i="113" s="1"/>
  <c r="K19" i="97" a="1"/>
  <c r="K19" i="97" s="1"/>
  <c r="R236" i="113" s="1" a="1"/>
  <c r="R236" i="113" s="1"/>
  <c r="O18" i="97" a="1"/>
  <c r="O18" i="97" s="1"/>
  <c r="S17" i="97" a="1"/>
  <c r="S17" i="97" s="1"/>
  <c r="W16" i="97" a="1"/>
  <c r="W16" i="97" s="1"/>
  <c r="H16" i="97"/>
  <c r="M15" i="97" a="1"/>
  <c r="M15" i="97" s="1"/>
  <c r="Q14" i="97" a="1"/>
  <c r="Q14" i="97" s="1"/>
  <c r="U13" i="97" a="1"/>
  <c r="U13" i="97" s="1"/>
  <c r="Z12" i="97"/>
  <c r="K12" i="97" a="1"/>
  <c r="K12" i="97" s="1"/>
  <c r="P21" i="97" a="1"/>
  <c r="P21" i="97" s="1"/>
  <c r="T20" i="97" a="1"/>
  <c r="T20" i="97" s="1"/>
  <c r="Y19" i="97"/>
  <c r="J19" i="97" a="1"/>
  <c r="J19" i="97" s="1"/>
  <c r="N18" i="97" a="1"/>
  <c r="N18" i="97" s="1"/>
  <c r="Y236" i="113" s="1" a="1"/>
  <c r="R17" i="97" a="1"/>
  <c r="R17" i="97" s="1"/>
  <c r="F16" i="97"/>
  <c r="L15" i="97" a="1"/>
  <c r="L15" i="97" s="1"/>
  <c r="P14" i="97" a="1"/>
  <c r="P14" i="97" s="1"/>
  <c r="T13" i="97" a="1"/>
  <c r="T13" i="97" s="1"/>
  <c r="Y12" i="97"/>
  <c r="J12" i="97" a="1"/>
  <c r="J12" i="97" s="1"/>
  <c r="O21" i="97" a="1"/>
  <c r="O21" i="97" s="1"/>
  <c r="S20" i="97" a="1"/>
  <c r="S20" i="97" s="1"/>
  <c r="W19" i="97" a="1"/>
  <c r="W19" i="97" s="1"/>
  <c r="H19" i="97"/>
  <c r="M18" i="97" a="1"/>
  <c r="M18" i="97" s="1"/>
  <c r="Q17" i="97" a="1"/>
  <c r="Q17" i="97" s="1"/>
  <c r="U16" i="97" a="1"/>
  <c r="U16" i="97" s="1"/>
  <c r="AL236" i="113" s="1" a="1"/>
  <c r="AL236" i="113" s="1"/>
  <c r="Z15" i="97"/>
  <c r="K15" i="97" a="1"/>
  <c r="K15" i="97" s="1"/>
  <c r="O14" i="97" a="1"/>
  <c r="O14" i="97" s="1"/>
  <c r="S13" i="97" a="1"/>
  <c r="S13" i="97" s="1"/>
  <c r="W12" i="97" a="1"/>
  <c r="W12" i="97" s="1"/>
  <c r="H12" i="97"/>
  <c r="N21" i="97" a="1"/>
  <c r="N21" i="97" s="1"/>
  <c r="R20" i="97" a="1"/>
  <c r="R20" i="97" s="1"/>
  <c r="F19" i="97"/>
  <c r="L18" i="97" a="1"/>
  <c r="L18" i="97" s="1"/>
  <c r="P17" i="97" a="1"/>
  <c r="P17" i="97" s="1"/>
  <c r="T16" i="97" a="1"/>
  <c r="T16" i="97" s="1"/>
  <c r="Y15" i="97"/>
  <c r="J15" i="97" a="1"/>
  <c r="J15" i="97" s="1"/>
  <c r="V15" i="97" s="1"/>
  <c r="N14" i="97" a="1"/>
  <c r="N14" i="97" s="1"/>
  <c r="R13" i="97" a="1"/>
  <c r="R13" i="97" s="1"/>
  <c r="F12" i="97"/>
  <c r="M21" i="97" a="1"/>
  <c r="M21" i="97" s="1"/>
  <c r="Q20" i="97" a="1"/>
  <c r="Q20" i="97" s="1"/>
  <c r="U19" i="97" a="1"/>
  <c r="U19" i="97" s="1"/>
  <c r="Z18" i="97"/>
  <c r="K18" i="97" a="1"/>
  <c r="K18" i="97" s="1"/>
  <c r="O17" i="97" a="1"/>
  <c r="O17" i="97" s="1"/>
  <c r="S16" i="97" a="1"/>
  <c r="S16" i="97" s="1"/>
  <c r="W15" i="97" a="1"/>
  <c r="W15" i="97" s="1"/>
  <c r="H15" i="97"/>
  <c r="X15" i="97" s="1"/>
  <c r="M14" i="97" a="1"/>
  <c r="M14" i="97" s="1"/>
  <c r="V236" i="113" s="1" a="1"/>
  <c r="V236" i="113" s="1"/>
  <c r="Q13" i="97" a="1"/>
  <c r="Q13" i="97" s="1"/>
  <c r="AD236" i="113" s="1" a="1"/>
  <c r="AD236" i="113" s="1"/>
  <c r="U12" i="97" a="1"/>
  <c r="U12" i="97" s="1"/>
  <c r="L21" i="97" a="1"/>
  <c r="L21" i="97" s="1"/>
  <c r="P20" i="97" a="1"/>
  <c r="P20" i="97" s="1"/>
  <c r="T19" i="97" a="1"/>
  <c r="T19" i="97" s="1"/>
  <c r="Y18" i="97"/>
  <c r="J18" i="97" a="1"/>
  <c r="J18" i="97" s="1"/>
  <c r="N17" i="97" a="1"/>
  <c r="N17" i="97" s="1"/>
  <c r="R16" i="97" a="1"/>
  <c r="R16" i="97" s="1"/>
  <c r="F15" i="97"/>
  <c r="L14" i="97" a="1"/>
  <c r="L14" i="97" s="1"/>
  <c r="P13" i="97" a="1"/>
  <c r="P13" i="97" s="1"/>
  <c r="T12" i="97" a="1"/>
  <c r="T12" i="97" s="1"/>
  <c r="Z21" i="97"/>
  <c r="K21" i="97" a="1"/>
  <c r="K21" i="97" s="1"/>
  <c r="O20" i="97" a="1"/>
  <c r="O20" i="97" s="1"/>
  <c r="S19" i="97" a="1"/>
  <c r="S19" i="97" s="1"/>
  <c r="W18" i="97" a="1"/>
  <c r="W18" i="97" s="1"/>
  <c r="H18" i="97"/>
  <c r="M17" i="97" a="1"/>
  <c r="M17" i="97" s="1"/>
  <c r="Q16" i="97" a="1"/>
  <c r="Q16" i="97" s="1"/>
  <c r="U15" i="97" a="1"/>
  <c r="U15" i="97" s="1"/>
  <c r="Z14" i="97"/>
  <c r="K14" i="97" a="1"/>
  <c r="K14" i="97" s="1"/>
  <c r="O13" i="97" a="1"/>
  <c r="O13" i="97" s="1"/>
  <c r="S12" i="97" a="1"/>
  <c r="S12" i="97" s="1"/>
  <c r="U21" i="97" a="1"/>
  <c r="U21" i="97" s="1"/>
  <c r="Z20" i="97"/>
  <c r="K20" i="97" a="1"/>
  <c r="K20" i="97" s="1"/>
  <c r="O19" i="97" a="1"/>
  <c r="O19" i="97" s="1"/>
  <c r="S18" i="97" a="1"/>
  <c r="S18" i="97" s="1"/>
  <c r="W17" i="97" a="1"/>
  <c r="W17" i="97" s="1"/>
  <c r="H17" i="97"/>
  <c r="M16" i="97" a="1"/>
  <c r="M16" i="97" s="1"/>
  <c r="Q15" i="97" a="1"/>
  <c r="Q15" i="97" s="1"/>
  <c r="U14" i="97" a="1"/>
  <c r="U14" i="97" s="1"/>
  <c r="Z13" i="97"/>
  <c r="K13" i="97" a="1"/>
  <c r="K13" i="97" s="1"/>
  <c r="O12" i="97" a="1"/>
  <c r="O12" i="97" s="1"/>
  <c r="T21" i="97" a="1"/>
  <c r="T21" i="97" s="1"/>
  <c r="Y20" i="97"/>
  <c r="J20" i="97" a="1"/>
  <c r="J20" i="97" s="1"/>
  <c r="N19" i="97" a="1"/>
  <c r="N19" i="97" s="1"/>
  <c r="R18" i="97" a="1"/>
  <c r="R18" i="97" s="1"/>
  <c r="F17" i="97"/>
  <c r="L16" i="97" a="1"/>
  <c r="L16" i="97" s="1"/>
  <c r="P15" i="97" a="1"/>
  <c r="P15" i="97" s="1"/>
  <c r="T14" i="97" a="1"/>
  <c r="T14" i="97" s="1"/>
  <c r="Y13" i="97"/>
  <c r="J13" i="97" a="1"/>
  <c r="J13" i="97" s="1"/>
  <c r="N12" i="97" a="1"/>
  <c r="N12" i="97" s="1"/>
  <c r="S21" i="97" a="1"/>
  <c r="S21" i="97" s="1"/>
  <c r="W20" i="97" a="1"/>
  <c r="W20" i="97" s="1"/>
  <c r="H20" i="97"/>
  <c r="M19" i="97" a="1"/>
  <c r="M19" i="97" s="1"/>
  <c r="Q18" i="97" a="1"/>
  <c r="Q18" i="97" s="1"/>
  <c r="U17" i="97" a="1"/>
  <c r="U17" i="97" s="1"/>
  <c r="Z16" i="97"/>
  <c r="K16" i="97" a="1"/>
  <c r="K16" i="97" s="1"/>
  <c r="O15" i="97" a="1"/>
  <c r="O15" i="97" s="1"/>
  <c r="S14" i="97" a="1"/>
  <c r="S14" i="97" s="1"/>
  <c r="W13" i="97" a="1"/>
  <c r="W13" i="97" s="1"/>
  <c r="H13" i="97"/>
  <c r="M12" i="97" a="1"/>
  <c r="M12" i="97" s="1"/>
  <c r="D12" i="110"/>
  <c r="D137" i="113" s="1"/>
  <c r="F137" i="113" s="1" a="1"/>
  <c r="F137" i="113" s="1"/>
  <c r="D139" i="113"/>
  <c r="F139" i="113" s="1" a="1"/>
  <c r="F139" i="113" s="1"/>
  <c r="D138" i="113"/>
  <c r="F138" i="113" s="1" a="1"/>
  <c r="F138" i="113" s="1"/>
  <c r="D140" i="113"/>
  <c r="F140" i="113" s="1" a="1"/>
  <c r="F140" i="113" s="1"/>
  <c r="G26" i="82" a="1"/>
  <c r="G26" i="82" s="1"/>
  <c r="J29" i="93" a="1"/>
  <c r="J29" i="93" s="1"/>
  <c r="K35" i="93" a="1"/>
  <c r="K35" i="93" s="1"/>
  <c r="Q12" i="97" a="1"/>
  <c r="Q12" i="97" s="1"/>
  <c r="N16" i="97" a="1"/>
  <c r="N16" i="97" s="1"/>
  <c r="R19" i="97" a="1"/>
  <c r="R19" i="97" s="1"/>
  <c r="E108" i="102"/>
  <c r="I69" i="114"/>
  <c r="E27" i="82" a="1"/>
  <c r="E27" i="82" s="1"/>
  <c r="K29" i="93" a="1"/>
  <c r="K29" i="93" s="1"/>
  <c r="E28" i="94"/>
  <c r="I29" i="113" a="1"/>
  <c r="I29" i="113" s="1"/>
  <c r="R12" i="97" a="1"/>
  <c r="R12" i="97" s="1"/>
  <c r="AG236" i="113" s="1" a="1"/>
  <c r="O16" i="97" a="1"/>
  <c r="O16" i="97" s="1"/>
  <c r="Z236" i="113" s="1" a="1"/>
  <c r="Z236" i="113" s="1"/>
  <c r="L20" i="97" a="1"/>
  <c r="L20" i="97" s="1"/>
  <c r="E109" i="102"/>
  <c r="G35" i="94"/>
  <c r="J35" i="94"/>
  <c r="I35" i="94"/>
  <c r="H35" i="94"/>
  <c r="O90" i="115"/>
  <c r="Q89" i="115" s="1"/>
  <c r="AB127" i="113" a="1"/>
  <c r="AB127" i="113" s="1"/>
  <c r="T124" i="113" a="1"/>
  <c r="T124" i="113" s="1"/>
  <c r="AB120" i="113" a="1"/>
  <c r="AB120" i="113" s="1"/>
  <c r="X127" i="113" a="1"/>
  <c r="X127" i="113" s="1"/>
  <c r="P124" i="113" a="1"/>
  <c r="P124" i="113" s="1"/>
  <c r="T127" i="113" a="1"/>
  <c r="T127" i="113" s="1"/>
  <c r="AB123" i="113" a="1"/>
  <c r="AB123" i="113" s="1"/>
  <c r="P127" i="113" a="1"/>
  <c r="P127" i="113" s="1"/>
  <c r="X123" i="113" a="1"/>
  <c r="X123" i="113" s="1"/>
  <c r="AB126" i="113" a="1"/>
  <c r="AB126" i="113" s="1"/>
  <c r="T123" i="113" a="1"/>
  <c r="T123" i="113" s="1"/>
  <c r="X120" i="113" a="1"/>
  <c r="X120" i="113" s="1"/>
  <c r="X126" i="113" a="1"/>
  <c r="X126" i="113" s="1"/>
  <c r="P123" i="113" a="1"/>
  <c r="P123" i="113" s="1"/>
  <c r="AB129" i="113" a="1"/>
  <c r="AB129" i="113" s="1"/>
  <c r="T126" i="113" a="1"/>
  <c r="T126" i="113" s="1"/>
  <c r="AB122" i="113" a="1"/>
  <c r="AB122" i="113" s="1"/>
  <c r="X129" i="113" a="1"/>
  <c r="X129" i="113" s="1"/>
  <c r="P126" i="113" a="1"/>
  <c r="P126" i="113" s="1"/>
  <c r="X122" i="113" a="1"/>
  <c r="X122" i="113" s="1"/>
  <c r="X128" i="113" a="1"/>
  <c r="X128" i="113" s="1"/>
  <c r="P125" i="113" a="1"/>
  <c r="P125" i="113" s="1"/>
  <c r="X121" i="113" a="1"/>
  <c r="X121" i="113" s="1"/>
  <c r="T128" i="113" a="1"/>
  <c r="T128" i="113" s="1"/>
  <c r="AB124" i="113" a="1"/>
  <c r="AB124" i="113" s="1"/>
  <c r="T121" i="113" a="1"/>
  <c r="T121" i="113" s="1"/>
  <c r="P120" i="113" a="1"/>
  <c r="P120" i="113" s="1"/>
  <c r="P128" i="113" a="1"/>
  <c r="P128" i="113" s="1"/>
  <c r="X124" i="113" a="1"/>
  <c r="X124" i="113" s="1"/>
  <c r="P121" i="113" a="1"/>
  <c r="P121" i="113" s="1"/>
  <c r="E37" i="93"/>
  <c r="I30" i="113" a="1"/>
  <c r="I30" i="113" s="1"/>
  <c r="M30" i="113" s="1" a="1"/>
  <c r="M30" i="113" s="1"/>
  <c r="G465" i="113" a="1"/>
  <c r="G465" i="113" s="1"/>
  <c r="H465" i="113" s="1" a="1"/>
  <c r="H465" i="113" s="1"/>
  <c r="L13" i="97" a="1"/>
  <c r="L13" i="97" s="1"/>
  <c r="U236" i="113" s="1" a="1"/>
  <c r="U236" i="113" s="1"/>
  <c r="P16" i="97" a="1"/>
  <c r="P16" i="97" s="1"/>
  <c r="M20" i="97" a="1"/>
  <c r="M20" i="97" s="1"/>
  <c r="E110" i="102"/>
  <c r="E43" i="86"/>
  <c r="J87" i="114"/>
  <c r="K35" i="94"/>
  <c r="G466" i="113" a="1"/>
  <c r="G466" i="113" s="1"/>
  <c r="M13" i="97" a="1"/>
  <c r="M13" i="97" s="1"/>
  <c r="J17" i="97" a="1"/>
  <c r="J17" i="97" s="1"/>
  <c r="N20" i="97" a="1"/>
  <c r="N20" i="97" s="1"/>
  <c r="G31" i="93" a="1"/>
  <c r="G31" i="93" s="1"/>
  <c r="I38" i="93" a="1"/>
  <c r="I38" i="93" s="1"/>
  <c r="L35" i="94" a="1"/>
  <c r="L35" i="94" s="1"/>
  <c r="N13" i="97" a="1"/>
  <c r="N13" i="97" s="1"/>
  <c r="K17" i="97" a="1"/>
  <c r="K17" i="97" s="1"/>
  <c r="F21" i="97"/>
  <c r="D19" i="99" a="1"/>
  <c r="E38" i="93"/>
  <c r="E33" i="93"/>
  <c r="E26" i="93"/>
  <c r="J26" i="93" s="1" a="1"/>
  <c r="J26" i="93" s="1"/>
  <c r="I25" i="113" a="1"/>
  <c r="I25" i="113" s="1"/>
  <c r="I24" i="113" a="1"/>
  <c r="I24" i="113" s="1"/>
  <c r="I23" i="113" a="1"/>
  <c r="I23" i="113" s="1"/>
  <c r="E76" i="113" a="1"/>
  <c r="E76" i="113" s="1"/>
  <c r="J81" i="113" s="1" a="1"/>
  <c r="J81" i="113" s="1"/>
  <c r="E58" i="113" a="1"/>
  <c r="E58" i="113" s="1"/>
  <c r="G66" i="113" s="1" a="1"/>
  <c r="G66" i="113" s="1"/>
  <c r="E39" i="113" a="1"/>
  <c r="E39" i="113" s="1"/>
  <c r="G45" i="113" s="1" a="1"/>
  <c r="G45" i="113" s="1"/>
  <c r="I32" i="113" a="1"/>
  <c r="I32" i="113" s="1"/>
  <c r="I28" i="113" a="1"/>
  <c r="I28" i="113" s="1"/>
  <c r="I27" i="113" a="1"/>
  <c r="I27" i="113" s="1"/>
  <c r="I26" i="113" a="1"/>
  <c r="I26" i="113" s="1"/>
  <c r="J32" i="93" a="1"/>
  <c r="J32" i="93" s="1"/>
  <c r="J38" i="93" a="1"/>
  <c r="J38" i="93" s="1"/>
  <c r="AB121" i="113" a="1"/>
  <c r="AB121" i="113" s="1"/>
  <c r="G383" i="113" a="1"/>
  <c r="G383" i="113" s="1"/>
  <c r="F14" i="97"/>
  <c r="L17" i="97" a="1"/>
  <c r="L17" i="97" s="1"/>
  <c r="H21" i="97"/>
  <c r="M26" i="93" a="1"/>
  <c r="M26" i="93" s="1"/>
  <c r="L26" i="93" a="1"/>
  <c r="L26" i="93" s="1"/>
  <c r="M27" i="94" a="1"/>
  <c r="M27" i="94" s="1"/>
  <c r="L27" i="94" a="1"/>
  <c r="L27" i="94" s="1"/>
  <c r="D167" i="84" a="1"/>
  <c r="D167" i="84" s="1"/>
  <c r="G472" i="113" a="1"/>
  <c r="G472" i="113" s="1"/>
  <c r="G471" i="113" a="1"/>
  <c r="G471" i="113" s="1"/>
  <c r="G470" i="113" a="1"/>
  <c r="G470" i="113" s="1"/>
  <c r="G469" i="113" a="1"/>
  <c r="G469" i="113" s="1"/>
  <c r="G468" i="113" a="1"/>
  <c r="G468" i="113" s="1"/>
  <c r="H468" i="113" s="1" a="1"/>
  <c r="H468" i="113" s="1"/>
  <c r="G464" i="113" a="1"/>
  <c r="G464" i="113" s="1"/>
  <c r="G463" i="113" a="1"/>
  <c r="G463" i="113" s="1"/>
  <c r="H463" i="113" s="1" a="1"/>
  <c r="H463" i="113" s="1"/>
  <c r="D48" i="110"/>
  <c r="D495" i="113" s="1"/>
  <c r="F495" i="113" s="1" a="1"/>
  <c r="F495" i="113" s="1"/>
  <c r="G495" i="113" s="1" a="1"/>
  <c r="G495" i="113" s="1"/>
  <c r="F496" i="113" a="1"/>
  <c r="F496" i="113" s="1"/>
  <c r="G496" i="113" s="1" a="1"/>
  <c r="G496" i="113" s="1"/>
  <c r="E25" i="93"/>
  <c r="K25" i="93" s="1" a="1"/>
  <c r="K25" i="93" s="1"/>
  <c r="K32" i="93" a="1"/>
  <c r="K32" i="93" s="1"/>
  <c r="K38" i="93" a="1"/>
  <c r="K38" i="93" s="1"/>
  <c r="L29" i="94" a="1"/>
  <c r="L29" i="94" s="1"/>
  <c r="P122" i="113" a="1"/>
  <c r="P122" i="113" s="1"/>
  <c r="P252" i="113"/>
  <c r="I174" i="115"/>
  <c r="H14" i="97"/>
  <c r="I14" i="97" s="1"/>
  <c r="Y17" i="97"/>
  <c r="J21" i="97" a="1"/>
  <c r="J21" i="97" s="1"/>
  <c r="M30" i="93" a="1"/>
  <c r="M30" i="93" s="1"/>
  <c r="L30" i="93" a="1"/>
  <c r="L30" i="93" s="1"/>
  <c r="G177" i="115"/>
  <c r="G176" i="115"/>
  <c r="G175" i="115"/>
  <c r="AA260" i="113" s="1" a="1"/>
  <c r="AA260" i="113" s="1"/>
  <c r="E38" i="94"/>
  <c r="E31" i="94"/>
  <c r="M40" i="94" a="1"/>
  <c r="M40" i="94" s="1"/>
  <c r="L40" i="94" a="1"/>
  <c r="L40" i="94" s="1"/>
  <c r="G197" i="115"/>
  <c r="G195" i="115"/>
  <c r="G194" i="115"/>
  <c r="S259" i="113" s="1" a="1"/>
  <c r="S259" i="113" s="1"/>
  <c r="M33" i="93" a="1"/>
  <c r="M33" i="93" s="1"/>
  <c r="G391" i="113" a="1"/>
  <c r="G391" i="113" s="1"/>
  <c r="G390" i="113" a="1"/>
  <c r="G390" i="113" s="1"/>
  <c r="G389" i="113" a="1"/>
  <c r="G389" i="113" s="1"/>
  <c r="J389" i="113" s="1" a="1"/>
  <c r="J389" i="113" s="1"/>
  <c r="G388" i="113" a="1"/>
  <c r="G388" i="113" s="1"/>
  <c r="G387" i="113" a="1"/>
  <c r="G387" i="113" s="1"/>
  <c r="J387" i="113" s="1" a="1"/>
  <c r="J387" i="113" s="1"/>
  <c r="G386" i="113" a="1"/>
  <c r="G386" i="113" s="1"/>
  <c r="J386" i="113" s="1" a="1"/>
  <c r="J386" i="113" s="1"/>
  <c r="G385" i="113" a="1"/>
  <c r="G385" i="113" s="1"/>
  <c r="H385" i="113" s="1" a="1"/>
  <c r="H385" i="113" s="1"/>
  <c r="H26" i="93" a="1"/>
  <c r="H26" i="93" s="1"/>
  <c r="T122" i="113" a="1"/>
  <c r="T122" i="113" s="1"/>
  <c r="Q252" i="113"/>
  <c r="S252" i="113" s="1" a="1"/>
  <c r="S252" i="113" s="1"/>
  <c r="S254" i="113" a="1"/>
  <c r="S254" i="113" s="1"/>
  <c r="S253" i="113" a="1"/>
  <c r="S253" i="113" s="1"/>
  <c r="J14" i="97" a="1"/>
  <c r="J14" i="97" s="1"/>
  <c r="V14" i="97" s="1"/>
  <c r="Z17" i="97"/>
  <c r="E70" i="103"/>
  <c r="M38" i="93" a="1"/>
  <c r="M38" i="93" s="1"/>
  <c r="L38" i="93" a="1"/>
  <c r="L38" i="93" s="1"/>
  <c r="M36" i="93" a="1"/>
  <c r="M36" i="93" s="1"/>
  <c r="E26" i="94"/>
  <c r="E33" i="94"/>
  <c r="E27" i="94"/>
  <c r="E34" i="94"/>
  <c r="E29" i="94"/>
  <c r="E36" i="94"/>
  <c r="L36" i="94" a="1"/>
  <c r="L36" i="94" s="1"/>
  <c r="M36" i="94" a="1"/>
  <c r="M36" i="94" s="1"/>
  <c r="G15" i="82" a="1"/>
  <c r="G15" i="82" s="1"/>
  <c r="I26" i="93" a="1"/>
  <c r="I26" i="93" s="1"/>
  <c r="T125" i="113" a="1"/>
  <c r="T125" i="113" s="1"/>
  <c r="G445" i="113" a="1"/>
  <c r="G445" i="113" s="1"/>
  <c r="F18" i="97"/>
  <c r="W21" i="97" a="1"/>
  <c r="W21" i="97" s="1"/>
  <c r="M39" i="94" a="1"/>
  <c r="M39" i="94" s="1"/>
  <c r="E69" i="103"/>
  <c r="E106" i="102"/>
  <c r="F106" i="102" s="1" a="1"/>
  <c r="F106" i="102" s="1"/>
  <c r="E138" i="102" s="1"/>
  <c r="L39" i="93" a="1"/>
  <c r="L39" i="93" s="1"/>
  <c r="Q39" i="93" s="1" a="1"/>
  <c r="Q39" i="93" s="1"/>
  <c r="M25" i="93" a="1"/>
  <c r="M25" i="93" s="1"/>
  <c r="L25" i="93" a="1"/>
  <c r="L25" i="93" s="1"/>
  <c r="Q25" i="93" s="1" a="1"/>
  <c r="Q25" i="93" s="1"/>
  <c r="I15" i="90" a="1"/>
  <c r="I15" i="90" s="1"/>
  <c r="E195" i="84"/>
  <c r="I545" i="113" a="1"/>
  <c r="I545" i="113" s="1"/>
  <c r="E35" i="114" a="1"/>
  <c r="E35" i="114" s="1"/>
  <c r="I48" i="114" s="1"/>
  <c r="E317" i="113" a="1"/>
  <c r="E317" i="113" s="1"/>
  <c r="E16" i="82" a="1"/>
  <c r="E16" i="82" s="1"/>
  <c r="X125" i="113" a="1"/>
  <c r="X125" i="113" s="1"/>
  <c r="W14" i="97" a="1"/>
  <c r="W14" i="97" s="1"/>
  <c r="X14" i="97" s="1"/>
  <c r="T18" i="97" a="1"/>
  <c r="T18" i="97" s="1"/>
  <c r="Y21" i="97"/>
  <c r="E30" i="94"/>
  <c r="E37" i="94"/>
  <c r="E68" i="103"/>
  <c r="E105" i="102"/>
  <c r="E33" i="85"/>
  <c r="E35" i="85"/>
  <c r="E30" i="86"/>
  <c r="I32" i="94"/>
  <c r="H32" i="94"/>
  <c r="G32" i="94"/>
  <c r="E32" i="86"/>
  <c r="E34" i="86"/>
  <c r="E39" i="86"/>
  <c r="M33" i="94" a="1"/>
  <c r="M33" i="94" s="1"/>
  <c r="L33" i="94" a="1"/>
  <c r="L33" i="94" s="1"/>
  <c r="M30" i="94" a="1"/>
  <c r="M30" i="94" s="1"/>
  <c r="D19" i="102" a="1"/>
  <c r="P31" i="97"/>
  <c r="D58" i="99" a="1"/>
  <c r="D58" i="99" s="1"/>
  <c r="P30" i="97"/>
  <c r="D23" i="103" a="1"/>
  <c r="D23" i="103" s="1"/>
  <c r="D59" i="102" a="1"/>
  <c r="D59" i="102" s="1"/>
  <c r="P29" i="97"/>
  <c r="P28" i="97"/>
  <c r="P27" i="97"/>
  <c r="P26" i="97"/>
  <c r="P25" i="97"/>
  <c r="P34" i="97"/>
  <c r="P33" i="97"/>
  <c r="D60" i="98" a="1"/>
  <c r="D60" i="98" s="1"/>
  <c r="P32" i="97"/>
  <c r="D7" i="110"/>
  <c r="D177" i="113" s="1"/>
  <c r="F177" i="113" s="1" a="1"/>
  <c r="F177" i="113" s="1"/>
  <c r="G177" i="113" s="1" a="1"/>
  <c r="G177" i="113" s="1"/>
  <c r="D179" i="113"/>
  <c r="F179" i="113" s="1" a="1"/>
  <c r="F179" i="113" s="1"/>
  <c r="D178" i="113"/>
  <c r="F178" i="113" s="1" a="1"/>
  <c r="F178" i="113" s="1"/>
  <c r="M27" i="93" a="1"/>
  <c r="M27" i="93" s="1"/>
  <c r="E25" i="94"/>
  <c r="AB125" i="113" a="1"/>
  <c r="AB125" i="113" s="1"/>
  <c r="G446" i="113" a="1"/>
  <c r="G446" i="113" s="1"/>
  <c r="H446" i="113" s="1" a="1"/>
  <c r="H446" i="113" s="1"/>
  <c r="H195" i="115"/>
  <c r="Y14" i="97"/>
  <c r="O236" i="113" s="1" a="1"/>
  <c r="O236" i="113" s="1"/>
  <c r="U18" i="97" a="1"/>
  <c r="U18" i="97" s="1"/>
  <c r="E34" i="85"/>
  <c r="J55" i="97"/>
  <c r="E31" i="86"/>
  <c r="F25" i="82" a="1"/>
  <c r="F25" i="82" s="1"/>
  <c r="E25" i="82" a="1"/>
  <c r="E25" i="82" s="1"/>
  <c r="M25" i="83" s="1" a="1"/>
  <c r="M25" i="83" s="1"/>
  <c r="G18" i="82" a="1"/>
  <c r="G18" i="82" s="1"/>
  <c r="G24" i="82" a="1"/>
  <c r="G24" i="82" s="1"/>
  <c r="F18" i="82" a="1"/>
  <c r="F18" i="82" s="1"/>
  <c r="F24" i="82" a="1"/>
  <c r="F24" i="82" s="1"/>
  <c r="E18" i="82" a="1"/>
  <c r="E18" i="82" s="1"/>
  <c r="E24" i="82" a="1"/>
  <c r="E24" i="82" s="1"/>
  <c r="M30" i="88" s="1" a="1"/>
  <c r="M30" i="88" s="1"/>
  <c r="G17" i="82" a="1"/>
  <c r="G17" i="82" s="1"/>
  <c r="G23" i="82" a="1"/>
  <c r="G23" i="82" s="1"/>
  <c r="F17" i="82" a="1"/>
  <c r="F17" i="82" s="1"/>
  <c r="F23" i="82" a="1"/>
  <c r="F23" i="82" s="1"/>
  <c r="E17" i="82" a="1"/>
  <c r="E17" i="82" s="1"/>
  <c r="E23" i="82" a="1"/>
  <c r="E23" i="82" s="1"/>
  <c r="G16" i="82" a="1"/>
  <c r="G16" i="82" s="1"/>
  <c r="F26" i="82" a="1"/>
  <c r="F26" i="82" s="1"/>
  <c r="F15" i="82" a="1"/>
  <c r="F15" i="82" s="1"/>
  <c r="E26" i="82" a="1"/>
  <c r="E26" i="82" s="1"/>
  <c r="E15" i="82" a="1"/>
  <c r="E15" i="82" s="1"/>
  <c r="G25" i="82" a="1"/>
  <c r="G25" i="82" s="1"/>
  <c r="E74" i="103"/>
  <c r="E111" i="102"/>
  <c r="G40" i="94"/>
  <c r="M26" i="94" a="1"/>
  <c r="M26" i="94" s="1"/>
  <c r="L26" i="94" a="1"/>
  <c r="L26" i="94" s="1"/>
  <c r="M29" i="93" a="1"/>
  <c r="M29" i="93" s="1"/>
  <c r="I16" i="97"/>
  <c r="E75" i="103"/>
  <c r="E112" i="102"/>
  <c r="E196" i="84"/>
  <c r="J39" i="93" a="1"/>
  <c r="J39" i="93" s="1"/>
  <c r="J36" i="93" a="1"/>
  <c r="J36" i="93" s="1"/>
  <c r="J33" i="93" a="1"/>
  <c r="J33" i="93" s="1"/>
  <c r="J30" i="93" a="1"/>
  <c r="J30" i="93" s="1"/>
  <c r="I27" i="93" a="1"/>
  <c r="I27" i="93" s="1"/>
  <c r="I39" i="93" a="1"/>
  <c r="I39" i="93" s="1"/>
  <c r="I36" i="93" a="1"/>
  <c r="I36" i="93" s="1"/>
  <c r="I33" i="93" a="1"/>
  <c r="I33" i="93" s="1"/>
  <c r="I30" i="93" a="1"/>
  <c r="I30" i="93" s="1"/>
  <c r="H27" i="93" a="1"/>
  <c r="H27" i="93" s="1"/>
  <c r="H39" i="93" a="1"/>
  <c r="H39" i="93" s="1"/>
  <c r="H36" i="93" a="1"/>
  <c r="H36" i="93" s="1"/>
  <c r="H33" i="93" a="1"/>
  <c r="H33" i="93" s="1"/>
  <c r="H30" i="93" a="1"/>
  <c r="H30" i="93" s="1"/>
  <c r="G27" i="93" a="1"/>
  <c r="G27" i="93" s="1"/>
  <c r="G39" i="93" a="1"/>
  <c r="G39" i="93" s="1"/>
  <c r="K37" i="93" a="1"/>
  <c r="K37" i="93" s="1"/>
  <c r="G36" i="93" a="1"/>
  <c r="G36" i="93" s="1"/>
  <c r="K34" i="93" a="1"/>
  <c r="K34" i="93" s="1"/>
  <c r="G33" i="93" a="1"/>
  <c r="G33" i="93" s="1"/>
  <c r="G30" i="93" a="1"/>
  <c r="G30" i="93" s="1"/>
  <c r="Q30" i="93" s="1" a="1"/>
  <c r="Q30" i="93" s="1"/>
  <c r="K28" i="93" a="1"/>
  <c r="K28" i="93" s="1"/>
  <c r="J25" i="93" a="1"/>
  <c r="J25" i="93" s="1"/>
  <c r="J37" i="93" a="1"/>
  <c r="J37" i="93" s="1"/>
  <c r="J34" i="93" a="1"/>
  <c r="J34" i="93" s="1"/>
  <c r="K31" i="93" a="1"/>
  <c r="K31" i="93" s="1"/>
  <c r="J28" i="93" a="1"/>
  <c r="J28" i="93" s="1"/>
  <c r="I25" i="93" a="1"/>
  <c r="I25" i="93" s="1"/>
  <c r="I37" i="93" a="1"/>
  <c r="I37" i="93" s="1"/>
  <c r="I34" i="93" a="1"/>
  <c r="I34" i="93" s="1"/>
  <c r="J31" i="93" a="1"/>
  <c r="J31" i="93" s="1"/>
  <c r="I28" i="93" a="1"/>
  <c r="I28" i="93" s="1"/>
  <c r="H25" i="93" a="1"/>
  <c r="H25" i="93" s="1"/>
  <c r="H37" i="93" a="1"/>
  <c r="H37" i="93" s="1"/>
  <c r="H34" i="93" a="1"/>
  <c r="H34" i="93" s="1"/>
  <c r="I31" i="93" a="1"/>
  <c r="I31" i="93" s="1"/>
  <c r="H28" i="93" a="1"/>
  <c r="H28" i="93" s="1"/>
  <c r="G25" i="93" a="1"/>
  <c r="G25" i="93" s="1"/>
  <c r="G37" i="93" a="1"/>
  <c r="G37" i="93" s="1"/>
  <c r="G34" i="93" a="1"/>
  <c r="G34" i="93" s="1"/>
  <c r="H31" i="93" a="1"/>
  <c r="H31" i="93" s="1"/>
  <c r="G28" i="93" a="1"/>
  <c r="G28" i="93" s="1"/>
  <c r="K26" i="93" a="1"/>
  <c r="K26" i="93" s="1"/>
  <c r="H38" i="93" a="1"/>
  <c r="H38" i="93" s="1"/>
  <c r="H35" i="93" a="1"/>
  <c r="H35" i="93" s="1"/>
  <c r="I32" i="93" a="1"/>
  <c r="I32" i="93" s="1"/>
  <c r="H29" i="93" a="1"/>
  <c r="H29" i="93" s="1"/>
  <c r="G26" i="93" a="1"/>
  <c r="G26" i="93" s="1"/>
  <c r="G38" i="93" a="1"/>
  <c r="G38" i="93" s="1"/>
  <c r="P38" i="93" s="1" a="1"/>
  <c r="P38" i="93" s="1"/>
  <c r="G35" i="93" a="1"/>
  <c r="G35" i="93" s="1"/>
  <c r="H32" i="93" a="1"/>
  <c r="H32" i="93" s="1"/>
  <c r="G29" i="93" a="1"/>
  <c r="G29" i="93" s="1"/>
  <c r="K27" i="93" a="1"/>
  <c r="K27" i="93" s="1"/>
  <c r="K39" i="93" a="1"/>
  <c r="K39" i="93" s="1"/>
  <c r="K36" i="93" a="1"/>
  <c r="K36" i="93" s="1"/>
  <c r="K33" i="93" a="1"/>
  <c r="K33" i="93" s="1"/>
  <c r="G32" i="93" a="1"/>
  <c r="G32" i="93" s="1"/>
  <c r="K30" i="93" a="1"/>
  <c r="K30" i="93" s="1"/>
  <c r="J27" i="93" a="1"/>
  <c r="J27" i="93" s="1"/>
  <c r="E197" i="84"/>
  <c r="E40" i="86"/>
  <c r="E19" i="82" a="1"/>
  <c r="E19" i="82" s="1"/>
  <c r="D49" i="84" s="1" a="1"/>
  <c r="D49" i="84" s="1"/>
  <c r="F14" i="82" a="1"/>
  <c r="F14" i="82" s="1"/>
  <c r="E14" i="82" a="1"/>
  <c r="E14" i="82" s="1"/>
  <c r="G27" i="82" a="1"/>
  <c r="G27" i="82" s="1"/>
  <c r="G19" i="82" a="1"/>
  <c r="G19" i="82" s="1"/>
  <c r="F19" i="82" a="1"/>
  <c r="F19" i="82" s="1"/>
  <c r="G14" i="82" a="1"/>
  <c r="G14" i="82" s="1"/>
  <c r="K39" i="94" a="1"/>
  <c r="K39" i="94" s="1"/>
  <c r="M35" i="93" a="1"/>
  <c r="M35" i="93" s="1"/>
  <c r="L35" i="93" a="1"/>
  <c r="L35" i="93" s="1"/>
  <c r="M37" i="94" a="1"/>
  <c r="M37" i="94" s="1"/>
  <c r="I18" i="97"/>
  <c r="E320" i="113" a="1"/>
  <c r="E320" i="113" s="1"/>
  <c r="G320" i="113" s="1" a="1"/>
  <c r="G320" i="113" s="1"/>
  <c r="E25" i="101" a="1"/>
  <c r="E25" i="101" s="1"/>
  <c r="I177" i="115"/>
  <c r="H197" i="115"/>
  <c r="J175" i="106" a="1"/>
  <c r="J175" i="106" s="1"/>
  <c r="J185" i="106" a="1"/>
  <c r="J185" i="106" s="1"/>
  <c r="J164" i="106" a="1"/>
  <c r="J164" i="106" s="1"/>
  <c r="J157" i="106" a="1"/>
  <c r="J157" i="106" s="1"/>
  <c r="D116" i="106" a="1"/>
  <c r="D116" i="106" s="1"/>
  <c r="J116" i="106" s="1" a="1"/>
  <c r="J116" i="106" s="1"/>
  <c r="J173" i="106" a="1"/>
  <c r="J173" i="106" s="1"/>
  <c r="J138" i="106" a="1"/>
  <c r="J138" i="106" s="1"/>
  <c r="D21" i="106" a="1"/>
  <c r="D157" i="106" a="1"/>
  <c r="D157" i="106" s="1"/>
  <c r="J167" i="106" a="1"/>
  <c r="J167" i="106" s="1"/>
  <c r="J160" i="106" a="1"/>
  <c r="J160" i="106" s="1"/>
  <c r="J134" i="106" a="1"/>
  <c r="J134" i="106" s="1"/>
  <c r="D59" i="106" a="1"/>
  <c r="J176" i="106" a="1"/>
  <c r="J176" i="106" s="1"/>
  <c r="J166" i="106" a="1"/>
  <c r="J166" i="106" s="1"/>
  <c r="E22" i="82" a="1"/>
  <c r="E22" i="82" s="1"/>
  <c r="I21" i="92"/>
  <c r="J32" i="94"/>
  <c r="AB128" i="113" a="1"/>
  <c r="AB128" i="113" s="1"/>
  <c r="AA252" i="113" a="1"/>
  <c r="AA252" i="113" s="1"/>
  <c r="G447" i="113" a="1"/>
  <c r="G447" i="113" s="1"/>
  <c r="H447" i="113" s="1" a="1"/>
  <c r="H447" i="113" s="1"/>
  <c r="G196" i="115"/>
  <c r="W256" i="113" s="1" a="1"/>
  <c r="W256" i="113" s="1"/>
  <c r="R15" i="97" a="1"/>
  <c r="R15" i="97" s="1"/>
  <c r="I19" i="92"/>
  <c r="F484" i="113" a="1"/>
  <c r="F484" i="113" s="1"/>
  <c r="F485" i="113" a="1"/>
  <c r="F485" i="113" s="1"/>
  <c r="G485" i="113" s="1" a="1"/>
  <c r="G485" i="113" s="1"/>
  <c r="F148" i="113" a="1"/>
  <c r="F148" i="113" s="1"/>
  <c r="F152" i="113" a="1"/>
  <c r="F152" i="113" s="1"/>
  <c r="F153" i="113" a="1"/>
  <c r="F153" i="113" s="1"/>
  <c r="G450" i="113" a="1"/>
  <c r="G450" i="113" s="1"/>
  <c r="H450" i="113" s="1" a="1"/>
  <c r="H450" i="113" s="1"/>
  <c r="D47" i="110"/>
  <c r="D494" i="113" s="1"/>
  <c r="F494" i="113" s="1" a="1"/>
  <c r="F494" i="113" s="1"/>
  <c r="G494" i="113" s="1" a="1"/>
  <c r="G494" i="113" s="1"/>
  <c r="G451" i="113" a="1"/>
  <c r="G451" i="113" s="1"/>
  <c r="E315" i="113" a="1"/>
  <c r="E315" i="113" s="1"/>
  <c r="G452" i="113" a="1"/>
  <c r="G452" i="113" s="1"/>
  <c r="E316" i="113" a="1"/>
  <c r="E316" i="113" s="1"/>
  <c r="G453" i="113" a="1"/>
  <c r="G453" i="113" s="1"/>
  <c r="G454" i="113" a="1"/>
  <c r="G454" i="113" s="1"/>
  <c r="F481" i="113" a="1"/>
  <c r="F481" i="113" s="1"/>
  <c r="G481" i="113" s="1" a="1"/>
  <c r="G481" i="113" s="1"/>
  <c r="F482" i="113" a="1"/>
  <c r="F482" i="113" s="1"/>
  <c r="I482" i="113" s="1" a="1"/>
  <c r="I482" i="113" s="1"/>
  <c r="K40" i="94" a="1"/>
  <c r="K40" i="94" s="1"/>
  <c r="E252" i="113"/>
  <c r="J259" i="113" a="1"/>
  <c r="J259" i="113" s="1"/>
  <c r="J257" i="113" a="1"/>
  <c r="J257" i="113" s="1"/>
  <c r="J255" i="113" a="1"/>
  <c r="J255" i="113" s="1"/>
  <c r="H320" i="113" a="1"/>
  <c r="H320" i="113" s="1"/>
  <c r="F20" i="100" a="1"/>
  <c r="F20" i="100" s="1"/>
  <c r="G20" i="100" a="1"/>
  <c r="AK236" i="113" a="1"/>
  <c r="AH236" i="113" a="1"/>
  <c r="AH236" i="113" s="1"/>
  <c r="I285" i="113" a="1"/>
  <c r="I285" i="113" s="1"/>
  <c r="G295" i="113" a="1"/>
  <c r="G295" i="113" s="1"/>
  <c r="J70" i="113" a="1"/>
  <c r="J70" i="113" s="1"/>
  <c r="I152" i="113" a="1"/>
  <c r="I152" i="113" s="1"/>
  <c r="G137" i="113" a="1"/>
  <c r="G137" i="113" s="1"/>
  <c r="E548" i="113" a="1"/>
  <c r="E548" i="113" s="1"/>
  <c r="G178" i="113" a="1"/>
  <c r="G178" i="113" s="1"/>
  <c r="G483" i="113" a="1"/>
  <c r="G483" i="113" s="1"/>
  <c r="I287" i="113" a="1"/>
  <c r="I287" i="113" s="1"/>
  <c r="E61" i="114"/>
  <c r="O61" i="114"/>
  <c r="E26" i="114"/>
  <c r="O26" i="114"/>
  <c r="P74" i="114"/>
  <c r="F74" i="114"/>
  <c r="F159" i="113"/>
  <c r="F142" i="113"/>
  <c r="F131" i="113"/>
  <c r="F160" i="113"/>
  <c r="F143" i="113"/>
  <c r="P55" i="114"/>
  <c r="F55" i="114"/>
  <c r="P19" i="114"/>
  <c r="F19" i="114"/>
  <c r="G484" i="113" a="1"/>
  <c r="G484" i="113" s="1"/>
  <c r="F311" i="113"/>
  <c r="I149" i="113" a="1"/>
  <c r="I149" i="113" s="1"/>
  <c r="E182" i="113"/>
  <c r="F90" i="114"/>
  <c r="G140" i="113" a="1"/>
  <c r="G140" i="113" s="1"/>
  <c r="G152" i="113" a="1"/>
  <c r="G152" i="113" s="1"/>
  <c r="E7" i="113"/>
  <c r="E189" i="113"/>
  <c r="E273" i="113"/>
  <c r="E370" i="113"/>
  <c r="E400" i="113"/>
  <c r="E101" i="113"/>
  <c r="E218" i="113"/>
  <c r="E166" i="113"/>
  <c r="E203" i="113"/>
  <c r="E433" i="113"/>
  <c r="E338" i="113"/>
  <c r="E305" i="113"/>
  <c r="E576" i="113"/>
  <c r="E609" i="113"/>
  <c r="J68" i="113" a="1"/>
  <c r="J68" i="113" s="1"/>
  <c r="G64" i="113" a="1"/>
  <c r="G64" i="113" s="1"/>
  <c r="J470" i="113" a="1"/>
  <c r="J470" i="113" s="1"/>
  <c r="H470" i="113" a="1"/>
  <c r="H470" i="113" s="1"/>
  <c r="G291" i="113" a="1"/>
  <c r="G291" i="113" s="1"/>
  <c r="F91" i="113"/>
  <c r="F72" i="113"/>
  <c r="F93" i="113"/>
  <c r="F90" i="113"/>
  <c r="F73" i="113"/>
  <c r="F54" i="113"/>
  <c r="F35" i="113"/>
  <c r="F53" i="113"/>
  <c r="F34" i="113"/>
  <c r="F94" i="113"/>
  <c r="I139" i="113" a="1"/>
  <c r="I139" i="113" s="1"/>
  <c r="M28" i="113" a="1"/>
  <c r="M28" i="113" s="1"/>
  <c r="G44" i="113" a="1"/>
  <c r="G44" i="113" s="1"/>
  <c r="J390" i="113" a="1"/>
  <c r="J390" i="113" s="1"/>
  <c r="H383" i="113" a="1"/>
  <c r="H383" i="113" s="1"/>
  <c r="J388" i="113" a="1"/>
  <c r="J388" i="113" s="1"/>
  <c r="H384" i="113" a="1"/>
  <c r="H384" i="113" s="1"/>
  <c r="J391" i="113" a="1"/>
  <c r="J391" i="113" s="1"/>
  <c r="H386" i="113" a="1"/>
  <c r="H386" i="113" s="1"/>
  <c r="J47" i="113" a="1"/>
  <c r="J47" i="113" s="1"/>
  <c r="G150" i="113" a="1"/>
  <c r="G150" i="113" s="1"/>
  <c r="I153" i="113" a="1"/>
  <c r="I153" i="113" s="1"/>
  <c r="G153" i="113" a="1"/>
  <c r="G153" i="113" s="1"/>
  <c r="F499" i="113"/>
  <c r="F488" i="113"/>
  <c r="F332" i="113"/>
  <c r="F516" i="113"/>
  <c r="F393" i="113"/>
  <c r="F363" i="113"/>
  <c r="F264" i="113"/>
  <c r="F498" i="113"/>
  <c r="F487" i="113"/>
  <c r="F475" i="113"/>
  <c r="F457" i="113"/>
  <c r="F426" i="113"/>
  <c r="F331" i="113"/>
  <c r="F548" i="113"/>
  <c r="F474" i="113"/>
  <c r="F456" i="113"/>
  <c r="F425" i="113"/>
  <c r="F570" i="113"/>
  <c r="F362" i="113"/>
  <c r="F298" i="113"/>
  <c r="F394" i="113"/>
  <c r="F267" i="113"/>
  <c r="F266" i="113"/>
  <c r="F263" i="113"/>
  <c r="F533" i="113"/>
  <c r="H382" i="113" a="1"/>
  <c r="H382" i="113" s="1"/>
  <c r="J26" i="113" a="1"/>
  <c r="J26" i="113" s="1"/>
  <c r="I150" i="113" a="1"/>
  <c r="I150" i="113" s="1"/>
  <c r="H466" i="113" a="1"/>
  <c r="H466" i="113" s="1"/>
  <c r="H464" i="113" a="1"/>
  <c r="H464" i="113" s="1"/>
  <c r="J24" i="113" a="1"/>
  <c r="J24" i="113" s="1"/>
  <c r="J31" i="113" a="1"/>
  <c r="J31" i="113" s="1"/>
  <c r="J258" i="113" a="1"/>
  <c r="J258" i="113" s="1"/>
  <c r="J261" i="113" a="1"/>
  <c r="J261" i="113" s="1"/>
  <c r="J253" i="113" a="1"/>
  <c r="J253" i="113" s="1"/>
  <c r="J260" i="113" a="1"/>
  <c r="J260" i="113" s="1"/>
  <c r="J382" i="113" a="1"/>
  <c r="J382" i="113" s="1"/>
  <c r="J252" i="113" a="1"/>
  <c r="J252" i="113" s="1"/>
  <c r="F299" i="113"/>
  <c r="K420" i="113"/>
  <c r="K415" i="113"/>
  <c r="K423" i="113"/>
  <c r="K416" i="113"/>
  <c r="K419" i="113"/>
  <c r="K418" i="113"/>
  <c r="K417" i="113"/>
  <c r="J29" i="113" a="1"/>
  <c r="J29" i="113" s="1"/>
  <c r="I151" i="113" a="1"/>
  <c r="I151" i="113" s="1"/>
  <c r="K414" i="113"/>
  <c r="J62" i="113" a="1"/>
  <c r="J62" i="113" s="1"/>
  <c r="G88" i="113" a="1"/>
  <c r="G88" i="113" s="1"/>
  <c r="G139" i="113" a="1"/>
  <c r="G139" i="113" s="1"/>
  <c r="H449" i="113" a="1"/>
  <c r="H449" i="113" s="1"/>
  <c r="F517" i="113"/>
  <c r="M24" i="113" a="1"/>
  <c r="M24" i="113" s="1"/>
  <c r="F181" i="113"/>
  <c r="M27" i="113" a="1"/>
  <c r="M27" i="113" s="1"/>
  <c r="I122" i="113" a="1"/>
  <c r="I122" i="113" s="1"/>
  <c r="G151" i="113" a="1"/>
  <c r="G151" i="113" s="1"/>
  <c r="J254" i="113" a="1"/>
  <c r="J254" i="113" s="1"/>
  <c r="G50" i="113" a="1"/>
  <c r="G50" i="113" s="1"/>
  <c r="F182" i="113"/>
  <c r="J256" i="113" a="1"/>
  <c r="J256" i="113" s="1"/>
  <c r="M25" i="113" a="1"/>
  <c r="M25" i="113" s="1"/>
  <c r="J32" i="113" a="1"/>
  <c r="J32" i="113" s="1"/>
  <c r="J452" i="113" a="1"/>
  <c r="J452" i="113" s="1"/>
  <c r="H467" i="113" a="1"/>
  <c r="H467" i="113" s="1"/>
  <c r="J43" i="113" a="1"/>
  <c r="J43" i="113" s="1"/>
  <c r="I140" i="113" a="1"/>
  <c r="I140" i="113" s="1"/>
  <c r="G149" i="113" a="1"/>
  <c r="G149" i="113" s="1"/>
  <c r="K421" i="113"/>
  <c r="H452" i="113" a="1"/>
  <c r="H452" i="113" s="1"/>
  <c r="J624" i="113" a="1"/>
  <c r="J624" i="113" s="1"/>
  <c r="J642" i="113" a="1"/>
  <c r="J642" i="113" s="1"/>
  <c r="F657" i="113"/>
  <c r="F656" i="113"/>
  <c r="F654" i="113"/>
  <c r="F636" i="113"/>
  <c r="F653" i="113"/>
  <c r="F635" i="113"/>
  <c r="F156" i="113"/>
  <c r="F155" i="113"/>
  <c r="F132" i="113"/>
  <c r="I121" i="113" a="1"/>
  <c r="I121" i="113" s="1"/>
  <c r="I289" i="113" a="1"/>
  <c r="I289" i="113" s="1"/>
  <c r="N588" i="113"/>
  <c r="F588" i="113"/>
  <c r="J645" i="113" a="1"/>
  <c r="J645" i="113" s="1"/>
  <c r="J651" i="113" a="1"/>
  <c r="J651" i="113" s="1"/>
  <c r="J644" i="113" a="1"/>
  <c r="J644" i="113" s="1"/>
  <c r="J650" i="113" a="1"/>
  <c r="J650" i="113" s="1"/>
  <c r="J649" i="113" a="1"/>
  <c r="J649" i="113" s="1"/>
  <c r="J648" i="113" a="1"/>
  <c r="J648" i="113" s="1"/>
  <c r="J643" i="113" a="1"/>
  <c r="J643" i="113" s="1"/>
  <c r="I295" i="113" a="1"/>
  <c r="I295" i="113" s="1"/>
  <c r="J448" i="113" a="1"/>
  <c r="J448" i="113" s="1"/>
  <c r="J450" i="113" a="1"/>
  <c r="J450" i="113" s="1"/>
  <c r="J446" i="113" a="1"/>
  <c r="J446" i="113" s="1"/>
  <c r="J449" i="113" a="1"/>
  <c r="J449" i="113" s="1"/>
  <c r="K508" i="113" a="1"/>
  <c r="K508" i="113" s="1"/>
  <c r="K513" i="113" a="1"/>
  <c r="K513" i="113" s="1"/>
  <c r="K506" i="113" a="1"/>
  <c r="K506" i="113" s="1"/>
  <c r="K512" i="113" a="1"/>
  <c r="K512" i="113" s="1"/>
  <c r="K510" i="113" a="1"/>
  <c r="K510" i="113" s="1"/>
  <c r="K509" i="113" a="1"/>
  <c r="K509" i="113" s="1"/>
  <c r="K507" i="113" a="1"/>
  <c r="K507" i="113" s="1"/>
  <c r="K505" i="113" a="1"/>
  <c r="K505" i="113" s="1"/>
  <c r="K514" i="113" a="1"/>
  <c r="K514" i="113" s="1"/>
  <c r="J384" i="113" a="1"/>
  <c r="J384" i="113" s="1"/>
  <c r="H445" i="113" a="1"/>
  <c r="H445" i="113" s="1"/>
  <c r="G289" i="113" a="1"/>
  <c r="G289" i="113" s="1"/>
  <c r="K357" i="113" a="1"/>
  <c r="K357" i="113" s="1"/>
  <c r="K352" i="113" a="1"/>
  <c r="K352" i="113" s="1"/>
  <c r="K356" i="113" a="1"/>
  <c r="K356" i="113" s="1"/>
  <c r="K358" i="113" a="1"/>
  <c r="K358" i="113" s="1"/>
  <c r="J467" i="113" a="1"/>
  <c r="J467" i="113" s="1"/>
  <c r="I484" i="113" a="1"/>
  <c r="I484" i="113" s="1"/>
  <c r="L352" i="113"/>
  <c r="L356" i="113"/>
  <c r="L360" i="113"/>
  <c r="L355" i="113"/>
  <c r="G138" i="113" a="1"/>
  <c r="G138" i="113" s="1"/>
  <c r="G148" i="113" a="1"/>
  <c r="G148" i="113" s="1"/>
  <c r="G179" i="113" a="1"/>
  <c r="G179" i="113" s="1"/>
  <c r="L351" i="113"/>
  <c r="G293" i="113" a="1"/>
  <c r="G293" i="113" s="1"/>
  <c r="L359" i="113"/>
  <c r="J464" i="113" a="1"/>
  <c r="J464" i="113" s="1"/>
  <c r="G287" i="113" a="1"/>
  <c r="G287" i="113" s="1"/>
  <c r="K353" i="113" a="1"/>
  <c r="K353" i="113" s="1"/>
  <c r="K360" i="113" a="1"/>
  <c r="K360" i="113" s="1"/>
  <c r="J468" i="113" a="1"/>
  <c r="J468" i="113" s="1"/>
  <c r="L353" i="113"/>
  <c r="J416" i="113" a="1"/>
  <c r="J416" i="113" s="1"/>
  <c r="J420" i="113" a="1"/>
  <c r="J420" i="113" s="1"/>
  <c r="J419" i="113" a="1"/>
  <c r="J419" i="113" s="1"/>
  <c r="J421" i="113" a="1"/>
  <c r="J421" i="113" s="1"/>
  <c r="J633" i="113" a="1"/>
  <c r="J633" i="113" s="1"/>
  <c r="J646" i="113" a="1"/>
  <c r="J646" i="113" s="1"/>
  <c r="J629" i="113" a="1"/>
  <c r="J629" i="113" s="1"/>
  <c r="J647" i="113" a="1"/>
  <c r="J647" i="113" s="1"/>
  <c r="E99" i="106"/>
  <c r="E7" i="106"/>
  <c r="F192" i="106"/>
  <c r="F151" i="106"/>
  <c r="I15" i="103"/>
  <c r="E49" i="103"/>
  <c r="E7" i="103"/>
  <c r="F112" i="102" a="1"/>
  <c r="F112" i="102" s="1"/>
  <c r="E144" i="102" s="1"/>
  <c r="F107" i="102" a="1"/>
  <c r="F107" i="102" s="1"/>
  <c r="E139" i="102" s="1"/>
  <c r="F108" i="102" a="1"/>
  <c r="F108" i="102" s="1"/>
  <c r="E140" i="102" s="1"/>
  <c r="F109" i="102" a="1"/>
  <c r="F109" i="102" s="1"/>
  <c r="E141" i="102" s="1"/>
  <c r="F110" i="102" a="1"/>
  <c r="F110" i="102" s="1"/>
  <c r="E142" i="102" s="1"/>
  <c r="F111" i="102" a="1"/>
  <c r="F111" i="102" s="1"/>
  <c r="E143" i="102" s="1"/>
  <c r="E43" i="102"/>
  <c r="E118" i="102"/>
  <c r="E7" i="102"/>
  <c r="E90" i="102"/>
  <c r="F105" i="102" a="1"/>
  <c r="F105" i="102" s="1"/>
  <c r="E137" i="102" s="1"/>
  <c r="G59" i="102"/>
  <c r="E7" i="101"/>
  <c r="E38" i="100"/>
  <c r="E7" i="100"/>
  <c r="E7" i="99"/>
  <c r="E43" i="99"/>
  <c r="F78" i="99"/>
  <c r="F58" i="99"/>
  <c r="E42" i="98"/>
  <c r="N85" i="98"/>
  <c r="E7" i="98"/>
  <c r="F60" i="98"/>
  <c r="J56" i="97"/>
  <c r="O110" i="98"/>
  <c r="N105" i="98"/>
  <c r="X12" i="97"/>
  <c r="D40" i="97"/>
  <c r="J54" i="97"/>
  <c r="X13" i="97"/>
  <c r="I13" i="97"/>
  <c r="I19" i="97"/>
  <c r="I15" i="97"/>
  <c r="I17" i="97"/>
  <c r="I20" i="97"/>
  <c r="I55" i="97"/>
  <c r="I12" i="97"/>
  <c r="F70" i="93"/>
  <c r="F43" i="93"/>
  <c r="G60" i="88"/>
  <c r="E7" i="94"/>
  <c r="L8" i="94"/>
  <c r="F58" i="94"/>
  <c r="F49" i="94"/>
  <c r="F57" i="94"/>
  <c r="F46" i="94"/>
  <c r="F56" i="94"/>
  <c r="F45" i="94"/>
  <c r="F55" i="94"/>
  <c r="F44" i="94"/>
  <c r="F52" i="94"/>
  <c r="F43" i="94"/>
  <c r="F51" i="94"/>
  <c r="F50" i="94"/>
  <c r="E18" i="90" a="1"/>
  <c r="E18" i="90" s="1"/>
  <c r="D39" i="94"/>
  <c r="L39" i="94" s="1" a="1"/>
  <c r="L39" i="94" s="1"/>
  <c r="D42" i="94"/>
  <c r="D30" i="94"/>
  <c r="L30" i="94" s="1" a="1"/>
  <c r="L30" i="94" s="1"/>
  <c r="D37" i="94"/>
  <c r="L37" i="94" s="1" a="1"/>
  <c r="L37" i="94" s="1"/>
  <c r="D28" i="94"/>
  <c r="D35" i="94"/>
  <c r="D40" i="94"/>
  <c r="D31" i="94"/>
  <c r="L31" i="94" s="1" a="1"/>
  <c r="L31" i="94" s="1"/>
  <c r="D38" i="94"/>
  <c r="L38" i="94" s="1" a="1"/>
  <c r="L38" i="94" s="1"/>
  <c r="D48" i="94"/>
  <c r="E7" i="93"/>
  <c r="L7" i="93"/>
  <c r="F52" i="93"/>
  <c r="F62" i="93"/>
  <c r="F44" i="93"/>
  <c r="D54" i="93"/>
  <c r="D29" i="93"/>
  <c r="L29" i="93" s="1" a="1"/>
  <c r="L29" i="93" s="1"/>
  <c r="F63" i="93"/>
  <c r="F45" i="93"/>
  <c r="F55" i="93"/>
  <c r="F64" i="93"/>
  <c r="D28" i="93"/>
  <c r="L28" i="93" s="1" a="1"/>
  <c r="L28" i="93" s="1"/>
  <c r="F46" i="93"/>
  <c r="F56" i="93"/>
  <c r="F67" i="93"/>
  <c r="D32" i="93"/>
  <c r="L32" i="93" s="1" a="1"/>
  <c r="L32" i="93" s="1"/>
  <c r="F57" i="93"/>
  <c r="D27" i="93"/>
  <c r="L27" i="93" s="1" a="1"/>
  <c r="L27" i="93" s="1"/>
  <c r="F49" i="93"/>
  <c r="F68" i="93"/>
  <c r="D36" i="93"/>
  <c r="L36" i="93" s="1" a="1"/>
  <c r="L36" i="93" s="1"/>
  <c r="P39" i="93" a="1"/>
  <c r="P39" i="93" s="1"/>
  <c r="F58" i="93"/>
  <c r="D31" i="93"/>
  <c r="L31" i="93" s="1" a="1"/>
  <c r="L31" i="93" s="1"/>
  <c r="F50" i="93"/>
  <c r="F69" i="93"/>
  <c r="D26" i="93"/>
  <c r="D42" i="93"/>
  <c r="F51" i="93"/>
  <c r="F61" i="93"/>
  <c r="I17" i="92"/>
  <c r="I20" i="92"/>
  <c r="L33" i="93" s="1" a="1"/>
  <c r="L33" i="93" s="1"/>
  <c r="I18" i="92"/>
  <c r="L32" i="94" s="1" a="1"/>
  <c r="L32" i="94" s="1"/>
  <c r="Q32" i="94" s="1" a="1"/>
  <c r="Q32" i="94" s="1"/>
  <c r="P25" i="88"/>
  <c r="E7" i="88"/>
  <c r="E41" i="88"/>
  <c r="I71" i="83"/>
  <c r="R43" i="83"/>
  <c r="I43" i="83"/>
  <c r="I111" i="83"/>
  <c r="P35" i="88"/>
  <c r="G35" i="88"/>
  <c r="D55" i="88"/>
  <c r="Q69" i="88"/>
  <c r="G30" i="88"/>
  <c r="G13" i="88"/>
  <c r="P65" i="88"/>
  <c r="P30" i="88"/>
  <c r="F67" i="88"/>
  <c r="O67" i="88"/>
  <c r="F32" i="85"/>
  <c r="G65" i="88"/>
  <c r="G42" i="82"/>
  <c r="F42" i="82"/>
  <c r="E42" i="82"/>
  <c r="E7" i="86"/>
  <c r="E67" i="86"/>
  <c r="O46" i="85"/>
  <c r="Q40" i="85"/>
  <c r="F46" i="85"/>
  <c r="P111" i="86"/>
  <c r="P87" i="86"/>
  <c r="P61" i="86"/>
  <c r="F111" i="86"/>
  <c r="F87" i="86"/>
  <c r="F61" i="86"/>
  <c r="R106" i="86"/>
  <c r="R82" i="86"/>
  <c r="R56" i="86"/>
  <c r="H106" i="86"/>
  <c r="H56" i="86"/>
  <c r="H82" i="86"/>
  <c r="E7" i="85"/>
  <c r="H23" i="85"/>
  <c r="F65" i="85"/>
  <c r="H40" i="85"/>
  <c r="P87" i="83"/>
  <c r="E36" i="84"/>
  <c r="E89" i="84"/>
  <c r="E7" i="84"/>
  <c r="E135" i="84"/>
  <c r="E181" i="84"/>
  <c r="E60" i="84"/>
  <c r="E112" i="84"/>
  <c r="E155" i="84"/>
  <c r="G54" i="84"/>
  <c r="R54" i="84"/>
  <c r="R149" i="84"/>
  <c r="H129" i="84"/>
  <c r="S129" i="84"/>
  <c r="G149" i="84"/>
  <c r="H210" i="84"/>
  <c r="S207" i="84"/>
  <c r="Q212" i="84"/>
  <c r="S206" i="84"/>
  <c r="F212" i="84"/>
  <c r="S210" i="84"/>
  <c r="H208" i="84"/>
  <c r="S209" i="84"/>
  <c r="H207" i="84"/>
  <c r="H209" i="84"/>
  <c r="H206" i="84"/>
  <c r="S208" i="84"/>
  <c r="H176" i="84"/>
  <c r="H175" i="84"/>
  <c r="H174" i="84"/>
  <c r="S176" i="84"/>
  <c r="S175" i="84"/>
  <c r="S174" i="84"/>
  <c r="G83" i="84"/>
  <c r="R83" i="84"/>
  <c r="S106" i="84"/>
  <c r="H106" i="84"/>
  <c r="I80" i="83"/>
  <c r="D13" i="84"/>
  <c r="G87" i="83"/>
  <c r="G30" i="84"/>
  <c r="D73" i="84"/>
  <c r="H120" i="83"/>
  <c r="E63" i="83"/>
  <c r="E104" i="83"/>
  <c r="E36" i="83"/>
  <c r="E131" i="83"/>
  <c r="E7" i="83"/>
  <c r="G30" i="83"/>
  <c r="P30" i="83"/>
  <c r="H125" i="83"/>
  <c r="Q125" i="83"/>
  <c r="R150" i="83"/>
  <c r="I150" i="83"/>
  <c r="G138" i="83"/>
  <c r="G145" i="83" s="1"/>
  <c r="H96" i="83"/>
  <c r="H173" i="83"/>
  <c r="F171" i="83"/>
  <c r="I164" i="83"/>
  <c r="O171" i="83"/>
  <c r="R164" i="83"/>
  <c r="H57" i="83"/>
  <c r="D20" i="88" l="1" a="1"/>
  <c r="D20" i="83" a="1"/>
  <c r="D20" i="84" a="1"/>
  <c r="G51" i="113" a="1"/>
  <c r="G51" i="113" s="1"/>
  <c r="J44" i="113" a="1"/>
  <c r="J44" i="113" s="1"/>
  <c r="I21" i="97"/>
  <c r="E20" i="98" s="1" a="1"/>
  <c r="E20" i="98" s="1"/>
  <c r="G20" i="98" s="1" a="1"/>
  <c r="G20" i="98" s="1"/>
  <c r="G47" i="113" a="1"/>
  <c r="G47" i="113" s="1"/>
  <c r="J84" i="113" a="1"/>
  <c r="J84" i="113" s="1"/>
  <c r="J49" i="113" a="1"/>
  <c r="J49" i="113" s="1"/>
  <c r="G86" i="113" a="1"/>
  <c r="G86" i="113" s="1"/>
  <c r="G70" i="113" a="1"/>
  <c r="G70" i="113" s="1"/>
  <c r="AE261" i="113" a="1"/>
  <c r="AE261" i="113" s="1"/>
  <c r="J124" i="106" a="1"/>
  <c r="J124" i="106" s="1"/>
  <c r="J137" i="106" a="1"/>
  <c r="J137" i="106" s="1"/>
  <c r="D19" i="102"/>
  <c r="F19" i="102" s="1" a="1"/>
  <c r="F19" i="102" s="1"/>
  <c r="G19" i="102" s="1" a="1"/>
  <c r="G19" i="102" s="1"/>
  <c r="F32" i="102" a="1"/>
  <c r="F32" i="102" s="1"/>
  <c r="G32" i="102" s="1" a="1"/>
  <c r="G32" i="102" s="1"/>
  <c r="F25" i="102" a="1"/>
  <c r="F25" i="102" s="1"/>
  <c r="G25" i="102" s="1" a="1"/>
  <c r="G25" i="102" s="1"/>
  <c r="F31" i="102" a="1"/>
  <c r="F31" i="102" s="1"/>
  <c r="G31" i="102" s="1" a="1"/>
  <c r="G31" i="102" s="1"/>
  <c r="F24" i="102" a="1"/>
  <c r="F24" i="102" s="1"/>
  <c r="G24" i="102" s="1" a="1"/>
  <c r="G24" i="102" s="1"/>
  <c r="F37" i="102" a="1"/>
  <c r="F37" i="102" s="1"/>
  <c r="G37" i="102" s="1" a="1"/>
  <c r="G37" i="102" s="1"/>
  <c r="F30" i="102" a="1"/>
  <c r="F30" i="102" s="1"/>
  <c r="G30" i="102" s="1" a="1"/>
  <c r="G30" i="102" s="1"/>
  <c r="F23" i="102" a="1"/>
  <c r="F23" i="102" s="1"/>
  <c r="G23" i="102" s="1" a="1"/>
  <c r="G23" i="102" s="1"/>
  <c r="F36" i="102" a="1"/>
  <c r="F36" i="102" s="1"/>
  <c r="G36" i="102" s="1" a="1"/>
  <c r="G36" i="102" s="1"/>
  <c r="F29" i="102" a="1"/>
  <c r="F29" i="102" s="1"/>
  <c r="G29" i="102" s="1" a="1"/>
  <c r="G29" i="102" s="1"/>
  <c r="F22" i="102" a="1"/>
  <c r="F22" i="102" s="1"/>
  <c r="G22" i="102" s="1" a="1"/>
  <c r="G22" i="102" s="1"/>
  <c r="F34" i="102" a="1"/>
  <c r="F34" i="102" s="1"/>
  <c r="G34" i="102" s="1" a="1"/>
  <c r="G34" i="102" s="1"/>
  <c r="F27" i="102" a="1"/>
  <c r="F27" i="102" s="1"/>
  <c r="G27" i="102" s="1" a="1"/>
  <c r="G27" i="102" s="1"/>
  <c r="F20" i="102" a="1"/>
  <c r="F20" i="102" s="1"/>
  <c r="G20" i="102" s="1" a="1"/>
  <c r="G20" i="102" s="1"/>
  <c r="F33" i="102" a="1"/>
  <c r="F33" i="102" s="1"/>
  <c r="G33" i="102" s="1" a="1"/>
  <c r="G33" i="102" s="1"/>
  <c r="F26" i="102" a="1"/>
  <c r="F26" i="102" s="1"/>
  <c r="G26" i="102" s="1" a="1"/>
  <c r="G26" i="102" s="1"/>
  <c r="F35" i="102" a="1"/>
  <c r="F35" i="102" s="1"/>
  <c r="G35" i="102" s="1" a="1"/>
  <c r="G35" i="102" s="1"/>
  <c r="F28" i="102" a="1"/>
  <c r="F28" i="102" s="1"/>
  <c r="G28" i="102" s="1" a="1"/>
  <c r="G28" i="102" s="1"/>
  <c r="F21" i="102" a="1"/>
  <c r="F21" i="102" s="1"/>
  <c r="G21" i="102" s="1" a="1"/>
  <c r="G21" i="102" s="1"/>
  <c r="AA259" i="113" a="1"/>
  <c r="AA259" i="113" s="1"/>
  <c r="H259" i="113" s="1" a="1"/>
  <c r="H259" i="113" s="1"/>
  <c r="AE259" i="113" a="1"/>
  <c r="AE259" i="113" s="1"/>
  <c r="K259" i="113" s="1" a="1"/>
  <c r="K259" i="113" s="1"/>
  <c r="G85" i="113" a="1"/>
  <c r="G85" i="113" s="1"/>
  <c r="J64" i="113" a="1"/>
  <c r="J64" i="113" s="1"/>
  <c r="G83" i="113" a="1"/>
  <c r="G83" i="113" s="1"/>
  <c r="G63" i="113" a="1"/>
  <c r="G63" i="113" s="1"/>
  <c r="W259" i="113" a="1"/>
  <c r="W259" i="113" s="1"/>
  <c r="W258" i="113" a="1"/>
  <c r="W258" i="113" s="1"/>
  <c r="J144" i="106" a="1"/>
  <c r="J144" i="106" s="1"/>
  <c r="J163" i="106" a="1"/>
  <c r="J163" i="106" s="1"/>
  <c r="J123" i="106" a="1"/>
  <c r="J123" i="106" s="1"/>
  <c r="M25" i="88" a="1"/>
  <c r="M25" i="88" s="1"/>
  <c r="D19" i="98"/>
  <c r="F19" i="98" s="1" a="1"/>
  <c r="F19" i="98" s="1"/>
  <c r="F24" i="98" a="1"/>
  <c r="F24" i="98" s="1"/>
  <c r="F37" i="98" a="1"/>
  <c r="F37" i="98" s="1"/>
  <c r="F23" i="98" a="1"/>
  <c r="F23" i="98" s="1"/>
  <c r="F36" i="98" a="1"/>
  <c r="F36" i="98" s="1"/>
  <c r="F22" i="98" a="1"/>
  <c r="F22" i="98" s="1"/>
  <c r="F35" i="98" a="1"/>
  <c r="F35" i="98" s="1"/>
  <c r="F34" i="98" a="1"/>
  <c r="F34" i="98" s="1"/>
  <c r="F33" i="98" a="1"/>
  <c r="F33" i="98" s="1"/>
  <c r="F21" i="98" a="1"/>
  <c r="F21" i="98" s="1"/>
  <c r="F32" i="98" a="1"/>
  <c r="F32" i="98" s="1"/>
  <c r="F20" i="98" a="1"/>
  <c r="F20" i="98" s="1"/>
  <c r="F31" i="98" a="1"/>
  <c r="F31" i="98" s="1"/>
  <c r="F27" i="98" a="1"/>
  <c r="F27" i="98" s="1"/>
  <c r="F26" i="98" a="1"/>
  <c r="F26" i="98" s="1"/>
  <c r="F25" i="98" a="1"/>
  <c r="F25" i="98" s="1"/>
  <c r="F30" i="98" a="1"/>
  <c r="F30" i="98" s="1"/>
  <c r="F29" i="98" a="1"/>
  <c r="F29" i="98" s="1"/>
  <c r="F28" i="98" a="1"/>
  <c r="F28" i="98" s="1"/>
  <c r="G482" i="113" a="1"/>
  <c r="G482" i="113" s="1"/>
  <c r="J45" i="113" a="1"/>
  <c r="J45" i="113" s="1"/>
  <c r="W260" i="113" a="1"/>
  <c r="W260" i="113" s="1"/>
  <c r="G84" i="113" a="1"/>
  <c r="G84" i="113" s="1"/>
  <c r="J82" i="113" a="1"/>
  <c r="J82" i="113" s="1"/>
  <c r="J50" i="113" a="1"/>
  <c r="J50" i="113" s="1"/>
  <c r="G68" i="113" a="1"/>
  <c r="G68" i="113" s="1"/>
  <c r="G48" i="113" a="1"/>
  <c r="G48" i="113" s="1"/>
  <c r="J51" i="113" a="1"/>
  <c r="J51" i="113" s="1"/>
  <c r="J86" i="113" a="1"/>
  <c r="J86" i="113" s="1"/>
  <c r="G67" i="113" a="1"/>
  <c r="G67" i="113" s="1"/>
  <c r="AE255" i="113" a="1"/>
  <c r="AE255" i="113" s="1"/>
  <c r="H255" i="113" s="1" a="1"/>
  <c r="H255" i="113" s="1"/>
  <c r="AE254" i="113" a="1"/>
  <c r="AE254" i="113" s="1"/>
  <c r="H254" i="113" s="1" a="1"/>
  <c r="H254" i="113" s="1"/>
  <c r="J121" i="106" a="1"/>
  <c r="J121" i="106" s="1"/>
  <c r="D25" i="83" a="1"/>
  <c r="D25" i="83" s="1"/>
  <c r="K37" i="94"/>
  <c r="J37" i="94"/>
  <c r="I37" i="94"/>
  <c r="H37" i="94"/>
  <c r="G37" i="94"/>
  <c r="J177" i="106" a="1"/>
  <c r="J177" i="106" s="1"/>
  <c r="J118" i="106" a="1"/>
  <c r="J118" i="106" s="1"/>
  <c r="D120" i="83" a="1"/>
  <c r="D120" i="83" s="1"/>
  <c r="D124" i="84" a="1"/>
  <c r="D124" i="84" s="1"/>
  <c r="D59" i="106"/>
  <c r="G59" i="106" s="1" a="1"/>
  <c r="G59" i="106" s="1"/>
  <c r="I59" i="106" s="1" a="1"/>
  <c r="I59" i="106" s="1"/>
  <c r="H157" i="106" s="1"/>
  <c r="G86" i="106" a="1"/>
  <c r="G86" i="106" s="1"/>
  <c r="I86" i="106" s="1" a="1"/>
  <c r="I86" i="106" s="1"/>
  <c r="H184" i="106" s="1"/>
  <c r="G78" i="106" a="1"/>
  <c r="G78" i="106" s="1"/>
  <c r="I78" i="106" s="1" a="1"/>
  <c r="I78" i="106" s="1"/>
  <c r="H176" i="106" s="1"/>
  <c r="I176" i="106" s="1"/>
  <c r="K176" i="106" s="1" a="1"/>
  <c r="K176" i="106" s="1"/>
  <c r="G71" i="106" a="1"/>
  <c r="G71" i="106" s="1"/>
  <c r="G63" i="106" a="1"/>
  <c r="G63" i="106" s="1"/>
  <c r="G85" i="106" a="1"/>
  <c r="G85" i="106" s="1"/>
  <c r="G77" i="106" a="1"/>
  <c r="G77" i="106" s="1"/>
  <c r="G69" i="106" a="1"/>
  <c r="G69" i="106" s="1"/>
  <c r="G62" i="106" a="1"/>
  <c r="G62" i="106" s="1"/>
  <c r="G92" i="106" a="1"/>
  <c r="G92" i="106" s="1"/>
  <c r="G84" i="106" a="1"/>
  <c r="G84" i="106" s="1"/>
  <c r="G76" i="106" a="1"/>
  <c r="G76" i="106" s="1"/>
  <c r="G68" i="106" a="1"/>
  <c r="G68" i="106" s="1"/>
  <c r="G61" i="106" a="1"/>
  <c r="G61" i="106" s="1"/>
  <c r="I61" i="106" s="1" a="1"/>
  <c r="I61" i="106" s="1"/>
  <c r="H159" i="106" s="1"/>
  <c r="G91" i="106" a="1"/>
  <c r="G91" i="106" s="1"/>
  <c r="I91" i="106" s="1" a="1"/>
  <c r="I91" i="106" s="1"/>
  <c r="H189" i="106" s="1"/>
  <c r="G83" i="106" a="1"/>
  <c r="G83" i="106" s="1"/>
  <c r="I83" i="106" s="1" a="1"/>
  <c r="I83" i="106" s="1"/>
  <c r="H181" i="106" s="1"/>
  <c r="G75" i="106" a="1"/>
  <c r="G75" i="106" s="1"/>
  <c r="I75" i="106" s="1" a="1"/>
  <c r="I75" i="106" s="1"/>
  <c r="H173" i="106" s="1"/>
  <c r="I173" i="106" s="1"/>
  <c r="K173" i="106" s="1" a="1"/>
  <c r="K173" i="106" s="1"/>
  <c r="G67" i="106" a="1"/>
  <c r="G67" i="106" s="1"/>
  <c r="G60" i="106" a="1"/>
  <c r="G60" i="106" s="1"/>
  <c r="G89" i="106" a="1"/>
  <c r="G89" i="106" s="1"/>
  <c r="G80" i="106" a="1"/>
  <c r="G80" i="106" s="1"/>
  <c r="G73" i="106" a="1"/>
  <c r="G73" i="106" s="1"/>
  <c r="G65" i="106" a="1"/>
  <c r="G65" i="106" s="1"/>
  <c r="G88" i="106" a="1"/>
  <c r="G88" i="106" s="1"/>
  <c r="G79" i="106" a="1"/>
  <c r="G79" i="106" s="1"/>
  <c r="G72" i="106" a="1"/>
  <c r="G72" i="106" s="1"/>
  <c r="G64" i="106" a="1"/>
  <c r="G64" i="106" s="1"/>
  <c r="G82" i="106" a="1"/>
  <c r="G82" i="106" s="1"/>
  <c r="I82" i="106" s="1" a="1"/>
  <c r="I82" i="106" s="1"/>
  <c r="H180" i="106" s="1"/>
  <c r="G74" i="106" a="1"/>
  <c r="G74" i="106" s="1"/>
  <c r="I74" i="106" s="1" a="1"/>
  <c r="I74" i="106" s="1"/>
  <c r="H172" i="106" s="1"/>
  <c r="G66" i="106" a="1"/>
  <c r="G66" i="106" s="1"/>
  <c r="I66" i="106" s="1" a="1"/>
  <c r="I66" i="106" s="1"/>
  <c r="H164" i="106" s="1"/>
  <c r="I164" i="106" s="1"/>
  <c r="K164" i="106" s="1" a="1"/>
  <c r="K164" i="106" s="1"/>
  <c r="G90" i="106" a="1"/>
  <c r="G90" i="106" s="1"/>
  <c r="I90" i="106" s="1" a="1"/>
  <c r="I90" i="106" s="1"/>
  <c r="H188" i="106" s="1"/>
  <c r="G43" i="113" a="1"/>
  <c r="G43" i="113" s="1"/>
  <c r="V19" i="97"/>
  <c r="X19" i="97" s="1"/>
  <c r="J48" i="113" a="1"/>
  <c r="J48" i="113" s="1"/>
  <c r="J80" i="113" a="1"/>
  <c r="J80" i="113" s="1"/>
  <c r="J66" i="113" a="1"/>
  <c r="J66" i="113" s="1"/>
  <c r="W261" i="113" a="1"/>
  <c r="W261" i="113" s="1"/>
  <c r="K34" i="94"/>
  <c r="J34" i="94"/>
  <c r="I34" i="94"/>
  <c r="H34" i="94"/>
  <c r="G34" i="94"/>
  <c r="P34" i="94" s="1" a="1"/>
  <c r="P34" i="94" s="1"/>
  <c r="K31" i="94"/>
  <c r="J31" i="94"/>
  <c r="P31" i="94" s="1" a="1"/>
  <c r="P31" i="94" s="1"/>
  <c r="I31" i="94"/>
  <c r="H31" i="94"/>
  <c r="G31" i="94"/>
  <c r="AA257" i="113" a="1"/>
  <c r="AA257" i="113" s="1"/>
  <c r="J119" i="106" a="1"/>
  <c r="J119" i="106" s="1"/>
  <c r="J161" i="106" a="1"/>
  <c r="J161" i="106" s="1"/>
  <c r="W253" i="113" a="1"/>
  <c r="W253" i="113" s="1"/>
  <c r="V17" i="97"/>
  <c r="X17" i="97" s="1"/>
  <c r="J168" i="106" a="1"/>
  <c r="J168" i="106" s="1"/>
  <c r="E59" i="106"/>
  <c r="H59" i="106" s="1" a="1"/>
  <c r="H59" i="106" s="1"/>
  <c r="H86" i="106" a="1"/>
  <c r="H86" i="106" s="1"/>
  <c r="H78" i="106" a="1"/>
  <c r="H78" i="106" s="1"/>
  <c r="H71" i="106" a="1"/>
  <c r="H71" i="106" s="1"/>
  <c r="I71" i="106" s="1" a="1"/>
  <c r="I71" i="106" s="1"/>
  <c r="H169" i="106" s="1"/>
  <c r="H63" i="106" a="1"/>
  <c r="H63" i="106" s="1"/>
  <c r="I63" i="106" s="1" a="1"/>
  <c r="I63" i="106" s="1"/>
  <c r="H161" i="106" s="1"/>
  <c r="I161" i="106" s="1"/>
  <c r="K161" i="106" s="1" a="1"/>
  <c r="K161" i="106" s="1"/>
  <c r="H85" i="106" a="1"/>
  <c r="H85" i="106" s="1"/>
  <c r="H77" i="106" a="1"/>
  <c r="H77" i="106" s="1"/>
  <c r="H69" i="106" a="1"/>
  <c r="H69" i="106" s="1"/>
  <c r="H62" i="106" a="1"/>
  <c r="H62" i="106" s="1"/>
  <c r="H92" i="106" a="1"/>
  <c r="H92" i="106" s="1"/>
  <c r="H84" i="106" a="1"/>
  <c r="H84" i="106" s="1"/>
  <c r="H76" i="106" a="1"/>
  <c r="H76" i="106" s="1"/>
  <c r="H68" i="106" a="1"/>
  <c r="H68" i="106" s="1"/>
  <c r="H61" i="106" a="1"/>
  <c r="H61" i="106" s="1"/>
  <c r="H91" i="106" a="1"/>
  <c r="H91" i="106" s="1"/>
  <c r="H83" i="106" a="1"/>
  <c r="H83" i="106" s="1"/>
  <c r="H75" i="106" a="1"/>
  <c r="H75" i="106" s="1"/>
  <c r="H67" i="106" a="1"/>
  <c r="H67" i="106" s="1"/>
  <c r="H60" i="106" a="1"/>
  <c r="H60" i="106" s="1"/>
  <c r="H88" i="106" a="1"/>
  <c r="H88" i="106" s="1"/>
  <c r="H79" i="106" a="1"/>
  <c r="H79" i="106" s="1"/>
  <c r="H72" i="106" a="1"/>
  <c r="H72" i="106" s="1"/>
  <c r="H64" i="106" a="1"/>
  <c r="H64" i="106" s="1"/>
  <c r="H89" i="106" a="1"/>
  <c r="H89" i="106" s="1"/>
  <c r="H82" i="106" a="1"/>
  <c r="H82" i="106" s="1"/>
  <c r="H80" i="106" a="1"/>
  <c r="H80" i="106" s="1"/>
  <c r="H74" i="106" a="1"/>
  <c r="H74" i="106" s="1"/>
  <c r="H73" i="106" a="1"/>
  <c r="H73" i="106" s="1"/>
  <c r="H66" i="106" a="1"/>
  <c r="H66" i="106" s="1"/>
  <c r="H65" i="106" a="1"/>
  <c r="H65" i="106" s="1"/>
  <c r="H90" i="106" a="1"/>
  <c r="H90" i="106" s="1"/>
  <c r="AA253" i="113" a="1"/>
  <c r="AA253" i="113" s="1"/>
  <c r="F253" i="113" s="1" a="1"/>
  <c r="F253" i="113" s="1"/>
  <c r="G253" i="113" s="1" a="1"/>
  <c r="G253" i="113" s="1"/>
  <c r="W257" i="113" a="1"/>
  <c r="W257" i="113" s="1"/>
  <c r="K36" i="94"/>
  <c r="J36" i="94"/>
  <c r="I36" i="94"/>
  <c r="H36" i="94"/>
  <c r="G36" i="94"/>
  <c r="G81" i="113" a="1"/>
  <c r="G81" i="113" s="1"/>
  <c r="J63" i="113" a="1"/>
  <c r="J63" i="113" s="1"/>
  <c r="J88" i="113" a="1"/>
  <c r="J88" i="113" s="1"/>
  <c r="G65" i="113" a="1"/>
  <c r="G65" i="113" s="1"/>
  <c r="Q236" i="113" a="1"/>
  <c r="W255" i="113" a="1"/>
  <c r="W255" i="113" s="1"/>
  <c r="J136" i="106" a="1"/>
  <c r="J136" i="106" s="1"/>
  <c r="J122" i="106" a="1"/>
  <c r="J122" i="106" s="1"/>
  <c r="D25" i="84" a="1"/>
  <c r="D25" i="84" s="1"/>
  <c r="W252" i="113" a="1"/>
  <c r="W252" i="113" s="1"/>
  <c r="K33" i="94"/>
  <c r="J33" i="94"/>
  <c r="I33" i="94"/>
  <c r="H33" i="94"/>
  <c r="G33" i="94"/>
  <c r="P33" i="94" s="1" a="1"/>
  <c r="P33" i="94" s="1"/>
  <c r="AA254" i="113" a="1"/>
  <c r="AA254" i="113" s="1"/>
  <c r="K28" i="94"/>
  <c r="J28" i="94"/>
  <c r="I28" i="94"/>
  <c r="H28" i="94"/>
  <c r="G28" i="94"/>
  <c r="Q28" i="94" s="1" a="1"/>
  <c r="Q28" i="94" s="1"/>
  <c r="S257" i="113" a="1"/>
  <c r="S257" i="113" s="1"/>
  <c r="H257" i="113" s="1" a="1"/>
  <c r="H257" i="113" s="1"/>
  <c r="AE253" i="113" a="1"/>
  <c r="AE253" i="113" s="1"/>
  <c r="J67" i="113" a="1"/>
  <c r="J67" i="113" s="1"/>
  <c r="AE258" i="113" a="1"/>
  <c r="AE258" i="113" s="1"/>
  <c r="J27" i="94"/>
  <c r="I27" i="94"/>
  <c r="H27" i="94"/>
  <c r="G27" i="94"/>
  <c r="K27" i="94"/>
  <c r="S260" i="113" a="1"/>
  <c r="S260" i="113" s="1"/>
  <c r="H38" i="94"/>
  <c r="G38" i="94"/>
  <c r="K38" i="94"/>
  <c r="J38" i="94"/>
  <c r="P38" i="94" s="1" a="1"/>
  <c r="P38" i="94" s="1"/>
  <c r="I38" i="94"/>
  <c r="O38" i="94" s="1" a="1"/>
  <c r="O38" i="94" s="1"/>
  <c r="I495" i="113" a="1"/>
  <c r="I495" i="113" s="1"/>
  <c r="E499" i="113" s="1"/>
  <c r="N26" i="94" a="1"/>
  <c r="N26" i="94" s="1"/>
  <c r="J46" i="113" a="1"/>
  <c r="J46" i="113" s="1"/>
  <c r="G80" i="113" a="1"/>
  <c r="G80" i="113" s="1"/>
  <c r="J87" i="113" a="1"/>
  <c r="J87" i="113" s="1"/>
  <c r="G69" i="113" a="1"/>
  <c r="G69" i="113" s="1"/>
  <c r="M20" i="88" a="1"/>
  <c r="M20" i="83" a="1"/>
  <c r="O20" i="84" a="1"/>
  <c r="J162" i="106" a="1"/>
  <c r="J162" i="106" s="1"/>
  <c r="J174" i="106" a="1"/>
  <c r="J174" i="106" s="1"/>
  <c r="K25" i="94"/>
  <c r="Q25" i="94" s="1" a="1"/>
  <c r="Q25" i="94" s="1"/>
  <c r="J25" i="94"/>
  <c r="I25" i="94"/>
  <c r="O25" i="94" s="1" a="1"/>
  <c r="O25" i="94" s="1"/>
  <c r="H25" i="94"/>
  <c r="G25" i="94"/>
  <c r="H26" i="94"/>
  <c r="G26" i="94"/>
  <c r="O26" i="94" s="1" a="1"/>
  <c r="O26" i="94" s="1"/>
  <c r="K26" i="94"/>
  <c r="Q26" i="94" s="1" a="1"/>
  <c r="Q26" i="94" s="1"/>
  <c r="J26" i="94"/>
  <c r="I26" i="94"/>
  <c r="S261" i="113" a="1"/>
  <c r="S261" i="113" s="1"/>
  <c r="AA261" i="113" a="1"/>
  <c r="AA261" i="113" s="1"/>
  <c r="AE256" i="113" a="1"/>
  <c r="AE256" i="113" s="1"/>
  <c r="K30" i="94"/>
  <c r="J30" i="94"/>
  <c r="P30" i="94" s="1" a="1"/>
  <c r="P30" i="94" s="1"/>
  <c r="I30" i="94"/>
  <c r="O30" i="94" s="1" a="1"/>
  <c r="O30" i="94" s="1"/>
  <c r="H30" i="94"/>
  <c r="N30" i="94" s="1" a="1"/>
  <c r="N30" i="94" s="1"/>
  <c r="G30" i="94"/>
  <c r="O21" i="98" a="1"/>
  <c r="S256" i="113" a="1"/>
  <c r="S256" i="113" s="1"/>
  <c r="W254" i="113" a="1"/>
  <c r="W254" i="113" s="1"/>
  <c r="J127" i="106" a="1"/>
  <c r="J127" i="106" s="1"/>
  <c r="AE260" i="113" a="1"/>
  <c r="AE260" i="113" s="1"/>
  <c r="AE257" i="113" a="1"/>
  <c r="AE257" i="113" s="1"/>
  <c r="G46" i="113" a="1"/>
  <c r="G46" i="113" s="1"/>
  <c r="J83" i="113" a="1"/>
  <c r="J83" i="113" s="1"/>
  <c r="J30" i="113" a="1"/>
  <c r="J30" i="113" s="1"/>
  <c r="J65" i="113" a="1"/>
  <c r="J65" i="113" s="1"/>
  <c r="P21" i="98" a="1"/>
  <c r="AA256" i="113" a="1"/>
  <c r="AA256" i="113" s="1"/>
  <c r="K256" i="113" s="1" a="1"/>
  <c r="K256" i="113" s="1"/>
  <c r="J133" i="106" a="1"/>
  <c r="J133" i="106" s="1"/>
  <c r="J179" i="106" a="1"/>
  <c r="J179" i="106" s="1"/>
  <c r="J132" i="106" a="1"/>
  <c r="J132" i="106" s="1"/>
  <c r="D25" i="88" a="1"/>
  <c r="D25" i="88" s="1"/>
  <c r="S258" i="113" a="1"/>
  <c r="S258" i="113" s="1"/>
  <c r="AE252" i="113" a="1"/>
  <c r="AE252" i="113" s="1"/>
  <c r="J126" i="106" a="1"/>
  <c r="J126" i="106" s="1"/>
  <c r="J125" i="106" a="1"/>
  <c r="J125" i="106" s="1"/>
  <c r="O49" i="84" a="1"/>
  <c r="O49" i="84" s="1"/>
  <c r="V13" i="97"/>
  <c r="V12" i="97"/>
  <c r="G49" i="113" a="1"/>
  <c r="G49" i="113" s="1"/>
  <c r="G87" i="113" a="1"/>
  <c r="G87" i="113" s="1"/>
  <c r="J69" i="113" a="1"/>
  <c r="J69" i="113" s="1"/>
  <c r="F320" i="113" a="1"/>
  <c r="F320" i="113" s="1"/>
  <c r="AA258" i="113" a="1"/>
  <c r="AA258" i="113" s="1"/>
  <c r="J159" i="106" a="1"/>
  <c r="J159" i="106" s="1"/>
  <c r="J120" i="106" a="1"/>
  <c r="J120" i="106" s="1"/>
  <c r="J158" i="106" a="1"/>
  <c r="J158" i="106" s="1"/>
  <c r="O25" i="84" a="1"/>
  <c r="O25" i="84" s="1"/>
  <c r="D30" i="88" a="1"/>
  <c r="D30" i="88" s="1"/>
  <c r="S255" i="113" a="1"/>
  <c r="S255" i="113" s="1"/>
  <c r="V18" i="97"/>
  <c r="X18" i="97" s="1"/>
  <c r="V16" i="97"/>
  <c r="X16" i="97" s="1"/>
  <c r="P11" i="98" s="1" a="1"/>
  <c r="P11" i="98" s="1"/>
  <c r="J135" i="106" a="1"/>
  <c r="J135" i="106" s="1"/>
  <c r="AA255" i="113" a="1"/>
  <c r="AA255" i="113" s="1"/>
  <c r="J85" i="113" a="1"/>
  <c r="J85" i="113" s="1"/>
  <c r="G82" i="113" a="1"/>
  <c r="G82" i="113" s="1"/>
  <c r="G62" i="113" a="1"/>
  <c r="G62" i="113" s="1"/>
  <c r="J165" i="106" a="1"/>
  <c r="J165" i="106" s="1"/>
  <c r="J178" i="106" a="1"/>
  <c r="J178" i="106" s="1"/>
  <c r="D19" i="99"/>
  <c r="F19" i="99" s="1" a="1"/>
  <c r="F19" i="99" s="1"/>
  <c r="F27" i="99" a="1"/>
  <c r="F27" i="99" s="1"/>
  <c r="F26" i="99" a="1"/>
  <c r="F26" i="99" s="1"/>
  <c r="F25" i="99" a="1"/>
  <c r="F25" i="99" s="1"/>
  <c r="F37" i="99" a="1"/>
  <c r="F37" i="99" s="1"/>
  <c r="F24" i="99" a="1"/>
  <c r="F24" i="99" s="1"/>
  <c r="F23" i="99" a="1"/>
  <c r="F23" i="99" s="1"/>
  <c r="F36" i="99" a="1"/>
  <c r="F36" i="99" s="1"/>
  <c r="F22" i="99" a="1"/>
  <c r="F22" i="99" s="1"/>
  <c r="F35" i="99" a="1"/>
  <c r="F35" i="99" s="1"/>
  <c r="F21" i="99" a="1"/>
  <c r="F21" i="99" s="1"/>
  <c r="F34" i="99" a="1"/>
  <c r="F34" i="99" s="1"/>
  <c r="F20" i="99" a="1"/>
  <c r="F20" i="99" s="1"/>
  <c r="F30" i="99" a="1"/>
  <c r="F30" i="99" s="1"/>
  <c r="F29" i="99" a="1"/>
  <c r="F29" i="99" s="1"/>
  <c r="F28" i="99" a="1"/>
  <c r="F28" i="99" s="1"/>
  <c r="F33" i="99" a="1"/>
  <c r="F33" i="99" s="1"/>
  <c r="F32" i="99" a="1"/>
  <c r="F32" i="99" s="1"/>
  <c r="F31" i="99" a="1"/>
  <c r="F31" i="99" s="1"/>
  <c r="V20" i="97"/>
  <c r="X20" i="97" s="1"/>
  <c r="I29" i="94"/>
  <c r="H29" i="94"/>
  <c r="G29" i="94"/>
  <c r="K29" i="94"/>
  <c r="Q29" i="94" s="1" a="1"/>
  <c r="Q29" i="94" s="1"/>
  <c r="J29" i="94"/>
  <c r="J117" i="106" a="1"/>
  <c r="J117" i="106" s="1"/>
  <c r="D21" i="106"/>
  <c r="G186" i="106" a="1"/>
  <c r="G186" i="106" s="1"/>
  <c r="G166" i="106" a="1"/>
  <c r="G166" i="106" s="1"/>
  <c r="G159" i="106" a="1"/>
  <c r="G159" i="106" s="1"/>
  <c r="G142" i="106" a="1"/>
  <c r="G142" i="106" s="1"/>
  <c r="G133" i="106" a="1"/>
  <c r="G133" i="106" s="1"/>
  <c r="G175" i="106" a="1"/>
  <c r="G175" i="106" s="1"/>
  <c r="G141" i="106" a="1"/>
  <c r="G141" i="106" s="1"/>
  <c r="G123" i="106" a="1"/>
  <c r="G123" i="106" s="1"/>
  <c r="G53" i="106" a="1"/>
  <c r="G53" i="106" s="1"/>
  <c r="G45" i="106" a="1"/>
  <c r="G45" i="106" s="1"/>
  <c r="G37" i="106" a="1"/>
  <c r="G37" i="106" s="1"/>
  <c r="G29" i="106" a="1"/>
  <c r="G29" i="106" s="1"/>
  <c r="G22" i="106" a="1"/>
  <c r="G22" i="106" s="1"/>
  <c r="I22" i="106" s="1" a="1"/>
  <c r="I22" i="106" s="1"/>
  <c r="H117" i="106" s="1"/>
  <c r="I117" i="106" s="1"/>
  <c r="K117" i="106" s="1" a="1"/>
  <c r="K117" i="106" s="1"/>
  <c r="G184" i="106" a="1"/>
  <c r="G184" i="106" s="1"/>
  <c r="G165" i="106" a="1"/>
  <c r="G165" i="106" s="1"/>
  <c r="G158" i="106" a="1"/>
  <c r="G158" i="106" s="1"/>
  <c r="G140" i="106" a="1"/>
  <c r="G140" i="106" s="1"/>
  <c r="G132" i="106" a="1"/>
  <c r="G132" i="106" s="1"/>
  <c r="G183" i="106" a="1"/>
  <c r="G183" i="106" s="1"/>
  <c r="G174" i="106" a="1"/>
  <c r="G174" i="106" s="1"/>
  <c r="G139" i="106" a="1"/>
  <c r="G139" i="106" s="1"/>
  <c r="G131" i="106" a="1"/>
  <c r="G131" i="106" s="1"/>
  <c r="G122" i="106" a="1"/>
  <c r="G122" i="106" s="1"/>
  <c r="G52" i="106" a="1"/>
  <c r="G52" i="106" s="1"/>
  <c r="G44" i="106" a="1"/>
  <c r="G44" i="106" s="1"/>
  <c r="G36" i="106" a="1"/>
  <c r="G36" i="106" s="1"/>
  <c r="I36" i="106" s="1" a="1"/>
  <c r="I36" i="106" s="1"/>
  <c r="H131" i="106" s="1"/>
  <c r="G28" i="106" a="1"/>
  <c r="G28" i="106" s="1"/>
  <c r="I28" i="106" s="1" a="1"/>
  <c r="I28" i="106" s="1"/>
  <c r="H123" i="106" s="1"/>
  <c r="I123" i="106" s="1"/>
  <c r="K123" i="106" s="1" a="1"/>
  <c r="K123" i="106" s="1"/>
  <c r="G182" i="106" a="1"/>
  <c r="G182" i="106" s="1"/>
  <c r="G164" i="106" a="1"/>
  <c r="G164" i="106" s="1"/>
  <c r="G130" i="106" a="1"/>
  <c r="G130" i="106" s="1"/>
  <c r="G181" i="106" a="1"/>
  <c r="G181" i="106" s="1"/>
  <c r="G173" i="106" a="1"/>
  <c r="G173" i="106" s="1"/>
  <c r="G129" i="106" a="1"/>
  <c r="G129" i="106" s="1"/>
  <c r="G121" i="106" a="1"/>
  <c r="G121" i="106" s="1"/>
  <c r="G51" i="106" a="1"/>
  <c r="G51" i="106" s="1"/>
  <c r="G42" i="106" a="1"/>
  <c r="G42" i="106" s="1"/>
  <c r="G35" i="106" a="1"/>
  <c r="G35" i="106" s="1"/>
  <c r="G27" i="106" a="1"/>
  <c r="G27" i="106" s="1"/>
  <c r="G180" i="106" a="1"/>
  <c r="G180" i="106" s="1"/>
  <c r="G172" i="106" a="1"/>
  <c r="G172" i="106" s="1"/>
  <c r="G163" i="106" a="1"/>
  <c r="G163" i="106" s="1"/>
  <c r="G137" i="106" a="1"/>
  <c r="G137" i="106" s="1"/>
  <c r="G128" i="106" a="1"/>
  <c r="G128" i="106" s="1"/>
  <c r="G171" i="106" a="1"/>
  <c r="G171" i="106" s="1"/>
  <c r="G149" i="106" a="1"/>
  <c r="G149" i="106" s="1"/>
  <c r="G120" i="106" a="1"/>
  <c r="G120" i="106" s="1"/>
  <c r="G50" i="106" a="1"/>
  <c r="G50" i="106" s="1"/>
  <c r="G41" i="106" a="1"/>
  <c r="G41" i="106" s="1"/>
  <c r="G34" i="106" a="1"/>
  <c r="G34" i="106" s="1"/>
  <c r="G26" i="106" a="1"/>
  <c r="G26" i="106" s="1"/>
  <c r="G189" i="106" a="1"/>
  <c r="G189" i="106" s="1"/>
  <c r="G177" i="106" a="1"/>
  <c r="G177" i="106" s="1"/>
  <c r="G145" i="106" a="1"/>
  <c r="G145" i="106" s="1"/>
  <c r="G125" i="106" a="1"/>
  <c r="G125" i="106" s="1"/>
  <c r="G118" i="106" a="1"/>
  <c r="G118" i="106" s="1"/>
  <c r="G47" i="106" a="1"/>
  <c r="G47" i="106" s="1"/>
  <c r="G39" i="106" a="1"/>
  <c r="G39" i="106" s="1"/>
  <c r="G31" i="106" a="1"/>
  <c r="G31" i="106" s="1"/>
  <c r="G24" i="106" a="1"/>
  <c r="G24" i="106" s="1"/>
  <c r="G188" i="106" a="1"/>
  <c r="G188" i="106" s="1"/>
  <c r="G167" i="106" a="1"/>
  <c r="G167" i="106" s="1"/>
  <c r="G160" i="106" a="1"/>
  <c r="G160" i="106" s="1"/>
  <c r="G134" i="106" a="1"/>
  <c r="G134" i="106" s="1"/>
  <c r="G187" i="106" a="1"/>
  <c r="G187" i="106" s="1"/>
  <c r="G176" i="106" a="1"/>
  <c r="G176" i="106" s="1"/>
  <c r="G143" i="106" a="1"/>
  <c r="G143" i="106" s="1"/>
  <c r="G124" i="106" a="1"/>
  <c r="G124" i="106" s="1"/>
  <c r="G117" i="106" a="1"/>
  <c r="G117" i="106" s="1"/>
  <c r="G54" i="106" a="1"/>
  <c r="G54" i="106" s="1"/>
  <c r="I54" i="106" s="1" a="1"/>
  <c r="I54" i="106" s="1"/>
  <c r="H149" i="106" s="1"/>
  <c r="G46" i="106" a="1"/>
  <c r="G46" i="106" s="1"/>
  <c r="G38" i="106" a="1"/>
  <c r="G38" i="106" s="1"/>
  <c r="G30" i="106" a="1"/>
  <c r="G30" i="106" s="1"/>
  <c r="G23" i="106" a="1"/>
  <c r="G23" i="106" s="1"/>
  <c r="G148" i="106" a="1"/>
  <c r="G148" i="106" s="1"/>
  <c r="G48" i="106" a="1"/>
  <c r="G48" i="106" s="1"/>
  <c r="G147" i="106" a="1"/>
  <c r="G147" i="106" s="1"/>
  <c r="G146" i="106" a="1"/>
  <c r="G146" i="106" s="1"/>
  <c r="G136" i="106" a="1"/>
  <c r="G136" i="106" s="1"/>
  <c r="G40" i="106" a="1"/>
  <c r="G40" i="106" s="1"/>
  <c r="G190" i="106" a="1"/>
  <c r="G190" i="106" s="1"/>
  <c r="G135" i="106" a="1"/>
  <c r="G135" i="106" s="1"/>
  <c r="G178" i="106" a="1"/>
  <c r="G178" i="106" s="1"/>
  <c r="G33" i="106" a="1"/>
  <c r="G33" i="106" s="1"/>
  <c r="I33" i="106" s="1" a="1"/>
  <c r="I33" i="106" s="1"/>
  <c r="H128" i="106" s="1"/>
  <c r="G126" i="106" a="1"/>
  <c r="G126" i="106" s="1"/>
  <c r="G170" i="106" a="1"/>
  <c r="G170" i="106" s="1"/>
  <c r="G169" i="106" a="1"/>
  <c r="G169" i="106" s="1"/>
  <c r="G25" i="106" a="1"/>
  <c r="G25" i="106" s="1"/>
  <c r="I25" i="106" s="1" a="1"/>
  <c r="I25" i="106" s="1"/>
  <c r="H120" i="106" s="1"/>
  <c r="I120" i="106" s="1"/>
  <c r="K120" i="106" s="1" a="1"/>
  <c r="K120" i="106" s="1"/>
  <c r="G119" i="106" a="1"/>
  <c r="G119" i="106" s="1"/>
  <c r="G162" i="106" a="1"/>
  <c r="G162" i="106" s="1"/>
  <c r="G161" i="106" a="1"/>
  <c r="G161" i="106" s="1"/>
  <c r="V21" i="97"/>
  <c r="X21" i="97" s="1"/>
  <c r="E21" i="106"/>
  <c r="H21" i="106" s="1" a="1"/>
  <c r="H21" i="106" s="1"/>
  <c r="H53" i="106" a="1"/>
  <c r="H53" i="106" s="1"/>
  <c r="H45" i="106" a="1"/>
  <c r="H45" i="106" s="1"/>
  <c r="H37" i="106" a="1"/>
  <c r="H37" i="106" s="1"/>
  <c r="H29" i="106" a="1"/>
  <c r="H29" i="106" s="1"/>
  <c r="H22" i="106" a="1"/>
  <c r="H22" i="106" s="1"/>
  <c r="H52" i="106" a="1"/>
  <c r="H52" i="106" s="1"/>
  <c r="H44" i="106" a="1"/>
  <c r="H44" i="106" s="1"/>
  <c r="H36" i="106" a="1"/>
  <c r="H36" i="106" s="1"/>
  <c r="H28" i="106" a="1"/>
  <c r="H28" i="106" s="1"/>
  <c r="H51" i="106" a="1"/>
  <c r="H51" i="106" s="1"/>
  <c r="H42" i="106" a="1"/>
  <c r="H42" i="106" s="1"/>
  <c r="H35" i="106" a="1"/>
  <c r="H35" i="106" s="1"/>
  <c r="H27" i="106" a="1"/>
  <c r="H27" i="106" s="1"/>
  <c r="H50" i="106" a="1"/>
  <c r="H50" i="106" s="1"/>
  <c r="H41" i="106" a="1"/>
  <c r="H41" i="106" s="1"/>
  <c r="H34" i="106" a="1"/>
  <c r="H34" i="106" s="1"/>
  <c r="H26" i="106" a="1"/>
  <c r="H26" i="106" s="1"/>
  <c r="I26" i="106" s="1" a="1"/>
  <c r="I26" i="106" s="1"/>
  <c r="H121" i="106" s="1"/>
  <c r="I121" i="106" s="1"/>
  <c r="K121" i="106" s="1" a="1"/>
  <c r="K121" i="106" s="1"/>
  <c r="H54" i="106" a="1"/>
  <c r="H54" i="106" s="1"/>
  <c r="H46" i="106" a="1"/>
  <c r="H46" i="106" s="1"/>
  <c r="I46" i="106" s="1" a="1"/>
  <c r="I46" i="106" s="1"/>
  <c r="H141" i="106" s="1"/>
  <c r="H38" i="106" a="1"/>
  <c r="H38" i="106" s="1"/>
  <c r="H30" i="106" a="1"/>
  <c r="H30" i="106" s="1"/>
  <c r="H23" i="106" a="1"/>
  <c r="H23" i="106" s="1"/>
  <c r="H47" i="106" a="1"/>
  <c r="H47" i="106" s="1"/>
  <c r="H40" i="106" a="1"/>
  <c r="H40" i="106" s="1"/>
  <c r="H39" i="106" a="1"/>
  <c r="H39" i="106" s="1"/>
  <c r="H33" i="106" a="1"/>
  <c r="H33" i="106" s="1"/>
  <c r="H31" i="106" a="1"/>
  <c r="H31" i="106" s="1"/>
  <c r="H25" i="106" a="1"/>
  <c r="H25" i="106" s="1"/>
  <c r="H24" i="106" a="1"/>
  <c r="H24" i="106" s="1"/>
  <c r="H48" i="106" a="1"/>
  <c r="H48" i="106" s="1"/>
  <c r="E37" i="99" a="1"/>
  <c r="E37" i="99" s="1"/>
  <c r="G37" i="99" s="1" a="1"/>
  <c r="G37" i="99" s="1"/>
  <c r="E30" i="99" a="1"/>
  <c r="E30" i="99" s="1"/>
  <c r="G30" i="99" s="1" a="1"/>
  <c r="G30" i="99" s="1"/>
  <c r="E26" i="99" a="1"/>
  <c r="E26" i="99" s="1"/>
  <c r="G26" i="99" s="1" a="1"/>
  <c r="G26" i="99" s="1"/>
  <c r="E19" i="99" a="1"/>
  <c r="E19" i="99" s="1"/>
  <c r="E22" i="98" a="1"/>
  <c r="E22" i="98" s="1"/>
  <c r="G22" i="98" s="1" a="1"/>
  <c r="G22" i="98" s="1"/>
  <c r="E28" i="98" a="1"/>
  <c r="E28" i="98" s="1"/>
  <c r="G28" i="98" s="1" a="1"/>
  <c r="G28" i="98" s="1"/>
  <c r="G20" i="100"/>
  <c r="I20" i="100" s="1" a="1"/>
  <c r="I20" i="100" s="1"/>
  <c r="I21" i="100" a="1"/>
  <c r="I21" i="100" s="1"/>
  <c r="I22" i="100" a="1"/>
  <c r="I22" i="100" s="1"/>
  <c r="P21" i="98"/>
  <c r="Q29" i="98"/>
  <c r="AE245" i="113" a="1"/>
  <c r="AE245" i="113" s="1"/>
  <c r="AM243" i="113" a="1"/>
  <c r="AM243" i="113" s="1"/>
  <c r="AC236" i="113"/>
  <c r="AE236" i="113" a="1"/>
  <c r="AE236" i="113" s="1"/>
  <c r="AI239" i="113" a="1"/>
  <c r="AI239" i="113" s="1"/>
  <c r="AM242" i="113" a="1"/>
  <c r="AM242" i="113" s="1"/>
  <c r="S238" i="113" a="1"/>
  <c r="S238" i="113" s="1"/>
  <c r="W236" i="113" a="1"/>
  <c r="W236" i="113" s="1"/>
  <c r="AA243" i="113" a="1"/>
  <c r="AA243" i="113" s="1"/>
  <c r="AI241" i="113" a="1"/>
  <c r="AI241" i="113" s="1"/>
  <c r="AI242" i="113" a="1"/>
  <c r="AI242" i="113" s="1"/>
  <c r="AI243" i="113" a="1"/>
  <c r="AI243" i="113" s="1"/>
  <c r="AI240" i="113" a="1"/>
  <c r="AI240" i="113" s="1"/>
  <c r="AM244" i="113" a="1"/>
  <c r="AM244" i="113" s="1"/>
  <c r="AM237" i="113" a="1"/>
  <c r="AM237" i="113" s="1"/>
  <c r="AM239" i="113" a="1"/>
  <c r="AM239" i="113" s="1"/>
  <c r="AI237" i="113" a="1"/>
  <c r="AI237" i="113" s="1"/>
  <c r="AI244" i="113" a="1"/>
  <c r="AI244" i="113" s="1"/>
  <c r="AI238" i="113" a="1"/>
  <c r="AI238" i="113" s="1"/>
  <c r="AE237" i="113" a="1"/>
  <c r="AE237" i="113" s="1"/>
  <c r="AE243" i="113" a="1"/>
  <c r="AE243" i="113" s="1"/>
  <c r="S239" i="113" a="1"/>
  <c r="S239" i="113" s="1"/>
  <c r="AK236" i="113"/>
  <c r="AM236" i="113" s="1" a="1"/>
  <c r="AM236" i="113" s="1"/>
  <c r="AM238" i="113" a="1"/>
  <c r="AM238" i="113" s="1"/>
  <c r="AM245" i="113" a="1"/>
  <c r="AM245" i="113" s="1"/>
  <c r="AG236" i="113"/>
  <c r="AI236" i="113" s="1" a="1"/>
  <c r="AI236" i="113" s="1"/>
  <c r="AE242" i="113" a="1"/>
  <c r="AE242" i="113" s="1"/>
  <c r="AE238" i="113" a="1"/>
  <c r="AE238" i="113" s="1"/>
  <c r="AE244" i="113" a="1"/>
  <c r="AE244" i="113" s="1"/>
  <c r="AE241" i="113" a="1"/>
  <c r="AE241" i="113" s="1"/>
  <c r="AA240" i="113" a="1"/>
  <c r="AA240" i="113" s="1"/>
  <c r="AA237" i="113" a="1"/>
  <c r="AA237" i="113" s="1"/>
  <c r="AA244" i="113" a="1"/>
  <c r="AA244" i="113" s="1"/>
  <c r="AA241" i="113" a="1"/>
  <c r="AA241" i="113" s="1"/>
  <c r="AA245" i="113" a="1"/>
  <c r="AA245" i="113" s="1"/>
  <c r="AA238" i="113" a="1"/>
  <c r="AA238" i="113" s="1"/>
  <c r="W244" i="113" a="1"/>
  <c r="W244" i="113" s="1"/>
  <c r="W238" i="113" a="1"/>
  <c r="W238" i="113" s="1"/>
  <c r="W241" i="113" a="1"/>
  <c r="W241" i="113" s="1"/>
  <c r="S242" i="113" a="1"/>
  <c r="S242" i="113" s="1"/>
  <c r="S237" i="113" a="1"/>
  <c r="S237" i="113" s="1"/>
  <c r="S244" i="113" a="1"/>
  <c r="S244" i="113" s="1"/>
  <c r="S240" i="113" a="1"/>
  <c r="S240" i="113" s="1"/>
  <c r="Q236" i="113"/>
  <c r="S236" i="113" s="1" a="1"/>
  <c r="S236" i="113" s="1"/>
  <c r="AM240" i="113" a="1"/>
  <c r="AM240" i="113" s="1"/>
  <c r="AM241" i="113" a="1"/>
  <c r="AM241" i="113" s="1"/>
  <c r="AI245" i="113" a="1"/>
  <c r="AI245" i="113" s="1"/>
  <c r="AE240" i="113" a="1"/>
  <c r="AE240" i="113" s="1"/>
  <c r="AE239" i="113" a="1"/>
  <c r="AE239" i="113" s="1"/>
  <c r="AA242" i="113" a="1"/>
  <c r="AA242" i="113" s="1"/>
  <c r="Y236" i="113"/>
  <c r="AA236" i="113" s="1" a="1"/>
  <c r="AA236" i="113" s="1"/>
  <c r="AA239" i="113" a="1"/>
  <c r="AA239" i="113" s="1"/>
  <c r="W237" i="113" a="1"/>
  <c r="W237" i="113" s="1"/>
  <c r="W240" i="113" a="1"/>
  <c r="W240" i="113" s="1"/>
  <c r="W243" i="113" a="1"/>
  <c r="W243" i="113" s="1"/>
  <c r="W239" i="113" a="1"/>
  <c r="W239" i="113" s="1"/>
  <c r="W242" i="113" a="1"/>
  <c r="W242" i="113" s="1"/>
  <c r="W245" i="113" a="1"/>
  <c r="W245" i="113" s="1"/>
  <c r="S245" i="113" a="1"/>
  <c r="S245" i="113" s="1"/>
  <c r="S243" i="113" a="1"/>
  <c r="S243" i="113" s="1"/>
  <c r="S241" i="113" a="1"/>
  <c r="S241" i="113" s="1"/>
  <c r="H391" i="113" a="1"/>
  <c r="H391" i="113" s="1"/>
  <c r="G285" i="113" a="1"/>
  <c r="G285" i="113" s="1"/>
  <c r="F128" i="113"/>
  <c r="G128" i="113" s="1" a="1"/>
  <c r="G128" i="113" s="1"/>
  <c r="M26" i="113" a="1"/>
  <c r="M26" i="113" s="1"/>
  <c r="M31" i="113" a="1"/>
  <c r="M31" i="113" s="1"/>
  <c r="N33" i="94" a="1"/>
  <c r="N33" i="94" s="1"/>
  <c r="O27" i="94" a="1"/>
  <c r="O27" i="94" s="1"/>
  <c r="N27" i="94" a="1"/>
  <c r="N27" i="94" s="1"/>
  <c r="N29" i="94" a="1"/>
  <c r="N29" i="94" s="1"/>
  <c r="P37" i="93" a="1"/>
  <c r="P37" i="93" s="1"/>
  <c r="Q38" i="93" a="1"/>
  <c r="Q38" i="93" s="1"/>
  <c r="Q37" i="93" a="1"/>
  <c r="Q37" i="93" s="1"/>
  <c r="Q35" i="93" a="1"/>
  <c r="Q35" i="93" s="1"/>
  <c r="N35" i="93" a="1"/>
  <c r="N35" i="93" s="1"/>
  <c r="O35" i="93" a="1"/>
  <c r="O35" i="93" s="1"/>
  <c r="P35" i="93" a="1"/>
  <c r="P35" i="93" s="1"/>
  <c r="Q29" i="93" a="1"/>
  <c r="Q29" i="93" s="1"/>
  <c r="E487" i="113"/>
  <c r="E488" i="113"/>
  <c r="H388" i="113" a="1"/>
  <c r="H388" i="113" s="1"/>
  <c r="E498" i="113"/>
  <c r="E142" i="113"/>
  <c r="H389" i="113" a="1"/>
  <c r="H389" i="113" s="1"/>
  <c r="E181" i="113"/>
  <c r="H387" i="113" a="1"/>
  <c r="H387" i="113" s="1"/>
  <c r="J27" i="113" a="1"/>
  <c r="J27" i="113" s="1"/>
  <c r="J28" i="113" a="1"/>
  <c r="J28" i="113" s="1"/>
  <c r="E426" i="113"/>
  <c r="F258" i="113" a="1"/>
  <c r="F258" i="113" s="1"/>
  <c r="G258" i="113" s="1" a="1"/>
  <c r="G258" i="113" s="1"/>
  <c r="H261" i="113" a="1"/>
  <c r="H261" i="113" s="1"/>
  <c r="F129" i="113"/>
  <c r="G129" i="113" s="1" a="1"/>
  <c r="G129" i="113" s="1"/>
  <c r="M29" i="113" a="1"/>
  <c r="M29" i="113" s="1"/>
  <c r="F122" i="113"/>
  <c r="G122" i="113" s="1" a="1"/>
  <c r="G122" i="113" s="1"/>
  <c r="J25" i="113" a="1"/>
  <c r="J25" i="113" s="1"/>
  <c r="K260" i="113" a="1"/>
  <c r="K260" i="113" s="1"/>
  <c r="F120" i="113"/>
  <c r="G120" i="113" s="1" a="1"/>
  <c r="G120" i="113" s="1"/>
  <c r="F127" i="113"/>
  <c r="I127" i="113" s="1" a="1"/>
  <c r="I127" i="113" s="1"/>
  <c r="K255" i="113" a="1"/>
  <c r="K255" i="113" s="1"/>
  <c r="E143" i="113"/>
  <c r="E363" i="113"/>
  <c r="F124" i="113"/>
  <c r="I124" i="113" s="1" a="1"/>
  <c r="I124" i="113" s="1"/>
  <c r="E156" i="113"/>
  <c r="F121" i="113"/>
  <c r="G121" i="113" s="1" a="1"/>
  <c r="G121" i="113" s="1"/>
  <c r="F126" i="113"/>
  <c r="I126" i="113" s="1" a="1"/>
  <c r="I126" i="113" s="1"/>
  <c r="H258" i="113" a="1"/>
  <c r="H258" i="113" s="1"/>
  <c r="H253" i="113" a="1"/>
  <c r="H253" i="113" s="1"/>
  <c r="K258" i="113" a="1"/>
  <c r="K258" i="113" s="1"/>
  <c r="E654" i="113"/>
  <c r="F261" i="113" a="1"/>
  <c r="F261" i="113" s="1"/>
  <c r="G261" i="113" s="1" a="1"/>
  <c r="G261" i="113" s="1"/>
  <c r="J383" i="113" a="1"/>
  <c r="J383" i="113" s="1"/>
  <c r="J79" i="113" a="1"/>
  <c r="J79" i="113" s="1"/>
  <c r="G79" i="113" a="1"/>
  <c r="G79" i="113" s="1"/>
  <c r="J451" i="113" a="1"/>
  <c r="J451" i="113" s="1"/>
  <c r="H451" i="113" a="1"/>
  <c r="H451" i="113" s="1"/>
  <c r="E517" i="113"/>
  <c r="F123" i="113"/>
  <c r="K257" i="113" a="1"/>
  <c r="K257" i="113" s="1"/>
  <c r="K252" i="113" a="1"/>
  <c r="K252" i="113" s="1"/>
  <c r="H252" i="113" a="1"/>
  <c r="H252" i="113" s="1"/>
  <c r="F252" i="113" a="1"/>
  <c r="F252" i="113" s="1"/>
  <c r="G252" i="113" s="1" a="1"/>
  <c r="G252" i="113" s="1"/>
  <c r="J454" i="113" a="1"/>
  <c r="J454" i="113" s="1"/>
  <c r="H454" i="113" a="1"/>
  <c r="H454" i="113" s="1"/>
  <c r="H453" i="113" a="1"/>
  <c r="H453" i="113" s="1"/>
  <c r="J453" i="113" a="1"/>
  <c r="J453" i="113" s="1"/>
  <c r="J385" i="113" a="1"/>
  <c r="J385" i="113" s="1"/>
  <c r="M32" i="113" a="1"/>
  <c r="M32" i="113" s="1"/>
  <c r="I120" i="113" a="1"/>
  <c r="I120" i="113" s="1"/>
  <c r="H469" i="113" a="1"/>
  <c r="H469" i="113" s="1"/>
  <c r="J469" i="113" a="1"/>
  <c r="J469" i="113" s="1"/>
  <c r="F256" i="113" a="1"/>
  <c r="F256" i="113" s="1"/>
  <c r="G256" i="113" s="1" a="1"/>
  <c r="G256" i="113" s="1"/>
  <c r="H390" i="113" a="1"/>
  <c r="H390" i="113" s="1"/>
  <c r="K261" i="113" a="1"/>
  <c r="K261" i="113" s="1"/>
  <c r="E636" i="113"/>
  <c r="E657" i="113" s="1"/>
  <c r="G290" i="113" a="1"/>
  <c r="G290" i="113" s="1"/>
  <c r="I290" i="113" a="1"/>
  <c r="I290" i="113" s="1"/>
  <c r="G286" i="113" a="1"/>
  <c r="G286" i="113" s="1"/>
  <c r="I286" i="113" a="1"/>
  <c r="I286" i="113" s="1"/>
  <c r="G292" i="113" a="1"/>
  <c r="G292" i="113" s="1"/>
  <c r="I292" i="113" a="1"/>
  <c r="I292" i="113" s="1"/>
  <c r="H471" i="113" a="1"/>
  <c r="H471" i="113" s="1"/>
  <c r="J471" i="113" a="1"/>
  <c r="J471" i="113" s="1"/>
  <c r="J472" i="113" a="1"/>
  <c r="J472" i="113" s="1"/>
  <c r="H472" i="113" a="1"/>
  <c r="H472" i="113" s="1"/>
  <c r="F260" i="113" a="1"/>
  <c r="F260" i="113" s="1"/>
  <c r="G260" i="113" s="1" a="1"/>
  <c r="G260" i="113" s="1"/>
  <c r="J42" i="113" a="1"/>
  <c r="J42" i="113" s="1"/>
  <c r="G42" i="113" a="1"/>
  <c r="G42" i="113" s="1"/>
  <c r="H260" i="113" a="1"/>
  <c r="H260" i="113" s="1"/>
  <c r="G288" i="113" a="1"/>
  <c r="G288" i="113" s="1"/>
  <c r="I288" i="113" a="1"/>
  <c r="I288" i="113" s="1"/>
  <c r="G61" i="113" a="1"/>
  <c r="G61" i="113" s="1"/>
  <c r="J61" i="113" a="1"/>
  <c r="J61" i="113" s="1"/>
  <c r="G296" i="113" a="1"/>
  <c r="G296" i="113" s="1"/>
  <c r="I296" i="113" a="1"/>
  <c r="I296" i="113" s="1"/>
  <c r="F125" i="113"/>
  <c r="G294" i="113" a="1"/>
  <c r="G294" i="113" s="1"/>
  <c r="I294" i="113" a="1"/>
  <c r="I294" i="113" s="1"/>
  <c r="J321" i="113" a="1"/>
  <c r="J321" i="113" s="1"/>
  <c r="J23" i="113" a="1"/>
  <c r="J23" i="113" s="1"/>
  <c r="M23" i="113" a="1"/>
  <c r="M23" i="113" s="1"/>
  <c r="E155" i="113"/>
  <c r="I30" i="106" a="1"/>
  <c r="I30" i="106" s="1"/>
  <c r="H125" i="106" s="1"/>
  <c r="I45" i="106" a="1"/>
  <c r="I45" i="106" s="1"/>
  <c r="H140" i="106" s="1"/>
  <c r="I31" i="106" a="1"/>
  <c r="I31" i="106" s="1"/>
  <c r="H126" i="106" s="1"/>
  <c r="I126" i="106" s="1"/>
  <c r="K126" i="106" s="1" a="1"/>
  <c r="K126" i="106" s="1"/>
  <c r="I38" i="106" a="1"/>
  <c r="I38" i="106" s="1"/>
  <c r="H133" i="106" s="1"/>
  <c r="I133" i="106" s="1"/>
  <c r="I27" i="106" a="1"/>
  <c r="I27" i="106" s="1"/>
  <c r="H122" i="106" s="1"/>
  <c r="I122" i="106" s="1"/>
  <c r="I53" i="106" a="1"/>
  <c r="I53" i="106" s="1"/>
  <c r="H148" i="106" s="1"/>
  <c r="I39" i="106" a="1"/>
  <c r="I39" i="106" s="1"/>
  <c r="H134" i="106" s="1"/>
  <c r="I134" i="106" s="1"/>
  <c r="K134" i="106" s="1" a="1"/>
  <c r="K134" i="106" s="1"/>
  <c r="I23" i="106" a="1"/>
  <c r="I23" i="106" s="1"/>
  <c r="H118" i="106" s="1"/>
  <c r="I29" i="106" a="1"/>
  <c r="I29" i="106" s="1"/>
  <c r="H124" i="106" s="1"/>
  <c r="I124" i="106" s="1"/>
  <c r="K124" i="106" s="1" a="1"/>
  <c r="K124" i="106" s="1"/>
  <c r="I44" i="106" a="1"/>
  <c r="I44" i="106" s="1"/>
  <c r="H139" i="106" s="1"/>
  <c r="I40" i="106" a="1"/>
  <c r="I40" i="106" s="1"/>
  <c r="H135" i="106" s="1"/>
  <c r="I35" i="106" a="1"/>
  <c r="I35" i="106" s="1"/>
  <c r="H130" i="106" s="1"/>
  <c r="I47" i="106" a="1"/>
  <c r="I47" i="106" s="1"/>
  <c r="H142" i="106" s="1"/>
  <c r="I37" i="106" a="1"/>
  <c r="I37" i="106" s="1"/>
  <c r="H132" i="106" s="1"/>
  <c r="I132" i="106" s="1"/>
  <c r="K132" i="106" s="1" a="1"/>
  <c r="K132" i="106" s="1"/>
  <c r="I24" i="106" a="1"/>
  <c r="I24" i="106" s="1"/>
  <c r="H119" i="106" s="1"/>
  <c r="I119" i="106" s="1"/>
  <c r="K119" i="106" s="1" a="1"/>
  <c r="K119" i="106" s="1"/>
  <c r="I52" i="106" a="1"/>
  <c r="I52" i="106" s="1"/>
  <c r="H147" i="106" s="1"/>
  <c r="I159" i="106"/>
  <c r="K159" i="106" s="1" a="1"/>
  <c r="K159" i="106" s="1"/>
  <c r="I84" i="106" a="1"/>
  <c r="I84" i="106" s="1"/>
  <c r="H182" i="106" s="1"/>
  <c r="I50" i="106" a="1"/>
  <c r="I50" i="106" s="1"/>
  <c r="H145" i="106" s="1"/>
  <c r="I76" i="106" a="1"/>
  <c r="I76" i="106" s="1"/>
  <c r="H174" i="106" s="1"/>
  <c r="I174" i="106" s="1"/>
  <c r="K174" i="106" s="1" a="1"/>
  <c r="K174" i="106" s="1"/>
  <c r="I41" i="106" a="1"/>
  <c r="I41" i="106" s="1"/>
  <c r="H136" i="106" s="1"/>
  <c r="I136" i="106" s="1"/>
  <c r="I42" i="106" a="1"/>
  <c r="I42" i="106" s="1"/>
  <c r="H137" i="106" s="1"/>
  <c r="I137" i="106" s="1"/>
  <c r="K137" i="106" s="1" a="1"/>
  <c r="K137" i="106" s="1"/>
  <c r="I68" i="106" a="1"/>
  <c r="I68" i="106" s="1"/>
  <c r="H166" i="106" s="1"/>
  <c r="I166" i="106" s="1"/>
  <c r="K166" i="106" s="1" a="1"/>
  <c r="K166" i="106" s="1"/>
  <c r="I34" i="106" a="1"/>
  <c r="I34" i="106" s="1"/>
  <c r="H129" i="106" s="1"/>
  <c r="Q30" i="94" a="1"/>
  <c r="Q30" i="94" s="1"/>
  <c r="P28" i="94" a="1"/>
  <c r="P28" i="94" s="1"/>
  <c r="O28" i="94" a="1"/>
  <c r="O28" i="94" s="1"/>
  <c r="N28" i="94" a="1"/>
  <c r="N28" i="94" s="1"/>
  <c r="P35" i="94" a="1"/>
  <c r="P35" i="94" s="1"/>
  <c r="O35" i="94" a="1"/>
  <c r="O35" i="94" s="1"/>
  <c r="N35" i="94" a="1"/>
  <c r="N35" i="94" s="1"/>
  <c r="Q35" i="94" a="1"/>
  <c r="Q35" i="94" s="1"/>
  <c r="P37" i="94" a="1"/>
  <c r="P37" i="94" s="1"/>
  <c r="O37" i="94" a="1"/>
  <c r="O37" i="94" s="1"/>
  <c r="N37" i="94" a="1"/>
  <c r="N37" i="94" s="1"/>
  <c r="P40" i="94" a="1"/>
  <c r="P40" i="94" s="1"/>
  <c r="O40" i="94" a="1"/>
  <c r="O40" i="94" s="1"/>
  <c r="N40" i="94" a="1"/>
  <c r="N40" i="94" s="1"/>
  <c r="P39" i="94" a="1"/>
  <c r="P39" i="94" s="1"/>
  <c r="O39" i="94" a="1"/>
  <c r="O39" i="94" s="1"/>
  <c r="N39" i="94" a="1"/>
  <c r="N39" i="94" s="1"/>
  <c r="P26" i="94" a="1"/>
  <c r="P26" i="94" s="1"/>
  <c r="N38" i="94" a="1"/>
  <c r="N38" i="94" s="1"/>
  <c r="Q38" i="94" a="1"/>
  <c r="Q38" i="94" s="1"/>
  <c r="Q33" i="94" a="1"/>
  <c r="Q33" i="94" s="1"/>
  <c r="Q39" i="94" a="1"/>
  <c r="Q39" i="94" s="1"/>
  <c r="Q40" i="94" a="1"/>
  <c r="Q40" i="94" s="1"/>
  <c r="O31" i="94" a="1"/>
  <c r="O31" i="94" s="1"/>
  <c r="N31" i="94" a="1"/>
  <c r="N31" i="94" s="1"/>
  <c r="Q31" i="94" a="1"/>
  <c r="Q31" i="94" s="1"/>
  <c r="P25" i="94" a="1"/>
  <c r="P25" i="94" s="1"/>
  <c r="N25" i="94" a="1"/>
  <c r="N25" i="94" s="1"/>
  <c r="P27" i="94" a="1"/>
  <c r="P27" i="94" s="1"/>
  <c r="Q37" i="94" a="1"/>
  <c r="Q37" i="94" s="1"/>
  <c r="O33" i="94" a="1"/>
  <c r="O33" i="94" s="1"/>
  <c r="P32" i="94" a="1"/>
  <c r="P32" i="94" s="1"/>
  <c r="O32" i="94" a="1"/>
  <c r="O32" i="94" s="1"/>
  <c r="N32" i="94" a="1"/>
  <c r="N32" i="94" s="1"/>
  <c r="O36" i="94" a="1"/>
  <c r="O36" i="94" s="1"/>
  <c r="N36" i="94" a="1"/>
  <c r="N36" i="94" s="1"/>
  <c r="Q36" i="94" a="1"/>
  <c r="Q36" i="94" s="1"/>
  <c r="P36" i="94" a="1"/>
  <c r="P36" i="94" s="1"/>
  <c r="P29" i="93" a="1"/>
  <c r="P29" i="93" s="1"/>
  <c r="O29" i="93" a="1"/>
  <c r="O29" i="93" s="1"/>
  <c r="N29" i="93" a="1"/>
  <c r="N29" i="93" s="1"/>
  <c r="N30" i="93" a="1"/>
  <c r="N30" i="93" s="1"/>
  <c r="N37" i="93" a="1"/>
  <c r="N37" i="93" s="1"/>
  <c r="N36" i="93" a="1"/>
  <c r="N36" i="93" s="1"/>
  <c r="Q36" i="93" a="1"/>
  <c r="Q36" i="93" s="1"/>
  <c r="P36" i="93" a="1"/>
  <c r="P36" i="93" s="1"/>
  <c r="O36" i="93" a="1"/>
  <c r="O36" i="93" s="1"/>
  <c r="O30" i="93" a="1"/>
  <c r="O30" i="93" s="1"/>
  <c r="N27" i="93" a="1"/>
  <c r="N27" i="93" s="1"/>
  <c r="Q27" i="93" a="1"/>
  <c r="Q27" i="93" s="1"/>
  <c r="P27" i="93" a="1"/>
  <c r="P27" i="93" s="1"/>
  <c r="O27" i="93" a="1"/>
  <c r="O27" i="93" s="1"/>
  <c r="P30" i="93" a="1"/>
  <c r="P30" i="93" s="1"/>
  <c r="N39" i="93" a="1"/>
  <c r="N39" i="93" s="1"/>
  <c r="Q26" i="93" a="1"/>
  <c r="Q26" i="93" s="1"/>
  <c r="P26" i="93" a="1"/>
  <c r="P26" i="93" s="1"/>
  <c r="O26" i="93" a="1"/>
  <c r="O26" i="93" s="1"/>
  <c r="N26" i="93" a="1"/>
  <c r="N26" i="93" s="1"/>
  <c r="O39" i="93" a="1"/>
  <c r="O39" i="93" s="1"/>
  <c r="Q31" i="93" a="1"/>
  <c r="Q31" i="93" s="1"/>
  <c r="P28" i="93" a="1"/>
  <c r="P28" i="93" s="1"/>
  <c r="O28" i="93" a="1"/>
  <c r="O28" i="93" s="1"/>
  <c r="N28" i="93" a="1"/>
  <c r="N28" i="93" s="1"/>
  <c r="Q28" i="93" a="1"/>
  <c r="Q28" i="93" s="1"/>
  <c r="P33" i="93" a="1"/>
  <c r="P33" i="93" s="1"/>
  <c r="E51" i="93" s="1"/>
  <c r="O33" i="93" a="1"/>
  <c r="O33" i="93" s="1"/>
  <c r="E50" i="93" s="1"/>
  <c r="N33" i="93" a="1"/>
  <c r="N33" i="93" s="1"/>
  <c r="E49" i="93" s="1"/>
  <c r="Q33" i="93" a="1"/>
  <c r="Q33" i="93" s="1"/>
  <c r="E52" i="93" s="1"/>
  <c r="N38" i="93" a="1"/>
  <c r="N38" i="93" s="1"/>
  <c r="O38" i="93" a="1"/>
  <c r="O38" i="93" s="1"/>
  <c r="O32" i="93" a="1"/>
  <c r="O32" i="93" s="1"/>
  <c r="N32" i="93" a="1"/>
  <c r="N32" i="93" s="1"/>
  <c r="P32" i="93" a="1"/>
  <c r="P32" i="93" s="1"/>
  <c r="N25" i="93" a="1"/>
  <c r="N25" i="93" s="1"/>
  <c r="Q34" i="93" a="1"/>
  <c r="Q34" i="93" s="1"/>
  <c r="P34" i="93" a="1"/>
  <c r="P34" i="93" s="1"/>
  <c r="O34" i="93" a="1"/>
  <c r="O34" i="93" s="1"/>
  <c r="N34" i="93" a="1"/>
  <c r="N34" i="93" s="1"/>
  <c r="O25" i="93" a="1"/>
  <c r="O25" i="93" s="1"/>
  <c r="Q32" i="93" a="1"/>
  <c r="Q32" i="93" s="1"/>
  <c r="P25" i="93" a="1"/>
  <c r="P25" i="93" s="1"/>
  <c r="E63" i="93"/>
  <c r="P31" i="93" a="1"/>
  <c r="P31" i="93" s="1"/>
  <c r="O31" i="93" a="1"/>
  <c r="O31" i="93" s="1"/>
  <c r="N31" i="93" a="1"/>
  <c r="N31" i="93" s="1"/>
  <c r="P20" i="88"/>
  <c r="G20" i="88"/>
  <c r="F77" i="72"/>
  <c r="F76" i="72"/>
  <c r="F75" i="72"/>
  <c r="E77" i="72"/>
  <c r="E76" i="72"/>
  <c r="E75" i="72"/>
  <c r="G54" i="80"/>
  <c r="F56" i="80"/>
  <c r="F54" i="80"/>
  <c r="F55" i="80" s="1"/>
  <c r="F48" i="80"/>
  <c r="F46" i="80"/>
  <c r="I177" i="106" l="1"/>
  <c r="K177" i="106" s="1" a="1"/>
  <c r="K177" i="106" s="1"/>
  <c r="K133" i="106" a="1"/>
  <c r="K133" i="106" s="1"/>
  <c r="I328" i="113" a="1"/>
  <c r="I328" i="113" s="1"/>
  <c r="J323" i="113" a="1"/>
  <c r="J323" i="113" s="1"/>
  <c r="K253" i="113" a="1"/>
  <c r="K253" i="113" s="1"/>
  <c r="F254" i="113" a="1"/>
  <c r="F254" i="113" s="1"/>
  <c r="G254" i="113" s="1" a="1"/>
  <c r="G254" i="113" s="1"/>
  <c r="E25" i="99" a="1"/>
  <c r="E25" i="99" s="1"/>
  <c r="G25" i="99" s="1" a="1"/>
  <c r="G25" i="99" s="1"/>
  <c r="E21" i="99" a="1"/>
  <c r="E21" i="99" s="1"/>
  <c r="G21" i="99" s="1" a="1"/>
  <c r="G21" i="99" s="1"/>
  <c r="E25" i="98" a="1"/>
  <c r="E25" i="98" s="1"/>
  <c r="G25" i="98" s="1" a="1"/>
  <c r="G25" i="98" s="1"/>
  <c r="I89" i="106" a="1"/>
  <c r="I89" i="106" s="1"/>
  <c r="H187" i="106" s="1"/>
  <c r="I85" i="106" a="1"/>
  <c r="I85" i="106" s="1"/>
  <c r="H183" i="106" s="1"/>
  <c r="K136" i="106" a="1"/>
  <c r="K136" i="106" s="1"/>
  <c r="I135" i="106"/>
  <c r="K135" i="106" s="1" a="1"/>
  <c r="K135" i="106" s="1"/>
  <c r="J328" i="113" a="1"/>
  <c r="J328" i="113" s="1"/>
  <c r="I327" i="113" a="1"/>
  <c r="I327" i="113" s="1"/>
  <c r="F259" i="113" a="1"/>
  <c r="F259" i="113" s="1"/>
  <c r="G259" i="113" s="1" a="1"/>
  <c r="G259" i="113" s="1"/>
  <c r="E32" i="99" a="1"/>
  <c r="E32" i="99" s="1"/>
  <c r="G32" i="99" s="1" a="1"/>
  <c r="G32" i="99" s="1"/>
  <c r="E28" i="99" a="1"/>
  <c r="E28" i="99" s="1"/>
  <c r="G28" i="99" s="1" a="1"/>
  <c r="G28" i="99" s="1"/>
  <c r="E32" i="98" a="1"/>
  <c r="E32" i="98" s="1"/>
  <c r="G32" i="98" s="1" a="1"/>
  <c r="G32" i="98" s="1"/>
  <c r="O21" i="98"/>
  <c r="Q24" i="98"/>
  <c r="Q22" i="98"/>
  <c r="Q23" i="98"/>
  <c r="Q27" i="98"/>
  <c r="Q25" i="98"/>
  <c r="Q26" i="98"/>
  <c r="Q30" i="98"/>
  <c r="Q28" i="98"/>
  <c r="I60" i="106" a="1"/>
  <c r="I60" i="106" s="1"/>
  <c r="H158" i="106" s="1"/>
  <c r="I158" i="106" s="1"/>
  <c r="K158" i="106" s="1" a="1"/>
  <c r="K158" i="106" s="1"/>
  <c r="N34" i="94" a="1"/>
  <c r="N34" i="94" s="1"/>
  <c r="I329" i="113" a="1"/>
  <c r="I329" i="113" s="1"/>
  <c r="E33" i="98" a="1"/>
  <c r="E33" i="98" s="1"/>
  <c r="G33" i="98" s="1" a="1"/>
  <c r="G33" i="98" s="1"/>
  <c r="E33" i="102" s="1"/>
  <c r="H33" i="102" s="1" a="1"/>
  <c r="H33" i="102" s="1"/>
  <c r="E73" i="102" s="1"/>
  <c r="E35" i="99" a="1"/>
  <c r="E35" i="99" s="1"/>
  <c r="G35" i="99" s="1" a="1"/>
  <c r="G35" i="99" s="1"/>
  <c r="E23" i="99" a="1"/>
  <c r="E23" i="99" s="1"/>
  <c r="G23" i="99" s="1" a="1"/>
  <c r="G23" i="99" s="1"/>
  <c r="G116" i="106" a="1"/>
  <c r="G116" i="106" s="1"/>
  <c r="G21" i="106" a="1"/>
  <c r="G21" i="106" s="1"/>
  <c r="I21" i="106" s="1" a="1"/>
  <c r="I21" i="106" s="1"/>
  <c r="H116" i="106" s="1"/>
  <c r="G157" i="106" a="1"/>
  <c r="G157" i="106" s="1"/>
  <c r="O11" i="98" a="1"/>
  <c r="I67" i="106" a="1"/>
  <c r="I67" i="106" s="1"/>
  <c r="H165" i="106" s="1"/>
  <c r="I165" i="106" s="1"/>
  <c r="K165" i="106" s="1" a="1"/>
  <c r="K165" i="106" s="1"/>
  <c r="I322" i="113" a="1"/>
  <c r="I322" i="113" s="1"/>
  <c r="E19" i="98" a="1"/>
  <c r="E19" i="98" s="1"/>
  <c r="G19" i="98" s="1" a="1"/>
  <c r="G19" i="98" s="1"/>
  <c r="E36" i="98" a="1"/>
  <c r="E36" i="98" s="1"/>
  <c r="G36" i="98" s="1" a="1"/>
  <c r="G36" i="98" s="1"/>
  <c r="E24" i="98" a="1"/>
  <c r="E24" i="98" s="1"/>
  <c r="G24" i="98" s="1" a="1"/>
  <c r="G24" i="98" s="1"/>
  <c r="E28" i="103" s="1"/>
  <c r="O29" i="94" a="1"/>
  <c r="O29" i="94" s="1"/>
  <c r="P29" i="94" a="1"/>
  <c r="P29" i="94" s="1"/>
  <c r="E31" i="98" a="1"/>
  <c r="E31" i="98" s="1"/>
  <c r="G31" i="98" s="1" a="1"/>
  <c r="G31" i="98" s="1"/>
  <c r="E35" i="103" s="1"/>
  <c r="I64" i="106" a="1"/>
  <c r="I64" i="106" s="1"/>
  <c r="H162" i="106" s="1"/>
  <c r="I162" i="106" s="1"/>
  <c r="K162" i="106" s="1" a="1"/>
  <c r="K162" i="106" s="1"/>
  <c r="D20" i="84"/>
  <c r="D30" i="84" s="1" a="1"/>
  <c r="D30" i="84" s="1"/>
  <c r="D54" i="84" s="1" a="1"/>
  <c r="D54" i="84" s="1"/>
  <c r="D83" i="84" s="1" a="1"/>
  <c r="D83" i="84" s="1"/>
  <c r="E129" i="84" s="1" a="1"/>
  <c r="E129" i="84" s="1"/>
  <c r="E30" i="84" a="1"/>
  <c r="E30" i="84" s="1"/>
  <c r="E54" i="84" s="1" a="1"/>
  <c r="E54" i="84" s="1"/>
  <c r="E83" i="84" s="1" a="1"/>
  <c r="E83" i="84" s="1"/>
  <c r="F30" i="84" a="1"/>
  <c r="F30" i="84" s="1"/>
  <c r="F54" i="84" s="1" a="1"/>
  <c r="F54" i="84" s="1"/>
  <c r="F83" i="84" s="1" a="1"/>
  <c r="F83" i="84" s="1"/>
  <c r="E236" i="113" a="1"/>
  <c r="I125" i="106"/>
  <c r="K125" i="106" s="1" a="1"/>
  <c r="K125" i="106" s="1"/>
  <c r="K254" i="113" a="1"/>
  <c r="K254" i="113" s="1"/>
  <c r="E20" i="99" a="1"/>
  <c r="E20" i="99" s="1"/>
  <c r="G20" i="99" s="1" a="1"/>
  <c r="G20" i="99" s="1"/>
  <c r="J325" i="113" a="1"/>
  <c r="J325" i="113" s="1"/>
  <c r="E72" i="113"/>
  <c r="F257" i="113" a="1"/>
  <c r="F257" i="113" s="1"/>
  <c r="G257" i="113" s="1" a="1"/>
  <c r="G257" i="113" s="1"/>
  <c r="H256" i="113" a="1"/>
  <c r="H256" i="113" s="1"/>
  <c r="E27" i="99" a="1"/>
  <c r="E27" i="99" s="1"/>
  <c r="G27" i="99" s="1" a="1"/>
  <c r="G27" i="99" s="1"/>
  <c r="E22" i="99" a="1"/>
  <c r="E22" i="99" s="1"/>
  <c r="G22" i="99" s="1" a="1"/>
  <c r="G22" i="99" s="1"/>
  <c r="Q30" i="84" a="1"/>
  <c r="Q30" i="84" s="1"/>
  <c r="Q54" i="84" s="1" a="1"/>
  <c r="Q54" i="84" s="1"/>
  <c r="Q83" i="84" s="1" a="1"/>
  <c r="Q83" i="84" s="1"/>
  <c r="P30" i="84" a="1"/>
  <c r="P30" i="84" s="1"/>
  <c r="P54" i="84" s="1" a="1"/>
  <c r="P54" i="84" s="1"/>
  <c r="P83" i="84" s="1" a="1"/>
  <c r="P83" i="84" s="1"/>
  <c r="O20" i="84"/>
  <c r="O30" i="84" s="1" a="1"/>
  <c r="O30" i="84" s="1"/>
  <c r="O54" i="84" s="1" a="1"/>
  <c r="O54" i="84" s="1"/>
  <c r="O83" i="84" s="1" a="1"/>
  <c r="O83" i="84" s="1"/>
  <c r="P129" i="84" s="1" a="1"/>
  <c r="P129" i="84" s="1"/>
  <c r="I72" i="106" a="1"/>
  <c r="I72" i="106" s="1"/>
  <c r="H170" i="106" s="1"/>
  <c r="I168" i="106" s="1"/>
  <c r="K168" i="106" s="1" a="1"/>
  <c r="K168" i="106" s="1"/>
  <c r="D20" i="83"/>
  <c r="D30" i="83" s="1" a="1"/>
  <c r="D30" i="83" s="1"/>
  <c r="E30" i="83" a="1"/>
  <c r="E30" i="83" s="1"/>
  <c r="F30" i="83" a="1"/>
  <c r="F30" i="83" s="1"/>
  <c r="E29" i="98" a="1"/>
  <c r="E29" i="98" s="1"/>
  <c r="G29" i="98" s="1" a="1"/>
  <c r="G29" i="98" s="1"/>
  <c r="J324" i="113" a="1"/>
  <c r="J324" i="113" s="1"/>
  <c r="I325" i="113" a="1"/>
  <c r="I325" i="113" s="1"/>
  <c r="E73" i="113"/>
  <c r="I321" i="113" a="1"/>
  <c r="I321" i="113" s="1"/>
  <c r="E90" i="113"/>
  <c r="I128" i="113" a="1"/>
  <c r="I128" i="113" s="1"/>
  <c r="E24" i="99" a="1"/>
  <c r="E24" i="99" s="1"/>
  <c r="G24" i="99" s="1" a="1"/>
  <c r="G24" i="99" s="1"/>
  <c r="E34" i="99" a="1"/>
  <c r="E34" i="99" s="1"/>
  <c r="G34" i="99" s="1" a="1"/>
  <c r="G34" i="99" s="1"/>
  <c r="E29" i="99" a="1"/>
  <c r="E29" i="99" s="1"/>
  <c r="G29" i="99" s="1" a="1"/>
  <c r="G29" i="99" s="1"/>
  <c r="I51" i="106" a="1"/>
  <c r="I51" i="106" s="1"/>
  <c r="H146" i="106" s="1"/>
  <c r="O30" i="83" a="1"/>
  <c r="O30" i="83" s="1"/>
  <c r="N30" i="83" a="1"/>
  <c r="N30" i="83" s="1"/>
  <c r="M20" i="83"/>
  <c r="M30" i="83" s="1" a="1"/>
  <c r="M30" i="83" s="1"/>
  <c r="Q34" i="94" a="1"/>
  <c r="Q34" i="94" s="1"/>
  <c r="I79" i="106" a="1"/>
  <c r="I79" i="106" s="1"/>
  <c r="H177" i="106" s="1"/>
  <c r="D20" i="88"/>
  <c r="D35" i="88" s="1" a="1"/>
  <c r="D35" i="88" s="1"/>
  <c r="D65" i="88" s="1" a="1"/>
  <c r="D65" i="88" s="1"/>
  <c r="E67" i="88" s="1"/>
  <c r="E35" i="88" a="1"/>
  <c r="E35" i="88" s="1"/>
  <c r="E65" i="88" s="1" a="1"/>
  <c r="E65" i="88" s="1"/>
  <c r="F35" i="88" a="1"/>
  <c r="F35" i="88" s="1"/>
  <c r="F65" i="88" s="1" a="1"/>
  <c r="F65" i="88" s="1"/>
  <c r="J326" i="113" a="1"/>
  <c r="J326" i="113" s="1"/>
  <c r="E91" i="113"/>
  <c r="E21" i="98" a="1"/>
  <c r="E21" i="98" s="1"/>
  <c r="G21" i="98" s="1" a="1"/>
  <c r="G21" i="98" s="1"/>
  <c r="E25" i="103" s="1"/>
  <c r="E35" i="98" a="1"/>
  <c r="E35" i="98" s="1"/>
  <c r="G35" i="98" s="1" a="1"/>
  <c r="G35" i="98" s="1"/>
  <c r="E35" i="102" s="1"/>
  <c r="H35" i="102" s="1" a="1"/>
  <c r="H35" i="102" s="1"/>
  <c r="E75" i="102" s="1"/>
  <c r="E36" i="99" a="1"/>
  <c r="E36" i="99" s="1"/>
  <c r="G36" i="99" s="1" a="1"/>
  <c r="G36" i="99" s="1"/>
  <c r="F255" i="113" a="1"/>
  <c r="F255" i="113" s="1"/>
  <c r="G255" i="113" s="1" a="1"/>
  <c r="G255" i="113" s="1"/>
  <c r="M20" i="88"/>
  <c r="M35" i="88" s="1" a="1"/>
  <c r="M35" i="88" s="1"/>
  <c r="M65" i="88" s="1" a="1"/>
  <c r="M65" i="88" s="1"/>
  <c r="N67" i="88" s="1"/>
  <c r="F9" i="13" s="1" a="1"/>
  <c r="F9" i="13" s="1"/>
  <c r="N35" i="88" a="1"/>
  <c r="N35" i="88" s="1"/>
  <c r="N65" i="88" s="1" a="1"/>
  <c r="N65" i="88" s="1"/>
  <c r="O35" i="88" a="1"/>
  <c r="O35" i="88" s="1"/>
  <c r="O65" i="88" s="1" a="1"/>
  <c r="O65" i="88" s="1"/>
  <c r="Q27" i="94" a="1"/>
  <c r="Q27" i="94" s="1"/>
  <c r="I88" i="106" a="1"/>
  <c r="I88" i="106" s="1"/>
  <c r="H186" i="106" s="1"/>
  <c r="I92" i="106" a="1"/>
  <c r="I92" i="106" s="1"/>
  <c r="H190" i="106" s="1"/>
  <c r="I323" i="113" a="1"/>
  <c r="I323" i="113" s="1"/>
  <c r="O34" i="94" a="1"/>
  <c r="O34" i="94" s="1"/>
  <c r="J322" i="113" a="1"/>
  <c r="J322" i="113" s="1"/>
  <c r="E26" i="98" a="1"/>
  <c r="E26" i="98" s="1"/>
  <c r="G26" i="98" s="1" a="1"/>
  <c r="G26" i="98" s="1"/>
  <c r="E30" i="103" s="1"/>
  <c r="E23" i="98" a="1"/>
  <c r="E23" i="98" s="1"/>
  <c r="G23" i="98" s="1" a="1"/>
  <c r="G23" i="98" s="1"/>
  <c r="E23" i="102" s="1"/>
  <c r="H23" i="102" s="1" a="1"/>
  <c r="H23" i="102" s="1"/>
  <c r="E63" i="102" s="1"/>
  <c r="E31" i="99" a="1"/>
  <c r="E31" i="99" s="1"/>
  <c r="G31" i="99" s="1" a="1"/>
  <c r="G31" i="99" s="1"/>
  <c r="I48" i="106" a="1"/>
  <c r="I48" i="106" s="1"/>
  <c r="H143" i="106" s="1"/>
  <c r="I138" i="106" s="1"/>
  <c r="K138" i="106" s="1" a="1"/>
  <c r="K138" i="106" s="1"/>
  <c r="I65" i="106" a="1"/>
  <c r="I65" i="106" s="1"/>
  <c r="H163" i="106" s="1"/>
  <c r="I163" i="106" s="1"/>
  <c r="K163" i="106" s="1" a="1"/>
  <c r="K163" i="106" s="1"/>
  <c r="I62" i="106" a="1"/>
  <c r="I62" i="106" s="1"/>
  <c r="H160" i="106" s="1"/>
  <c r="I160" i="106" s="1"/>
  <c r="K160" i="106" s="1" a="1"/>
  <c r="K160" i="106" s="1"/>
  <c r="I324" i="113" a="1"/>
  <c r="I324" i="113" s="1"/>
  <c r="I326" i="113" a="1"/>
  <c r="I326" i="113" s="1"/>
  <c r="E53" i="113"/>
  <c r="E27" i="98" a="1"/>
  <c r="E27" i="98" s="1"/>
  <c r="G27" i="98" s="1" a="1"/>
  <c r="G27" i="98" s="1"/>
  <c r="E31" i="103" s="1"/>
  <c r="E30" i="98" a="1"/>
  <c r="E30" i="98" s="1"/>
  <c r="G30" i="98" s="1" a="1"/>
  <c r="G30" i="98" s="1"/>
  <c r="E34" i="103" s="1"/>
  <c r="E33" i="99" a="1"/>
  <c r="E33" i="99" s="1"/>
  <c r="G33" i="99" s="1" a="1"/>
  <c r="G33" i="99" s="1"/>
  <c r="I73" i="106" a="1"/>
  <c r="I73" i="106" s="1"/>
  <c r="H171" i="106" s="1"/>
  <c r="I69" i="106" a="1"/>
  <c r="I69" i="106" s="1"/>
  <c r="H167" i="106" s="1"/>
  <c r="I167" i="106" s="1"/>
  <c r="K167" i="106" s="1" a="1"/>
  <c r="K167" i="106" s="1"/>
  <c r="I118" i="106"/>
  <c r="K118" i="106" s="1" a="1"/>
  <c r="K118" i="106" s="1"/>
  <c r="K122" i="106" a="1"/>
  <c r="K122" i="106" s="1"/>
  <c r="J327" i="113" a="1"/>
  <c r="J327" i="113" s="1"/>
  <c r="J329" i="113" a="1"/>
  <c r="J329" i="113" s="1"/>
  <c r="E54" i="113"/>
  <c r="E34" i="98" a="1"/>
  <c r="E34" i="98" s="1"/>
  <c r="G34" i="98" s="1" a="1"/>
  <c r="G34" i="98" s="1"/>
  <c r="E37" i="98" a="1"/>
  <c r="E37" i="98" s="1"/>
  <c r="G37" i="98" s="1" a="1"/>
  <c r="G37" i="98" s="1"/>
  <c r="I80" i="106" a="1"/>
  <c r="I80" i="106" s="1"/>
  <c r="H178" i="106" s="1"/>
  <c r="I178" i="106" s="1"/>
  <c r="K178" i="106" s="1" a="1"/>
  <c r="K178" i="106" s="1"/>
  <c r="I77" i="106" a="1"/>
  <c r="I77" i="106" s="1"/>
  <c r="H175" i="106" s="1"/>
  <c r="I175" i="106" s="1"/>
  <c r="K175" i="106" s="1" a="1"/>
  <c r="K175" i="106" s="1"/>
  <c r="E38" i="103"/>
  <c r="E34" i="102"/>
  <c r="H34" i="102" s="1" a="1"/>
  <c r="H34" i="102" s="1"/>
  <c r="E74" i="102" s="1"/>
  <c r="E36" i="102"/>
  <c r="H36" i="102" s="1" a="1"/>
  <c r="H36" i="102" s="1"/>
  <c r="E76" i="102" s="1"/>
  <c r="E40" i="103"/>
  <c r="E36" i="103"/>
  <c r="E32" i="102"/>
  <c r="H32" i="102" s="1" a="1"/>
  <c r="H32" i="102" s="1"/>
  <c r="E72" i="102" s="1"/>
  <c r="E102" i="102"/>
  <c r="F102" i="102" s="1" a="1"/>
  <c r="F102" i="102" s="1"/>
  <c r="E134" i="102" s="1"/>
  <c r="E65" i="103"/>
  <c r="E32" i="100"/>
  <c r="K44" i="100" s="1"/>
  <c r="E103" i="102"/>
  <c r="F103" i="102" s="1" a="1"/>
  <c r="F103" i="102" s="1"/>
  <c r="E135" i="102" s="1"/>
  <c r="E66" i="103"/>
  <c r="E37" i="102"/>
  <c r="H37" i="102" s="1" a="1"/>
  <c r="H37" i="102" s="1"/>
  <c r="E77" i="102" s="1"/>
  <c r="E41" i="103"/>
  <c r="E20" i="102"/>
  <c r="H20" i="102" s="1" a="1"/>
  <c r="H20" i="102" s="1"/>
  <c r="E60" i="102" s="1"/>
  <c r="E24" i="103"/>
  <c r="E28" i="102"/>
  <c r="H28" i="102" s="1" a="1"/>
  <c r="H28" i="102" s="1"/>
  <c r="E68" i="102" s="1"/>
  <c r="E32" i="103"/>
  <c r="E29" i="103"/>
  <c r="E25" i="102"/>
  <c r="H25" i="102" s="1" a="1"/>
  <c r="H25" i="102" s="1"/>
  <c r="E65" i="102" s="1"/>
  <c r="N34" i="98"/>
  <c r="Q21" i="98"/>
  <c r="E22" i="102"/>
  <c r="H22" i="102" s="1" a="1"/>
  <c r="H22" i="102" s="1"/>
  <c r="E62" i="102" s="1"/>
  <c r="E26" i="103"/>
  <c r="E67" i="103"/>
  <c r="E104" i="102"/>
  <c r="F104" i="102" s="1" a="1"/>
  <c r="F104" i="102" s="1"/>
  <c r="E136" i="102" s="1"/>
  <c r="E29" i="102"/>
  <c r="H29" i="102" s="1" a="1"/>
  <c r="H29" i="102" s="1"/>
  <c r="E69" i="102" s="1"/>
  <c r="E33" i="103"/>
  <c r="E23" i="103"/>
  <c r="E19" i="102"/>
  <c r="H19" i="102" s="1" a="1"/>
  <c r="H19" i="102" s="1"/>
  <c r="E59" i="102" s="1"/>
  <c r="F244" i="113" a="1"/>
  <c r="F244" i="113" s="1"/>
  <c r="G244" i="113" s="1" a="1"/>
  <c r="G244" i="113" s="1"/>
  <c r="H241" i="113" a="1"/>
  <c r="H241" i="113" s="1"/>
  <c r="K238" i="113" a="1"/>
  <c r="K238" i="113" s="1"/>
  <c r="H238" i="113" a="1"/>
  <c r="H238" i="113" s="1"/>
  <c r="H237" i="113" a="1"/>
  <c r="H237" i="113" s="1"/>
  <c r="K237" i="113" a="1"/>
  <c r="K237" i="113" s="1"/>
  <c r="F241" i="113" a="1"/>
  <c r="F241" i="113" s="1"/>
  <c r="G241" i="113" s="1" a="1"/>
  <c r="G241" i="113" s="1"/>
  <c r="H244" i="113" a="1"/>
  <c r="H244" i="113" s="1"/>
  <c r="F238" i="113" a="1"/>
  <c r="F238" i="113" s="1"/>
  <c r="G238" i="113" s="1" a="1"/>
  <c r="G238" i="113" s="1"/>
  <c r="H240" i="113" a="1"/>
  <c r="H240" i="113" s="1"/>
  <c r="K244" i="113" a="1"/>
  <c r="K244" i="113" s="1"/>
  <c r="H239" i="113" a="1"/>
  <c r="H239" i="113" s="1"/>
  <c r="H243" i="113" a="1"/>
  <c r="H243" i="113" s="1"/>
  <c r="K239" i="113" a="1"/>
  <c r="K239" i="113" s="1"/>
  <c r="K241" i="113" a="1"/>
  <c r="K241" i="113" s="1"/>
  <c r="K243" i="113" a="1"/>
  <c r="K243" i="113" s="1"/>
  <c r="K242" i="113" a="1"/>
  <c r="K242" i="113" s="1"/>
  <c r="F245" i="113" a="1"/>
  <c r="F245" i="113" s="1"/>
  <c r="G245" i="113" s="1" a="1"/>
  <c r="G245" i="113" s="1"/>
  <c r="F243" i="113" a="1"/>
  <c r="F243" i="113" s="1"/>
  <c r="G243" i="113" s="1" a="1"/>
  <c r="G243" i="113" s="1"/>
  <c r="F237" i="113" a="1"/>
  <c r="F237" i="113" s="1"/>
  <c r="G237" i="113" s="1" a="1"/>
  <c r="G237" i="113" s="1"/>
  <c r="H242" i="113" a="1"/>
  <c r="H242" i="113" s="1"/>
  <c r="H245" i="113" a="1"/>
  <c r="H245" i="113" s="1"/>
  <c r="F242" i="113" a="1"/>
  <c r="F242" i="113" s="1"/>
  <c r="G242" i="113" s="1" a="1"/>
  <c r="G242" i="113" s="1"/>
  <c r="F239" i="113" a="1"/>
  <c r="F239" i="113" s="1"/>
  <c r="G239" i="113" s="1" a="1"/>
  <c r="G239" i="113" s="1"/>
  <c r="K245" i="113" a="1"/>
  <c r="K245" i="113" s="1"/>
  <c r="F240" i="113" a="1"/>
  <c r="F240" i="113" s="1"/>
  <c r="G240" i="113" s="1" a="1"/>
  <c r="G240" i="113" s="1"/>
  <c r="K240" i="113" a="1"/>
  <c r="K240" i="113" s="1"/>
  <c r="G126" i="113" a="1"/>
  <c r="G126" i="113" s="1"/>
  <c r="E64" i="93"/>
  <c r="E34" i="113"/>
  <c r="E93" i="113" s="1"/>
  <c r="E393" i="113"/>
  <c r="G124" i="113" a="1"/>
  <c r="G124" i="113" s="1"/>
  <c r="G127" i="113" a="1"/>
  <c r="G127" i="113" s="1"/>
  <c r="E394" i="113"/>
  <c r="E456" i="113"/>
  <c r="I129" i="113" a="1"/>
  <c r="I129" i="113" s="1"/>
  <c r="E35" i="113"/>
  <c r="E457" i="113"/>
  <c r="E298" i="113"/>
  <c r="E475" i="113"/>
  <c r="E474" i="113"/>
  <c r="F236" i="113" a="1"/>
  <c r="F236" i="113" s="1"/>
  <c r="E299" i="113"/>
  <c r="I320" i="113" a="1"/>
  <c r="I320" i="113" s="1"/>
  <c r="J320" i="113" a="1"/>
  <c r="J320" i="113" s="1"/>
  <c r="I123" i="113" a="1"/>
  <c r="I123" i="113" s="1"/>
  <c r="G123" i="113" a="1"/>
  <c r="G123" i="113" s="1"/>
  <c r="G125" i="113" a="1"/>
  <c r="G125" i="113" s="1"/>
  <c r="I125" i="113" a="1"/>
  <c r="I125" i="113" s="1"/>
  <c r="I144" i="106"/>
  <c r="K144" i="106" s="1" a="1"/>
  <c r="K144" i="106" s="1"/>
  <c r="I127" i="106"/>
  <c r="K127" i="106" s="1" a="1"/>
  <c r="K127" i="106" s="1"/>
  <c r="G19" i="99" a="1"/>
  <c r="G19" i="99" s="1"/>
  <c r="I179" i="106"/>
  <c r="K179" i="106" s="1" a="1"/>
  <c r="K179" i="106" s="1"/>
  <c r="I116" i="106"/>
  <c r="K116" i="106" s="1" a="1"/>
  <c r="K116" i="106" s="1"/>
  <c r="I157" i="106"/>
  <c r="K157" i="106" s="1" a="1"/>
  <c r="K157" i="106" s="1"/>
  <c r="E56" i="93"/>
  <c r="E46" i="94"/>
  <c r="E58" i="93"/>
  <c r="E62" i="93"/>
  <c r="E52" i="94"/>
  <c r="E46" i="93"/>
  <c r="E51" i="94"/>
  <c r="E61" i="93"/>
  <c r="E43" i="94"/>
  <c r="E44" i="94"/>
  <c r="E49" i="94"/>
  <c r="E50" i="94"/>
  <c r="E45" i="94"/>
  <c r="E44" i="93"/>
  <c r="E55" i="93"/>
  <c r="E57" i="93"/>
  <c r="E45" i="93"/>
  <c r="E43" i="93"/>
  <c r="E106" i="84" l="1" a="1"/>
  <c r="E106" i="84" s="1"/>
  <c r="P69" i="88"/>
  <c r="E9" i="13" a="1"/>
  <c r="E9" i="13" s="1"/>
  <c r="G69" i="88"/>
  <c r="E27" i="103"/>
  <c r="F106" i="84" a="1"/>
  <c r="F106" i="84" s="1"/>
  <c r="F129" i="84" a="1"/>
  <c r="F129" i="84" s="1"/>
  <c r="Q106" i="84" a="1"/>
  <c r="Q106" i="84" s="1"/>
  <c r="Q129" i="84" a="1"/>
  <c r="Q129" i="84" s="1"/>
  <c r="R106" i="84" a="1"/>
  <c r="R106" i="84" s="1"/>
  <c r="R129" i="84" a="1"/>
  <c r="R129" i="84" s="1"/>
  <c r="G236" i="113" a="1"/>
  <c r="G236" i="113" s="1"/>
  <c r="E26" i="102"/>
  <c r="H26" i="102" s="1" a="1"/>
  <c r="H26" i="102" s="1"/>
  <c r="E66" i="102" s="1"/>
  <c r="I185" i="106"/>
  <c r="K185" i="106" s="1" a="1"/>
  <c r="K185" i="106" s="1"/>
  <c r="E192" i="106" s="1"/>
  <c r="E603" i="113" s="1"/>
  <c r="E21" i="102"/>
  <c r="H21" i="102" s="1" a="1"/>
  <c r="H21" i="102" s="1"/>
  <c r="E61" i="102" s="1"/>
  <c r="E39" i="103"/>
  <c r="E94" i="113"/>
  <c r="E30" i="102"/>
  <c r="H30" i="102" s="1" a="1"/>
  <c r="H30" i="102" s="1"/>
  <c r="E70" i="102" s="1"/>
  <c r="E24" i="102"/>
  <c r="H24" i="102" s="1" a="1"/>
  <c r="H24" i="102" s="1"/>
  <c r="E64" i="102" s="1"/>
  <c r="P106" i="84" a="1"/>
  <c r="P106" i="84" s="1"/>
  <c r="E27" i="102"/>
  <c r="H27" i="102" s="1" a="1"/>
  <c r="H27" i="102" s="1"/>
  <c r="E67" i="102" s="1"/>
  <c r="E37" i="103"/>
  <c r="E31" i="102"/>
  <c r="H31" i="102" s="1" a="1"/>
  <c r="H31" i="102" s="1"/>
  <c r="E71" i="102" s="1"/>
  <c r="O11" i="98"/>
  <c r="Q11" i="98" s="1"/>
  <c r="Q17" i="98"/>
  <c r="Q15" i="98"/>
  <c r="Q14" i="98"/>
  <c r="N33" i="98" s="1"/>
  <c r="Q19" i="98"/>
  <c r="Q12" i="98"/>
  <c r="Q20" i="98"/>
  <c r="Q13" i="98"/>
  <c r="Q16" i="98"/>
  <c r="Q18" i="98"/>
  <c r="E332" i="113"/>
  <c r="J242" i="113" a="1"/>
  <c r="J242" i="113" s="1"/>
  <c r="J243" i="113" a="1"/>
  <c r="J243" i="113" s="1"/>
  <c r="J237" i="113" a="1"/>
  <c r="J237" i="113" s="1"/>
  <c r="J244" i="113" a="1"/>
  <c r="J244" i="113" s="1"/>
  <c r="E236" i="113"/>
  <c r="J239" i="113" a="1"/>
  <c r="J239" i="113" s="1"/>
  <c r="J240" i="113" a="1"/>
  <c r="J240" i="113" s="1"/>
  <c r="J241" i="113" a="1"/>
  <c r="J241" i="113" s="1"/>
  <c r="J238" i="113" a="1"/>
  <c r="J238" i="113" s="1"/>
  <c r="J245" i="113" a="1"/>
  <c r="J245" i="113" s="1"/>
  <c r="E331" i="113"/>
  <c r="G106" i="84" a="1"/>
  <c r="G106" i="84" s="1"/>
  <c r="G129" i="84" a="1"/>
  <c r="G129" i="84" s="1"/>
  <c r="E263" i="113"/>
  <c r="E131" i="113"/>
  <c r="E159" i="113" s="1"/>
  <c r="F34" i="13" s="1" a="1"/>
  <c r="F34" i="13" s="1"/>
  <c r="E132" i="113"/>
  <c r="E160" i="113" s="1"/>
  <c r="E151" i="106"/>
  <c r="E19" i="13" s="1" a="1"/>
  <c r="E19" i="13" s="1"/>
  <c r="E58" i="94"/>
  <c r="I531" i="113" s="1"/>
  <c r="E70" i="93"/>
  <c r="I530" i="113" s="1"/>
  <c r="E68" i="93"/>
  <c r="E14" i="13" s="1" a="1"/>
  <c r="E14" i="13" s="1"/>
  <c r="F14" i="13" s="1"/>
  <c r="E57" i="94"/>
  <c r="E18" i="13" s="1" a="1"/>
  <c r="E18" i="13" s="1"/>
  <c r="F18" i="13" s="1"/>
  <c r="E67" i="93"/>
  <c r="E13" i="13" s="1" a="1"/>
  <c r="E13" i="13" s="1"/>
  <c r="F13" i="13" s="1"/>
  <c r="I13" i="13" s="1"/>
  <c r="E56" i="94"/>
  <c r="E17" i="13" s="1" a="1"/>
  <c r="E17" i="13" s="1"/>
  <c r="F17" i="13" s="1"/>
  <c r="E55" i="94"/>
  <c r="E16" i="13" s="1" a="1"/>
  <c r="E16" i="13" s="1"/>
  <c r="F16" i="13" s="1"/>
  <c r="I16" i="13" s="1"/>
  <c r="E69" i="93"/>
  <c r="E15" i="13" s="1" a="1"/>
  <c r="E15" i="13" s="1"/>
  <c r="F15" i="13" s="1"/>
  <c r="D149" i="84" a="1"/>
  <c r="D149" i="84" s="1"/>
  <c r="O149" i="84" a="1"/>
  <c r="O149" i="84" s="1"/>
  <c r="F37" i="13" a="1"/>
  <c r="F37" i="13" s="1"/>
  <c r="I37" i="13" s="1"/>
  <c r="E37" i="13" a="1"/>
  <c r="E37" i="13" s="1"/>
  <c r="H37" i="13" s="1"/>
  <c r="F33" i="13" a="1"/>
  <c r="F33" i="13" s="1"/>
  <c r="I33" i="13" s="1"/>
  <c r="E33" i="13" a="1"/>
  <c r="E33" i="13" s="1"/>
  <c r="N35" i="98" l="1"/>
  <c r="S92" i="98"/>
  <c r="F149" i="84" a="1"/>
  <c r="F149" i="84" s="1"/>
  <c r="P149" i="84" a="1"/>
  <c r="P149" i="84" s="1"/>
  <c r="J236" i="113" a="1"/>
  <c r="J236" i="113" s="1"/>
  <c r="E264" i="113" s="1"/>
  <c r="H236" i="113" a="1"/>
  <c r="H236" i="113" s="1"/>
  <c r="E266" i="113" s="1"/>
  <c r="K236" i="113" a="1"/>
  <c r="K236" i="113" s="1"/>
  <c r="E267" i="113" s="1"/>
  <c r="Q149" i="84" a="1"/>
  <c r="Q149" i="84" s="1"/>
  <c r="E149" i="84" a="1"/>
  <c r="E149" i="84" s="1"/>
  <c r="E533" i="113" a="1"/>
  <c r="E533" i="113" s="1"/>
  <c r="E34" i="13" a="1"/>
  <c r="E34" i="13" s="1"/>
  <c r="H13" i="13"/>
  <c r="H16" i="13"/>
  <c r="E176" i="84" a="1"/>
  <c r="E176" i="84" s="1"/>
  <c r="E175" i="84" a="1"/>
  <c r="E175" i="84" s="1"/>
  <c r="E174" i="84" a="1"/>
  <c r="E174" i="84" s="1"/>
  <c r="P175" i="84" a="1"/>
  <c r="P175" i="84" s="1"/>
  <c r="P174" i="84" a="1"/>
  <c r="P174" i="84" s="1"/>
  <c r="P176" i="84" a="1"/>
  <c r="P176" i="84" s="1"/>
  <c r="H19" i="13"/>
  <c r="F19" i="13"/>
  <c r="I19" i="13" s="1"/>
  <c r="Q176" i="84" l="1" a="1"/>
  <c r="Q176" i="84" s="1"/>
  <c r="Q174" i="84" a="1"/>
  <c r="Q174" i="84" s="1"/>
  <c r="Q175" i="84" a="1"/>
  <c r="Q175" i="84" s="1"/>
  <c r="F174" i="84" a="1"/>
  <c r="F174" i="84" s="1"/>
  <c r="F175" i="84" a="1"/>
  <c r="F175" i="84" s="1"/>
  <c r="F176" i="84" a="1"/>
  <c r="F176" i="84" s="1"/>
  <c r="G174" i="84" a="1"/>
  <c r="G174" i="84" s="1"/>
  <c r="G175" i="84" a="1"/>
  <c r="G175" i="84" s="1"/>
  <c r="G176" i="84" a="1"/>
  <c r="G176" i="84" s="1"/>
  <c r="R175" i="84" a="1"/>
  <c r="R175" i="84" s="1"/>
  <c r="R176" i="84" a="1"/>
  <c r="R176" i="84" s="1"/>
  <c r="R174" i="84" a="1"/>
  <c r="R174" i="84" s="1"/>
  <c r="R46" i="98"/>
  <c r="N49" i="98" s="1" a="1"/>
  <c r="N49" i="98" s="1"/>
  <c r="O105" i="98" s="1"/>
  <c r="S93" i="98" s="1"/>
  <c r="R76" i="98"/>
  <c r="N79" i="98" s="1" a="1"/>
  <c r="N79" i="98" s="1"/>
  <c r="O107" i="98" s="1"/>
  <c r="R60" i="98"/>
  <c r="N63" i="98" s="1" a="1"/>
  <c r="N63" i="98" s="1"/>
  <c r="O106" i="98" s="1"/>
  <c r="J58" i="78"/>
  <c r="J39" i="78"/>
  <c r="J38" i="78"/>
  <c r="J30" i="78"/>
  <c r="D10" i="78"/>
  <c r="D9" i="78"/>
  <c r="D8" i="78"/>
  <c r="D12" i="78"/>
  <c r="D11" i="78"/>
  <c r="I16" i="81"/>
  <c r="I15" i="81"/>
  <c r="I14" i="81"/>
  <c r="I13" i="81"/>
  <c r="I12" i="81"/>
  <c r="I11" i="81"/>
  <c r="I10" i="81"/>
  <c r="I9" i="81"/>
  <c r="I8" i="81"/>
  <c r="I7" i="81"/>
  <c r="E22" i="72" s="1"/>
  <c r="F52" i="80" l="1"/>
  <c r="F53" i="80" s="1"/>
  <c r="F44" i="80"/>
  <c r="G55" i="80"/>
  <c r="G52" i="80"/>
  <c r="G53" i="80" s="1"/>
  <c r="D39" i="80" l="1"/>
  <c r="D32" i="80"/>
  <c r="D73" i="72" a="1"/>
  <c r="F53" i="72"/>
  <c r="E53" i="72"/>
  <c r="F52" i="72"/>
  <c r="E52" i="72"/>
  <c r="F51" i="72"/>
  <c r="E51" i="72"/>
  <c r="D70" i="72"/>
  <c r="F43" i="13" a="1"/>
  <c r="F43" i="13" s="1"/>
  <c r="I43" i="13" s="1"/>
  <c r="E43" i="13" a="1"/>
  <c r="E43" i="13" s="1"/>
  <c r="H43" i="13" s="1"/>
  <c r="E41" i="13" a="1"/>
  <c r="E41" i="13" s="1"/>
  <c r="F42" i="13" a="1"/>
  <c r="F42" i="13" s="1"/>
  <c r="I42" i="13" s="1"/>
  <c r="E42" i="13" a="1"/>
  <c r="E42" i="13" s="1"/>
  <c r="H42" i="13" s="1"/>
  <c r="E40" i="13" a="1"/>
  <c r="E40" i="13" s="1"/>
  <c r="E39" i="13" a="1"/>
  <c r="E39" i="13" s="1"/>
  <c r="F38" i="13" a="1"/>
  <c r="F38" i="13" s="1"/>
  <c r="I38" i="13" s="1"/>
  <c r="E38" i="13" a="1"/>
  <c r="E38" i="13" s="1"/>
  <c r="H38" i="13" s="1"/>
  <c r="F36" i="13" a="1"/>
  <c r="F36" i="13" s="1"/>
  <c r="I36" i="13" s="1"/>
  <c r="E36" i="13" a="1"/>
  <c r="E36" i="13" s="1"/>
  <c r="H36" i="13" s="1"/>
  <c r="F35" i="13" a="1"/>
  <c r="F35" i="13" s="1"/>
  <c r="I35" i="13" s="1"/>
  <c r="E35" i="13" a="1"/>
  <c r="E35" i="13" s="1"/>
  <c r="H35" i="13" s="1"/>
  <c r="I34" i="13"/>
  <c r="H34" i="13"/>
  <c r="H33" i="13"/>
  <c r="F74" i="72" l="1"/>
  <c r="E74" i="72"/>
  <c r="D73" i="72"/>
  <c r="F39" i="13"/>
  <c r="I39" i="13" s="1"/>
  <c r="H39" i="13"/>
  <c r="F41" i="13"/>
  <c r="I41" i="13" s="1"/>
  <c r="H41" i="13"/>
  <c r="F40" i="13"/>
  <c r="I40" i="13" s="1"/>
  <c r="H40" i="13"/>
  <c r="H44" i="13" l="1"/>
  <c r="I44" i="13"/>
  <c r="D40" i="13" a="1"/>
  <c r="D40" i="13" s="1"/>
  <c r="E26" i="13" a="1"/>
  <c r="E26" i="13" s="1"/>
  <c r="F26" i="13" s="1"/>
  <c r="I26" i="13" s="1"/>
  <c r="I27" i="13" s="1"/>
  <c r="D26" i="13" a="1"/>
  <c r="D26" i="13" s="1"/>
  <c r="E66" i="72"/>
  <c r="E65" i="72"/>
  <c r="D62" i="72" a="1"/>
  <c r="D62" i="72" s="1"/>
  <c r="E62" i="72" s="1"/>
  <c r="D59" i="72"/>
  <c r="D49" i="72" a="1"/>
  <c r="D45" i="72" a="1"/>
  <c r="D45" i="72" s="1"/>
  <c r="D43" i="72"/>
  <c r="G37" i="72"/>
  <c r="E49" i="13" s="1"/>
  <c r="J59" i="78"/>
  <c r="J57" i="78"/>
  <c r="J56" i="78"/>
  <c r="J55" i="78"/>
  <c r="J48" i="78"/>
  <c r="J47" i="78"/>
  <c r="J46" i="78"/>
  <c r="J45" i="78"/>
  <c r="J37" i="78"/>
  <c r="J32" i="78"/>
  <c r="J31" i="78"/>
  <c r="J29" i="78"/>
  <c r="J23" i="78"/>
  <c r="J22" i="78"/>
  <c r="J21" i="78"/>
  <c r="J20" i="78"/>
  <c r="J19" i="78"/>
  <c r="J18" i="78"/>
  <c r="J12" i="78"/>
  <c r="J11" i="78"/>
  <c r="J10" i="78"/>
  <c r="J9" i="78"/>
  <c r="J8" i="78"/>
  <c r="D59" i="78"/>
  <c r="D57" i="78"/>
  <c r="D56" i="78"/>
  <c r="D55" i="78"/>
  <c r="D48" i="78"/>
  <c r="D47" i="78"/>
  <c r="D46" i="78"/>
  <c r="D45" i="78"/>
  <c r="D23" i="78"/>
  <c r="D22" i="78"/>
  <c r="D21" i="78"/>
  <c r="D20" i="78"/>
  <c r="D19" i="78"/>
  <c r="D18"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G28" i="87"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F7" i="79" a="1"/>
  <c r="F7" i="79" s="1"/>
  <c r="E7" i="79" a="1"/>
  <c r="E7" i="79" s="1"/>
  <c r="D7" i="79" a="1"/>
  <c r="D7" i="79" s="1"/>
  <c r="D5" i="79" a="1"/>
  <c r="D5" i="79" s="1"/>
  <c r="G82" i="102" l="1"/>
  <c r="O591" i="113"/>
  <c r="G591" i="113"/>
  <c r="P70" i="88"/>
  <c r="N72" i="88" s="1" a="1"/>
  <c r="N72" i="88" s="1"/>
  <c r="G149" i="102"/>
  <c r="G70" i="88"/>
  <c r="E72" i="88" s="1" a="1"/>
  <c r="E72" i="88" s="1"/>
  <c r="R215" i="84"/>
  <c r="G215" i="84"/>
  <c r="G174" i="83"/>
  <c r="G97" i="103"/>
  <c r="G83" i="98"/>
  <c r="P68" i="85"/>
  <c r="G68" i="85"/>
  <c r="P113" i="98"/>
  <c r="P174" i="83"/>
  <c r="G53" i="100"/>
  <c r="J88" i="114"/>
  <c r="I50" i="114"/>
  <c r="I190" i="84"/>
  <c r="I74" i="83"/>
  <c r="I114" i="83"/>
  <c r="R46" i="83"/>
  <c r="I46" i="83"/>
  <c r="I56" i="103"/>
  <c r="I68" i="114"/>
  <c r="I14" i="103"/>
  <c r="R47" i="83"/>
  <c r="I47" i="83"/>
  <c r="I115" i="83"/>
  <c r="I113" i="83" s="1"/>
  <c r="I75" i="83"/>
  <c r="G29" i="87"/>
  <c r="I125" i="102"/>
  <c r="I49" i="114"/>
  <c r="I50" i="98"/>
  <c r="J50" i="102"/>
  <c r="O108" i="98" a="1"/>
  <c r="O108" i="98" s="1"/>
  <c r="O89" i="83"/>
  <c r="R113" i="83"/>
  <c r="O87" i="83"/>
  <c r="O88" i="83"/>
  <c r="I9" i="13" a="1"/>
  <c r="I9" i="13" s="1"/>
  <c r="I17" i="13" a="1"/>
  <c r="I17" i="13" s="1"/>
  <c r="I18" i="13" a="1"/>
  <c r="I18" i="13" s="1"/>
  <c r="I15" i="13" a="1"/>
  <c r="I15" i="13" s="1"/>
  <c r="H15" i="13" a="1"/>
  <c r="H15" i="13" s="1"/>
  <c r="H17" i="13" a="1"/>
  <c r="H17" i="13" s="1"/>
  <c r="H14" i="13" a="1"/>
  <c r="H14" i="13" s="1"/>
  <c r="H18" i="13" a="1"/>
  <c r="H18" i="13" s="1"/>
  <c r="I14" i="13" a="1"/>
  <c r="I14" i="13" s="1"/>
  <c r="E50" i="72"/>
  <c r="F50" i="72"/>
  <c r="H9" i="13" a="1"/>
  <c r="H9" i="13" s="1"/>
  <c r="H26" i="13"/>
  <c r="H27" i="13" s="1"/>
  <c r="J50" i="78"/>
  <c r="J61" i="78"/>
  <c r="J41" i="78"/>
  <c r="J14" i="78"/>
  <c r="J25" i="78"/>
  <c r="D49" i="72"/>
  <c r="E63" i="72"/>
  <c r="E67" i="72" s="1"/>
  <c r="E64" i="72"/>
  <c r="H48" i="79"/>
  <c r="I51" i="99" s="1"/>
  <c r="E22" i="75"/>
  <c r="H51" i="79"/>
  <c r="E19" i="75"/>
  <c r="H53" i="79"/>
  <c r="H50" i="79"/>
  <c r="J15" i="114" s="1"/>
  <c r="H54" i="79"/>
  <c r="H52" i="79"/>
  <c r="H49" i="79"/>
  <c r="E65" i="99" l="1" a="1"/>
  <c r="E65" i="99" s="1"/>
  <c r="E69" i="99" a="1"/>
  <c r="E69" i="99" s="1"/>
  <c r="E76" i="99" a="1"/>
  <c r="E76" i="99" s="1"/>
  <c r="E68" i="99" a="1"/>
  <c r="E68" i="99" s="1"/>
  <c r="E72" i="99" a="1"/>
  <c r="E72" i="99" s="1"/>
  <c r="E58" i="99" a="1"/>
  <c r="E58" i="99" s="1"/>
  <c r="E64" i="99" a="1"/>
  <c r="E64" i="99" s="1"/>
  <c r="E71" i="99" a="1"/>
  <c r="E71" i="99" s="1"/>
  <c r="E67" i="99" a="1"/>
  <c r="E67" i="99" s="1"/>
  <c r="E63" i="99" a="1"/>
  <c r="E63" i="99" s="1"/>
  <c r="E60" i="99" a="1"/>
  <c r="E60" i="99" s="1"/>
  <c r="E73" i="99" a="1"/>
  <c r="E73" i="99" s="1"/>
  <c r="E59" i="99" a="1"/>
  <c r="E59" i="99" s="1"/>
  <c r="E70" i="99" a="1"/>
  <c r="E70" i="99" s="1"/>
  <c r="E66" i="99" a="1"/>
  <c r="E66" i="99" s="1"/>
  <c r="E62" i="99" a="1"/>
  <c r="E62" i="99" s="1"/>
  <c r="E74" i="99" a="1"/>
  <c r="E74" i="99" s="1"/>
  <c r="E75" i="99" a="1"/>
  <c r="E75" i="99" s="1"/>
  <c r="E61" i="99" a="1"/>
  <c r="E61" i="99" s="1"/>
  <c r="J92" i="103"/>
  <c r="S94" i="98"/>
  <c r="N110" i="98" s="1" a="1"/>
  <c r="N110" i="98" s="1"/>
  <c r="P112" i="98" s="1"/>
  <c r="N115" i="98" s="1" a="1"/>
  <c r="N115" i="98" s="1"/>
  <c r="F88" i="83" a="1"/>
  <c r="F88" i="83" s="1"/>
  <c r="F89" i="83" a="1"/>
  <c r="F89" i="83" s="1"/>
  <c r="F87" i="83" a="1"/>
  <c r="F87" i="83" s="1"/>
  <c r="K46" i="100"/>
  <c r="F25" i="103" a="1"/>
  <c r="F25" i="103" s="1"/>
  <c r="F41" i="103" a="1"/>
  <c r="F41" i="103" s="1"/>
  <c r="F31" i="103" a="1"/>
  <c r="F31" i="103" s="1"/>
  <c r="F30" i="103" a="1"/>
  <c r="F30" i="103" s="1"/>
  <c r="F34" i="103" a="1"/>
  <c r="F34" i="103" s="1"/>
  <c r="F29" i="103" a="1"/>
  <c r="F29" i="103" s="1"/>
  <c r="F33" i="103" a="1"/>
  <c r="F33" i="103" s="1"/>
  <c r="F28" i="103" a="1"/>
  <c r="F28" i="103" s="1"/>
  <c r="F32" i="103" a="1"/>
  <c r="F32" i="103" s="1"/>
  <c r="F40" i="103" a="1"/>
  <c r="F40" i="103" s="1"/>
  <c r="F23" i="103" a="1"/>
  <c r="F23" i="103" s="1"/>
  <c r="F38" i="103" a="1"/>
  <c r="F38" i="103" s="1"/>
  <c r="F26" i="103" a="1"/>
  <c r="F26" i="103" s="1"/>
  <c r="F35" i="103" a="1"/>
  <c r="F35" i="103" s="1"/>
  <c r="F24" i="103" a="1"/>
  <c r="F24" i="103" s="1"/>
  <c r="F36" i="103" a="1"/>
  <c r="F36" i="103" s="1"/>
  <c r="F39" i="103" a="1"/>
  <c r="F39" i="103" s="1"/>
  <c r="F27" i="103" a="1"/>
  <c r="F27" i="103" s="1"/>
  <c r="F37" i="103" a="1"/>
  <c r="F37" i="103" s="1"/>
  <c r="I20" i="101"/>
  <c r="E125" i="83" a="1"/>
  <c r="E125" i="83" s="1"/>
  <c r="F154" i="83" s="1"/>
  <c r="F168" i="83" s="1" a="1"/>
  <c r="F168" i="83" s="1"/>
  <c r="F125" i="83" a="1"/>
  <c r="F125" i="83" s="1"/>
  <c r="G154" i="83" s="1"/>
  <c r="G168" i="83" s="1" a="1"/>
  <c r="G168" i="83" s="1"/>
  <c r="G125" i="83" a="1"/>
  <c r="G125" i="83" s="1"/>
  <c r="H154" i="83" s="1"/>
  <c r="H168" i="83" s="1" a="1"/>
  <c r="H168" i="83" s="1"/>
  <c r="E74" i="114" a="1"/>
  <c r="E74" i="114" s="1"/>
  <c r="J86" i="114" s="1"/>
  <c r="E90" i="114" s="1" a="1"/>
  <c r="E90" i="114" s="1"/>
  <c r="O74" i="114" a="1"/>
  <c r="O74" i="114" s="1"/>
  <c r="T86" i="114" s="1"/>
  <c r="O90" i="114" s="1" a="1"/>
  <c r="O90" i="114" s="1"/>
  <c r="R586" i="113" s="1"/>
  <c r="I126" i="102"/>
  <c r="F136" i="102" s="1" a="1"/>
  <c r="F136" i="102" s="1"/>
  <c r="F71" i="103" a="1"/>
  <c r="F71" i="103" s="1"/>
  <c r="F68" i="103" a="1"/>
  <c r="F68" i="103" s="1"/>
  <c r="F74" i="103" a="1"/>
  <c r="F74" i="103" s="1"/>
  <c r="F69" i="103" a="1"/>
  <c r="F69" i="103" s="1"/>
  <c r="F70" i="103" a="1"/>
  <c r="F70" i="103" s="1"/>
  <c r="F72" i="103" a="1"/>
  <c r="F72" i="103" s="1"/>
  <c r="F73" i="103" a="1"/>
  <c r="F73" i="103" s="1"/>
  <c r="F75" i="103" a="1"/>
  <c r="F75" i="103" s="1"/>
  <c r="F66" i="103" a="1"/>
  <c r="F66" i="103" s="1"/>
  <c r="F67" i="103" a="1"/>
  <c r="F67" i="103" s="1"/>
  <c r="F65" i="103" a="1"/>
  <c r="F65" i="103" s="1"/>
  <c r="J51" i="102"/>
  <c r="F61" i="102" s="1" a="1"/>
  <c r="F61" i="102" s="1"/>
  <c r="R45" i="83"/>
  <c r="I45" i="83"/>
  <c r="I60" i="85"/>
  <c r="I51" i="98"/>
  <c r="E76" i="98" s="1" a="1"/>
  <c r="E76" i="98" s="1"/>
  <c r="P206" i="84" a="1"/>
  <c r="P206" i="84" s="1"/>
  <c r="E210" i="84" a="1"/>
  <c r="E210" i="84" s="1"/>
  <c r="P210" i="84" a="1"/>
  <c r="P210" i="84" s="1"/>
  <c r="E206" i="84" a="1"/>
  <c r="E206" i="84" s="1"/>
  <c r="G210" i="84" a="1"/>
  <c r="G210" i="84" s="1"/>
  <c r="F210" i="84" a="1"/>
  <c r="F210" i="84" s="1"/>
  <c r="R206" i="84" a="1"/>
  <c r="R206" i="84" s="1"/>
  <c r="G206" i="84" a="1"/>
  <c r="G206" i="84" s="1"/>
  <c r="R210" i="84" a="1"/>
  <c r="R210" i="84" s="1"/>
  <c r="F206" i="84" a="1"/>
  <c r="F206" i="84" s="1"/>
  <c r="Q206" i="84" a="1"/>
  <c r="Q206" i="84" s="1"/>
  <c r="Q210" i="84" a="1"/>
  <c r="Q210" i="84" s="1"/>
  <c r="E208" i="84" a="1"/>
  <c r="E208" i="84" s="1"/>
  <c r="E207" i="84" a="1"/>
  <c r="E207" i="84" s="1"/>
  <c r="P207" i="84" a="1"/>
  <c r="P207" i="84" s="1"/>
  <c r="P208" i="84" a="1"/>
  <c r="P208" i="84" s="1"/>
  <c r="R208" i="84" a="1"/>
  <c r="R208" i="84" s="1"/>
  <c r="F208" i="84" a="1"/>
  <c r="F208" i="84" s="1"/>
  <c r="G208" i="84" a="1"/>
  <c r="G208" i="84" s="1"/>
  <c r="Q207" i="84" a="1"/>
  <c r="Q207" i="84" s="1"/>
  <c r="G207" i="84" a="1"/>
  <c r="G207" i="84" s="1"/>
  <c r="R207" i="84" a="1"/>
  <c r="R207" i="84" s="1"/>
  <c r="F207" i="84" a="1"/>
  <c r="F207" i="84" s="1"/>
  <c r="Q208" i="84" a="1"/>
  <c r="Q208" i="84" s="1"/>
  <c r="I63" i="85"/>
  <c r="I59" i="85" s="1"/>
  <c r="I129" i="102"/>
  <c r="I55" i="98"/>
  <c r="J54" i="102"/>
  <c r="S99" i="98"/>
  <c r="N106" i="98" s="1"/>
  <c r="N108" i="98" s="1"/>
  <c r="I53" i="114"/>
  <c r="O98" i="83" a="1"/>
  <c r="O98" i="83" s="1"/>
  <c r="P153" i="83" s="1"/>
  <c r="P167" i="83" s="1" a="1"/>
  <c r="P167" i="83" s="1"/>
  <c r="N98" i="83" a="1"/>
  <c r="N98" i="83" s="1"/>
  <c r="O153" i="83" s="1"/>
  <c r="O167" i="83" s="1" a="1"/>
  <c r="O167" i="83" s="1"/>
  <c r="P98" i="83" a="1"/>
  <c r="P98" i="83" s="1"/>
  <c r="Q153" i="83" s="1"/>
  <c r="Q167" i="83" s="1" a="1"/>
  <c r="Q167" i="83" s="1"/>
  <c r="F60" i="102" a="1"/>
  <c r="F60" i="102" s="1"/>
  <c r="F64" i="102" a="1"/>
  <c r="F64" i="102" s="1"/>
  <c r="F70" i="102" a="1"/>
  <c r="F70" i="102" s="1"/>
  <c r="F63" i="102" a="1"/>
  <c r="F63" i="102" s="1"/>
  <c r="P97" i="83" a="1"/>
  <c r="P97" i="83" s="1"/>
  <c r="Q152" i="83" s="1"/>
  <c r="Q166" i="83" s="1" a="1"/>
  <c r="Q166" i="83" s="1"/>
  <c r="N97" i="83" a="1"/>
  <c r="N97" i="83" s="1"/>
  <c r="O152" i="83" s="1"/>
  <c r="O166" i="83" s="1" a="1"/>
  <c r="O166" i="83" s="1"/>
  <c r="O97" i="83" a="1"/>
  <c r="O97" i="83" s="1"/>
  <c r="P152" i="83" s="1"/>
  <c r="P166" i="83" s="1" a="1"/>
  <c r="P166" i="83" s="1"/>
  <c r="P96" i="83" a="1"/>
  <c r="P96" i="83" s="1"/>
  <c r="Q151" i="83" s="1"/>
  <c r="Q165" i="83" s="1" a="1"/>
  <c r="Q165" i="83" s="1"/>
  <c r="N96" i="83" a="1"/>
  <c r="N96" i="83" s="1"/>
  <c r="O151" i="83" s="1"/>
  <c r="O165" i="83" s="1" a="1"/>
  <c r="O165" i="83" s="1"/>
  <c r="O96" i="83" a="1"/>
  <c r="O96" i="83" s="1"/>
  <c r="P151" i="83" s="1"/>
  <c r="P165" i="83" s="1" a="1"/>
  <c r="P165" i="83" s="1"/>
  <c r="E61" i="98" a="1"/>
  <c r="E61" i="98" s="1"/>
  <c r="E55" i="114" a="1"/>
  <c r="E55" i="114" s="1"/>
  <c r="O55" i="114" a="1"/>
  <c r="O55" i="114" s="1"/>
  <c r="R585" i="113" s="1"/>
  <c r="F140" i="102" a="1"/>
  <c r="F140" i="102" s="1"/>
  <c r="F139" i="102" a="1"/>
  <c r="F139" i="102" s="1"/>
  <c r="P125" i="83" a="1"/>
  <c r="P125" i="83" s="1"/>
  <c r="Q154" i="83" s="1"/>
  <c r="Q168" i="83" s="1" a="1"/>
  <c r="Q168" i="83" s="1"/>
  <c r="O125" i="83" a="1"/>
  <c r="O125" i="83" s="1"/>
  <c r="P154" i="83" s="1"/>
  <c r="P168" i="83" s="1" a="1"/>
  <c r="P168" i="83" s="1"/>
  <c r="N125" i="83" a="1"/>
  <c r="N125" i="83" s="1"/>
  <c r="O154" i="83" s="1"/>
  <c r="O168" i="83" s="1" a="1"/>
  <c r="O168" i="83" s="1"/>
  <c r="E63" i="78"/>
  <c r="E13" i="72"/>
  <c r="E18" i="75"/>
  <c r="E20" i="75" s="1"/>
  <c r="E21" i="75" s="1"/>
  <c r="E20" i="72"/>
  <c r="D8" i="82" l="1"/>
  <c r="D9" i="82"/>
  <c r="E30" i="89"/>
  <c r="F68" i="102" a="1"/>
  <c r="F68" i="102" s="1"/>
  <c r="E77" i="98" a="1"/>
  <c r="E77" i="98" s="1"/>
  <c r="F96" i="83" a="1"/>
  <c r="F96" i="83" s="1"/>
  <c r="G151" i="83" s="1"/>
  <c r="G165" i="83" s="1" a="1"/>
  <c r="G165" i="83" s="1"/>
  <c r="E96" i="83" a="1"/>
  <c r="E96" i="83" s="1"/>
  <c r="F151" i="83" s="1"/>
  <c r="F165" i="83" s="1" a="1"/>
  <c r="F165" i="83" s="1"/>
  <c r="G96" i="83" a="1"/>
  <c r="G96" i="83" s="1"/>
  <c r="H151" i="83" s="1"/>
  <c r="H165" i="83" s="1" a="1"/>
  <c r="H165" i="83" s="1"/>
  <c r="E73" i="98" a="1"/>
  <c r="E73" i="98" s="1"/>
  <c r="E63" i="98" a="1"/>
  <c r="E63" i="98" s="1"/>
  <c r="E80" i="98" s="1"/>
  <c r="G82" i="98" s="1"/>
  <c r="E85" i="98" s="1" a="1"/>
  <c r="E85" i="98" s="1"/>
  <c r="F142" i="102" a="1"/>
  <c r="F142" i="102" s="1"/>
  <c r="E72" i="98" a="1"/>
  <c r="E72" i="98" s="1"/>
  <c r="F72" i="102" a="1"/>
  <c r="F72" i="102" s="1"/>
  <c r="F138" i="102" a="1"/>
  <c r="F138" i="102" s="1"/>
  <c r="E68" i="98" a="1"/>
  <c r="E68" i="98" s="1"/>
  <c r="F137" i="102" a="1"/>
  <c r="F137" i="102" s="1"/>
  <c r="F74" i="102" a="1"/>
  <c r="F74" i="102" s="1"/>
  <c r="F141" i="102" a="1"/>
  <c r="F141" i="102" s="1"/>
  <c r="E75" i="98" a="1"/>
  <c r="E75" i="98" s="1"/>
  <c r="F75" i="102" a="1"/>
  <c r="F75" i="102" s="1"/>
  <c r="P212" i="84"/>
  <c r="E65" i="98" a="1"/>
  <c r="E65" i="98" s="1"/>
  <c r="F65" i="102" a="1"/>
  <c r="F65" i="102" s="1"/>
  <c r="E78" i="99"/>
  <c r="E71" i="98" a="1"/>
  <c r="E71" i="98" s="1"/>
  <c r="F143" i="102" a="1"/>
  <c r="F143" i="102" s="1"/>
  <c r="E70" i="98" a="1"/>
  <c r="E70" i="98" s="1"/>
  <c r="F67" i="102" a="1"/>
  <c r="F67" i="102" s="1"/>
  <c r="F144" i="102" a="1"/>
  <c r="F144" i="102" s="1"/>
  <c r="E57" i="83" a="1"/>
  <c r="E57" i="83" s="1"/>
  <c r="F150" i="83" s="1"/>
  <c r="F164" i="83" s="1" a="1"/>
  <c r="F164" i="83" s="1"/>
  <c r="N57" i="83" a="1"/>
  <c r="N57" i="83" s="1"/>
  <c r="O150" i="83" s="1"/>
  <c r="O164" i="83" s="1" a="1"/>
  <c r="O164" i="83" s="1"/>
  <c r="P57" i="83" a="1"/>
  <c r="P57" i="83" s="1"/>
  <c r="Q150" i="83" s="1"/>
  <c r="Q164" i="83" s="1" a="1"/>
  <c r="Q164" i="83" s="1"/>
  <c r="O57" i="83" a="1"/>
  <c r="O57" i="83" s="1"/>
  <c r="P150" i="83" s="1"/>
  <c r="P164" i="83" s="1" a="1"/>
  <c r="P164" i="83" s="1"/>
  <c r="G57" i="83" a="1"/>
  <c r="G57" i="83" s="1"/>
  <c r="H150" i="83" s="1"/>
  <c r="H164" i="83" s="1" a="1"/>
  <c r="H164" i="83" s="1"/>
  <c r="F57" i="83" a="1"/>
  <c r="F57" i="83" s="1"/>
  <c r="G150" i="83" s="1"/>
  <c r="G164" i="83" s="1" a="1"/>
  <c r="G164" i="83" s="1"/>
  <c r="D58" i="83"/>
  <c r="E43" i="103"/>
  <c r="J89" i="103" s="1"/>
  <c r="E94" i="103" s="1" a="1"/>
  <c r="E94" i="103" s="1"/>
  <c r="G96" i="103" s="1"/>
  <c r="E99" i="103" s="1" a="1"/>
  <c r="E99" i="103" s="1"/>
  <c r="F66" i="102" a="1"/>
  <c r="F66" i="102" s="1"/>
  <c r="E64" i="98" a="1"/>
  <c r="E64" i="98" s="1"/>
  <c r="F77" i="102" a="1"/>
  <c r="F77" i="102" s="1"/>
  <c r="E69" i="98" a="1"/>
  <c r="E69" i="98" s="1"/>
  <c r="E60" i="98" a="1"/>
  <c r="E60" i="98" s="1"/>
  <c r="F76" i="102" a="1"/>
  <c r="F76" i="102" s="1"/>
  <c r="F59" i="102" a="1"/>
  <c r="F59" i="102" s="1"/>
  <c r="E77" i="103"/>
  <c r="J90" i="103" s="1"/>
  <c r="F135" i="102" a="1"/>
  <c r="F135" i="102" s="1"/>
  <c r="E78" i="98" a="1"/>
  <c r="E78" i="98" s="1"/>
  <c r="F71" i="102" a="1"/>
  <c r="F71" i="102" s="1"/>
  <c r="F69" i="102" a="1"/>
  <c r="F69" i="102" s="1"/>
  <c r="H27" i="101" a="1"/>
  <c r="H27" i="101" s="1"/>
  <c r="H25" i="101" a="1"/>
  <c r="H25" i="101" s="1"/>
  <c r="H29" i="101" a="1"/>
  <c r="H29" i="101" s="1"/>
  <c r="H28" i="101" a="1"/>
  <c r="H28" i="101" s="1"/>
  <c r="H26" i="101" a="1"/>
  <c r="H26" i="101" s="1"/>
  <c r="F98" i="83" a="1"/>
  <c r="F98" i="83" s="1"/>
  <c r="G153" i="83" s="1"/>
  <c r="G167" i="83" s="1" a="1"/>
  <c r="G167" i="83" s="1"/>
  <c r="G98" i="83" a="1"/>
  <c r="G98" i="83" s="1"/>
  <c r="H153" i="83" s="1"/>
  <c r="H167" i="83" s="1" a="1"/>
  <c r="H167" i="83" s="1"/>
  <c r="E98" i="83" a="1"/>
  <c r="E98" i="83" s="1"/>
  <c r="F153" i="83" s="1"/>
  <c r="F167" i="83" s="1" a="1"/>
  <c r="F167" i="83" s="1"/>
  <c r="F97" i="83" a="1"/>
  <c r="F97" i="83" s="1"/>
  <c r="G152" i="83" s="1"/>
  <c r="G166" i="83" s="1" a="1"/>
  <c r="G166" i="83" s="1"/>
  <c r="E97" i="83" a="1"/>
  <c r="E97" i="83" s="1"/>
  <c r="F152" i="83" s="1"/>
  <c r="F166" i="83" s="1" a="1"/>
  <c r="F166" i="83" s="1"/>
  <c r="G97" i="83" a="1"/>
  <c r="G97" i="83" s="1"/>
  <c r="H152" i="83" s="1"/>
  <c r="H166" i="83" s="1" a="1"/>
  <c r="H166" i="83" s="1"/>
  <c r="F62" i="102" a="1"/>
  <c r="F62" i="102" s="1"/>
  <c r="E79" i="102" s="1"/>
  <c r="G81" i="102" s="1"/>
  <c r="E84" i="102" s="1" a="1"/>
  <c r="E84" i="102" s="1"/>
  <c r="E66" i="98" a="1"/>
  <c r="E66" i="98" s="1"/>
  <c r="F134" i="102" a="1"/>
  <c r="F134" i="102" s="1"/>
  <c r="E146" i="102" s="1"/>
  <c r="G148" i="102" s="1"/>
  <c r="E151" i="102" s="1" a="1"/>
  <c r="E151" i="102" s="1"/>
  <c r="E67" i="98" a="1"/>
  <c r="E67" i="98" s="1"/>
  <c r="E74" i="98" a="1"/>
  <c r="E74" i="98" s="1"/>
  <c r="F73" i="102" a="1"/>
  <c r="F73" i="102" s="1"/>
  <c r="K48" i="100"/>
  <c r="K45" i="100" s="1"/>
  <c r="E50" i="100" s="1" a="1"/>
  <c r="E50" i="100" s="1"/>
  <c r="G52" i="100" s="1"/>
  <c r="E55" i="100" s="1" a="1"/>
  <c r="E55" i="100" s="1"/>
  <c r="J17" i="114"/>
  <c r="J14" i="114" s="1"/>
  <c r="E62" i="98" a="1"/>
  <c r="E62" i="98" s="1"/>
  <c r="E212" i="84"/>
  <c r="D4" i="13"/>
  <c r="D52" i="13"/>
  <c r="D47" i="13"/>
  <c r="D34" i="72"/>
  <c r="F47" i="80"/>
  <c r="G46" i="80"/>
  <c r="G47" i="80" s="1"/>
  <c r="F45" i="80"/>
  <c r="G44" i="80"/>
  <c r="G45" i="80" s="1"/>
  <c r="N171" i="83" l="1"/>
  <c r="E31" i="101"/>
  <c r="J586" i="113"/>
  <c r="O19" i="114" a="1"/>
  <c r="O19" i="114" s="1"/>
  <c r="R584" i="113" s="1"/>
  <c r="M588" i="113" s="1" a="1"/>
  <c r="M588" i="113" s="1"/>
  <c r="O590" i="113" s="1"/>
  <c r="M593" i="113" s="1" a="1"/>
  <c r="M593" i="113" s="1"/>
  <c r="E19" i="114" a="1"/>
  <c r="E19" i="114" s="1"/>
  <c r="J584" i="113" s="1"/>
  <c r="I37" i="89"/>
  <c r="E41" i="89" s="1"/>
  <c r="I48" i="89"/>
  <c r="I38" i="89"/>
  <c r="I39" i="89"/>
  <c r="I46" i="89"/>
  <c r="E50" i="89" s="1"/>
  <c r="I47" i="89"/>
  <c r="E171" i="83"/>
  <c r="J585" i="113"/>
  <c r="E588" i="113" s="1" a="1"/>
  <c r="E588" i="113" s="1"/>
  <c r="G590" i="113" s="1"/>
  <c r="E593" i="113" s="1" a="1"/>
  <c r="E593" i="113" s="1"/>
  <c r="F23" i="85"/>
  <c r="F40" i="85" s="1" a="1"/>
  <c r="F40" i="85" s="1"/>
  <c r="G23" i="85"/>
  <c r="G40" i="85" s="1" a="1"/>
  <c r="G40" i="85" s="1"/>
  <c r="E23" i="85"/>
  <c r="E40" i="85" s="1" a="1"/>
  <c r="E40" i="85" s="1"/>
  <c r="J35" i="90" l="1"/>
  <c r="I566" i="113"/>
  <c r="J34" i="90"/>
  <c r="E39" i="90" s="1" a="1"/>
  <c r="E39" i="90" s="1"/>
  <c r="I565" i="113"/>
  <c r="E570" i="113" s="1" a="1"/>
  <c r="E570" i="113" s="1"/>
  <c r="O23" i="85"/>
  <c r="O40" i="85" s="1" a="1"/>
  <c r="O40" i="85" s="1"/>
  <c r="N23" i="85"/>
  <c r="N40" i="85" s="1" a="1"/>
  <c r="N40" i="85" s="1"/>
  <c r="P23" i="85"/>
  <c r="P40" i="85" s="1" a="1"/>
  <c r="P40" i="85" s="1"/>
  <c r="G25" i="86" l="1"/>
  <c r="Q25" i="86"/>
  <c r="P25" i="86"/>
  <c r="O25" i="86"/>
  <c r="O85" i="86" l="1" a="1"/>
  <c r="O85" i="86" s="1"/>
  <c r="O109" i="86" a="1"/>
  <c r="O109" i="86" s="1"/>
  <c r="O59" i="86" a="1"/>
  <c r="O59" i="86" s="1"/>
  <c r="E27" i="85"/>
  <c r="E44" i="85" s="1" a="1"/>
  <c r="E44" i="85" s="1"/>
  <c r="E25" i="86"/>
  <c r="F27" i="85"/>
  <c r="F44" i="85" s="1" a="1"/>
  <c r="F44" i="85" s="1"/>
  <c r="F25" i="86"/>
  <c r="Q59" i="86" a="1"/>
  <c r="Q59" i="86" s="1"/>
  <c r="Q85" i="86" a="1"/>
  <c r="Q85" i="86" s="1"/>
  <c r="Q109" i="86" a="1"/>
  <c r="Q109" i="86" s="1"/>
  <c r="G85" i="86" a="1"/>
  <c r="G85" i="86" s="1"/>
  <c r="G59" i="86" a="1"/>
  <c r="G59" i="86" s="1"/>
  <c r="G109" i="86" a="1"/>
  <c r="G109" i="86" s="1"/>
  <c r="P59" i="86" a="1"/>
  <c r="P59" i="86" s="1"/>
  <c r="P109" i="86" a="1"/>
  <c r="P109" i="86" s="1"/>
  <c r="P85" i="86" a="1"/>
  <c r="P85" i="86" s="1"/>
  <c r="P27" i="85"/>
  <c r="P44" i="85" s="1" a="1"/>
  <c r="P44" i="85" s="1"/>
  <c r="N27" i="85"/>
  <c r="N44" i="85" s="1" a="1"/>
  <c r="N44" i="85" s="1"/>
  <c r="O27" i="85"/>
  <c r="O44" i="85" s="1" a="1"/>
  <c r="O44" i="85" s="1"/>
  <c r="G27" i="85"/>
  <c r="G44" i="85" s="1" a="1"/>
  <c r="G44" i="85" s="1"/>
  <c r="E85" i="86" l="1" a="1"/>
  <c r="E85" i="86" s="1"/>
  <c r="E109" i="86" a="1"/>
  <c r="E109" i="86" s="1"/>
  <c r="E59" i="86" a="1"/>
  <c r="E59" i="86" s="1"/>
  <c r="F109" i="86" a="1"/>
  <c r="F109" i="86" s="1"/>
  <c r="F59" i="86" a="1"/>
  <c r="F59" i="86" s="1"/>
  <c r="F85" i="86" a="1"/>
  <c r="F85" i="86" s="1"/>
  <c r="P173" i="83"/>
  <c r="N176" i="83" s="1" a="1"/>
  <c r="N176" i="83" s="1"/>
  <c r="G173" i="83"/>
  <c r="E176" i="83" s="1" a="1"/>
  <c r="E176" i="83" s="1"/>
  <c r="E24" i="86" l="1"/>
  <c r="F25" i="85"/>
  <c r="F42" i="85" s="1" a="1"/>
  <c r="F42" i="85" s="1"/>
  <c r="F23" i="86"/>
  <c r="N24" i="85"/>
  <c r="N41" i="85" s="1" a="1"/>
  <c r="N41" i="85" s="1"/>
  <c r="O22" i="86"/>
  <c r="F24" i="85"/>
  <c r="F41" i="85" s="1" a="1"/>
  <c r="F41" i="85" s="1"/>
  <c r="F22" i="86"/>
  <c r="N25" i="85"/>
  <c r="N42" i="85" s="1" a="1"/>
  <c r="N42" i="85" s="1"/>
  <c r="O23" i="86"/>
  <c r="E25" i="85"/>
  <c r="E42" i="85" s="1" a="1"/>
  <c r="E42" i="85" s="1"/>
  <c r="E23" i="86"/>
  <c r="F24" i="86"/>
  <c r="E24" i="85"/>
  <c r="E41" i="85" s="1" a="1"/>
  <c r="E41" i="85" s="1"/>
  <c r="E22" i="86"/>
  <c r="G25" i="85"/>
  <c r="G42" i="85" s="1" a="1"/>
  <c r="G42" i="85" s="1"/>
  <c r="G23" i="86"/>
  <c r="G24" i="85"/>
  <c r="G41" i="85" s="1" a="1"/>
  <c r="G41" i="85" s="1"/>
  <c r="G22" i="86"/>
  <c r="G24" i="86"/>
  <c r="P24" i="86"/>
  <c r="P24" i="85"/>
  <c r="P41" i="85" s="1" a="1"/>
  <c r="P41" i="85" s="1"/>
  <c r="Q22" i="86"/>
  <c r="P25" i="85"/>
  <c r="P42" i="85" s="1" a="1"/>
  <c r="P42" i="85" s="1"/>
  <c r="Q23" i="86"/>
  <c r="O24" i="86"/>
  <c r="O24" i="85"/>
  <c r="O41" i="85" s="1" a="1"/>
  <c r="O41" i="85" s="1"/>
  <c r="P22" i="86"/>
  <c r="O25" i="85"/>
  <c r="O42" i="85" s="1" a="1"/>
  <c r="O42" i="85" s="1"/>
  <c r="P23" i="86"/>
  <c r="Q24" i="86"/>
  <c r="E10" i="13" a="1"/>
  <c r="E10" i="13" s="1"/>
  <c r="H10" i="13" s="1" a="1"/>
  <c r="H10" i="13" s="1"/>
  <c r="F10" i="13" a="1"/>
  <c r="F10" i="13" s="1"/>
  <c r="I10" i="13" s="1" a="1"/>
  <c r="I10" i="13" s="1"/>
  <c r="E46" i="85" l="1"/>
  <c r="I58" i="85" s="1"/>
  <c r="E65" i="85" s="1" a="1"/>
  <c r="E65" i="85" s="1"/>
  <c r="N46" i="85"/>
  <c r="R58" i="85" s="1"/>
  <c r="N65" i="85" s="1" a="1"/>
  <c r="N65" i="85" s="1"/>
  <c r="Q57" i="86" a="1"/>
  <c r="Q57" i="86" s="1"/>
  <c r="Q83" i="86" a="1"/>
  <c r="Q83" i="86" s="1"/>
  <c r="Q107" i="86" a="1"/>
  <c r="Q107" i="86" s="1"/>
  <c r="F108" i="86" a="1"/>
  <c r="F108" i="86" s="1"/>
  <c r="F84" i="86" a="1"/>
  <c r="F84" i="86" s="1"/>
  <c r="F58" i="86" a="1"/>
  <c r="F58" i="86" s="1"/>
  <c r="Q106" i="86" a="1"/>
  <c r="Q106" i="86" s="1"/>
  <c r="Q82" i="86" a="1"/>
  <c r="Q82" i="86" s="1"/>
  <c r="Q56" i="86" a="1"/>
  <c r="Q56" i="86" s="1"/>
  <c r="E83" i="86" a="1"/>
  <c r="E83" i="86" s="1"/>
  <c r="E107" i="86" a="1"/>
  <c r="E107" i="86" s="1"/>
  <c r="E57" i="86" a="1"/>
  <c r="E57" i="86" s="1"/>
  <c r="Q108" i="86" a="1"/>
  <c r="Q108" i="86" s="1"/>
  <c r="Q58" i="86" a="1"/>
  <c r="Q58" i="86" s="1"/>
  <c r="Q84" i="86" a="1"/>
  <c r="Q84" i="86" s="1"/>
  <c r="O106" i="86" a="1"/>
  <c r="O106" i="86" s="1"/>
  <c r="O56" i="86" a="1"/>
  <c r="O56" i="86" s="1"/>
  <c r="O82" i="86" a="1"/>
  <c r="O82" i="86" s="1"/>
  <c r="G84" i="86" a="1"/>
  <c r="G84" i="86" s="1"/>
  <c r="G108" i="86" a="1"/>
  <c r="G108" i="86" s="1"/>
  <c r="G58" i="86" a="1"/>
  <c r="G58" i="86" s="1"/>
  <c r="P82" i="86" a="1"/>
  <c r="P82" i="86" s="1"/>
  <c r="P106" i="86" a="1"/>
  <c r="P106" i="86" s="1"/>
  <c r="P56" i="86" a="1"/>
  <c r="P56" i="86" s="1"/>
  <c r="G107" i="86" a="1"/>
  <c r="G107" i="86" s="1"/>
  <c r="G83" i="86" a="1"/>
  <c r="G83" i="86" s="1"/>
  <c r="G57" i="86" a="1"/>
  <c r="G57" i="86" s="1"/>
  <c r="F83" i="86" a="1"/>
  <c r="F83" i="86" s="1"/>
  <c r="F107" i="86" a="1"/>
  <c r="F107" i="86" s="1"/>
  <c r="F57" i="86" a="1"/>
  <c r="F57" i="86" s="1"/>
  <c r="P83" i="86" a="1"/>
  <c r="P83" i="86" s="1"/>
  <c r="P107" i="86" a="1"/>
  <c r="P107" i="86" s="1"/>
  <c r="P57" i="86" a="1"/>
  <c r="P57" i="86" s="1"/>
  <c r="G56" i="86" a="1"/>
  <c r="G56" i="86" s="1"/>
  <c r="G106" i="86" a="1"/>
  <c r="G106" i="86" s="1"/>
  <c r="G82" i="86" a="1"/>
  <c r="G82" i="86" s="1"/>
  <c r="P58" i="86" a="1"/>
  <c r="P58" i="86" s="1"/>
  <c r="P84" i="86" a="1"/>
  <c r="P84" i="86" s="1"/>
  <c r="P108" i="86" a="1"/>
  <c r="P108" i="86" s="1"/>
  <c r="O83" i="86" a="1"/>
  <c r="O83" i="86" s="1"/>
  <c r="O57" i="86" a="1"/>
  <c r="O57" i="86" s="1"/>
  <c r="O107" i="86" a="1"/>
  <c r="O107" i="86" s="1"/>
  <c r="O84" i="86" a="1"/>
  <c r="O84" i="86" s="1"/>
  <c r="O58" i="86" a="1"/>
  <c r="O58" i="86" s="1"/>
  <c r="O108" i="86" a="1"/>
  <c r="O108" i="86" s="1"/>
  <c r="E106" i="86" a="1"/>
  <c r="E106" i="86" s="1"/>
  <c r="E56" i="86" a="1"/>
  <c r="E56" i="86" s="1"/>
  <c r="E82" i="86" a="1"/>
  <c r="E82" i="86" s="1"/>
  <c r="E84" i="86" a="1"/>
  <c r="E84" i="86" s="1"/>
  <c r="E108" i="86" a="1"/>
  <c r="E108" i="86" s="1"/>
  <c r="E58" i="86" a="1"/>
  <c r="E58" i="86" s="1"/>
  <c r="F106" i="86" a="1"/>
  <c r="F106" i="86" s="1"/>
  <c r="F56" i="86" a="1"/>
  <c r="F56" i="86" s="1"/>
  <c r="F82" i="86" a="1"/>
  <c r="F82" i="86" s="1"/>
  <c r="R214" i="84"/>
  <c r="P217" i="84" s="1" a="1"/>
  <c r="P217" i="84" s="1"/>
  <c r="G67" i="85" l="1"/>
  <c r="E70" i="85" s="1" a="1"/>
  <c r="E70" i="85" s="1"/>
  <c r="E61" i="86"/>
  <c r="E87" i="86"/>
  <c r="O87" i="86"/>
  <c r="E111" i="86"/>
  <c r="O61" i="86"/>
  <c r="O111" i="86"/>
  <c r="P67" i="85"/>
  <c r="N70" i="85" s="1" a="1"/>
  <c r="N70" i="85" s="1"/>
  <c r="E11" i="13" a="1"/>
  <c r="E11" i="13" s="1"/>
  <c r="H11" i="13" s="1" a="1"/>
  <c r="H11" i="13" s="1"/>
  <c r="G214" i="84"/>
  <c r="E217" i="84" s="1" a="1"/>
  <c r="E217" i="84" s="1"/>
  <c r="F12" i="13" a="1"/>
  <c r="F12" i="13" s="1"/>
  <c r="I12" i="13" s="1" a="1"/>
  <c r="I12" i="13" s="1"/>
  <c r="E12" i="13" a="1"/>
  <c r="E12" i="13" s="1"/>
  <c r="H12" i="13" s="1" a="1"/>
  <c r="H12" i="13" s="1"/>
  <c r="F11" i="13" a="1"/>
  <c r="F11" i="13" s="1"/>
  <c r="I11" i="13" s="1" a="1"/>
  <c r="I11" i="13" s="1"/>
  <c r="H20" i="13" l="1"/>
  <c r="E55" i="13" s="1"/>
  <c r="E56" i="13" s="1"/>
  <c r="I20" i="13"/>
  <c r="F55" i="13" s="1"/>
  <c r="F56" i="13" s="1"/>
  <c r="E49" i="72" l="1"/>
  <c r="E73" i="72" s="1"/>
  <c r="E78" i="72" s="1"/>
  <c r="E37" i="80" s="1"/>
  <c r="F49" i="72"/>
  <c r="F73" i="72" s="1"/>
  <c r="F78" i="72" s="1"/>
  <c r="F37" i="80" s="1"/>
  <c r="E54" i="72" l="1"/>
  <c r="E36" i="80" s="1"/>
  <c r="H44" i="80" s="1"/>
  <c r="F54" i="72"/>
  <c r="F36" i="80" s="1"/>
  <c r="I52" i="80" s="1"/>
  <c r="I53" i="80"/>
  <c r="I55" i="80"/>
  <c r="I47" i="80"/>
  <c r="I45" i="80"/>
  <c r="H53" i="80"/>
  <c r="H47" i="80"/>
  <c r="H45" i="80"/>
  <c r="H55" i="80"/>
  <c r="H46" i="80" l="1"/>
  <c r="H52" i="80"/>
  <c r="H54" i="80"/>
  <c r="I46" i="80"/>
  <c r="I44" i="80"/>
  <c r="I54"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<sst xmlns="http://schemas.openxmlformats.org/spreadsheetml/2006/main" count="3415" uniqueCount="1187">
  <si>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</si>
  <si>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</si>
  <si>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</si>
  <si>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</si>
  <si>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</si>
  <si>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</si>
  <si>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</si>
  <si>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</si>
  <si>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</si>
  <si>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</si>
  <si>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</si>
  <si>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</si>
  <si>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</si>
  <si>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</si>
  <si>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</si>
  <si>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</si>
  <si>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</si>
  <si>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</si>
  <si>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</si>
  <si>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</si>
  <si>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</si>
  <si>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</si>
  <si>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</si>
  <si>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</si>
  <si>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</si>
  <si>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</si>
  <si>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</si>
  <si>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</si>
  <si>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</si>
  <si>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</si>
  <si>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</si>
  <si>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</si>
  <si>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</si>
  <si>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</si>
  <si>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</si>
  <si>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</si>
  <si>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</si>
  <si>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</si>
  <si>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</si>
  <si>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</si>
  <si>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</si>
  <si>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</si>
  <si>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</si>
  <si>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</si>
  <si>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</si>
  <si>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</si>
  <si>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</si>
  <si>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</si>
  <si>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</si>
  <si>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</si>
  <si>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</si>
  <si>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</si>
  <si>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</si>
  <si>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</si>
  <si>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</si>
  <si>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</si>
  <si>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</si>
  <si>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</si>
  <si>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</si>
  <si>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</si>
  <si>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</si>
  <si>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</si>
  <si>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</si>
  <si>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</si>
  <si>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</si>
  <si>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</si>
  <si>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</si>
  <si>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</si>
  <si>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</si>
  <si>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</si>
  <si>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</si>
  <si>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</si>
  <si>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</si>
  <si>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</si>
  <si>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</si>
  <si>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</si>
  <si>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</si>
  <si>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</si>
  <si>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</si>
  <si>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</si>
  <si>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</si>
  <si>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</si>
  <si>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</si>
  <si>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</si>
  <si>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</si>
  <si>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</si>
  <si>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</si>
  <si>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</si>
  <si>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</si>
  <si>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</si>
  <si>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</si>
  <si>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</si>
  <si>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</si>
  <si>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</si>
  <si>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</si>
  <si>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</si>
  <si>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</si>
  <si>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</si>
  <si>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</si>
  <si>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</si>
  <si>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</si>
  <si>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</si>
  <si>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</si>
  <si>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</si>
  <si>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</si>
  <si>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</si>
  <si>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</si>
  <si>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</si>
  <si>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</si>
  <si>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</si>
  <si>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</si>
  <si>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</si>
  <si>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</si>
  <si>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</si>
  <si>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</si>
  <si>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</si>
  <si>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</si>
  <si>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</si>
  <si>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</si>
  <si>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</si>
  <si>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</si>
  <si>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</si>
  <si>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</si>
  <si>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</si>
  <si>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</si>
  <si>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</si>
  <si>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</si>
  <si>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</si>
  <si>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</si>
  <si>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</si>
  <si>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</si>
  <si>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</si>
  <si>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</si>
  <si>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</si>
  <si>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</si>
  <si>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</si>
  <si>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</si>
  <si>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</si>
  <si>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</si>
  <si>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</si>
  <si>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</si>
  <si>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</si>
  <si>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</si>
  <si>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</si>
  <si>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</si>
  <si>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</si>
  <si>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</si>
  <si>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</si>
  <si>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</si>
  <si>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</si>
  <si>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</si>
  <si>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</si>
  <si>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</si>
  <si>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</si>
  <si>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</si>
  <si>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</si>
  <si>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</si>
  <si>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</si>
  <si>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</si>
  <si>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</si>
  <si>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</si>
  <si>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</si>
  <si>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</si>
  <si>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</si>
  <si>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</si>
  <si>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</si>
  <si>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</si>
  <si>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</si>
  <si>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</si>
  <si>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</si>
  <si>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</si>
  <si>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</si>
  <si>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</si>
  <si>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</si>
  <si>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</si>
  <si>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</si>
  <si>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</si>
  <si>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</si>
  <si>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</si>
  <si>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</si>
  <si>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</si>
  <si>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</si>
  <si>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</si>
  <si>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</si>
  <si>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</si>
  <si>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</si>
  <si>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</si>
  <si>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</si>
  <si>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</si>
  <si>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</si>
  <si>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</si>
  <si>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</si>
  <si>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</si>
  <si>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</si>
  <si>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</si>
  <si>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</si>
  <si>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</si>
  <si>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</si>
  <si>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</si>
  <si>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</si>
  <si>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</si>
  <si>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</si>
  <si>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</si>
  <si>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</si>
  <si>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</si>
  <si>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</si>
  <si>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</si>
  <si>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</si>
  <si>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</si>
  <si>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</si>
  <si>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</si>
  <si>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</si>
  <si>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</si>
  <si>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</si>
  <si>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</si>
  <si>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</si>
  <si>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</si>
  <si>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</si>
  <si>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</si>
  <si>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</si>
  <si>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</si>
  <si>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</si>
  <si>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</si>
  <si>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</si>
  <si>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</si>
  <si>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</si>
  <si>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</si>
  <si>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</si>
  <si>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</si>
  <si>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</si>
  <si>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</si>
  <si>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</si>
  <si>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</si>
  <si>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</si>
  <si>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</si>
  <si>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</si>
  <si>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</si>
  <si>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</si>
  <si>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</si>
  <si>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</si>
  <si>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</si>
  <si>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</si>
  <si>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</si>
  <si>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</si>
  <si>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</si>
  <si>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</si>
  <si>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</si>
  <si>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</si>
  <si>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</si>
  <si>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</si>
  <si>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</si>
  <si>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</si>
  <si>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</si>
  <si>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</si>
  <si>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</si>
  <si>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</si>
  <si>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</si>
  <si>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</si>
  <si>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</si>
  <si>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</si>
  <si>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</si>
  <si>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</si>
  <si>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</si>
  <si>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</si>
  <si>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</si>
  <si>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Liveweight sold</t>
  </si>
  <si>
    <t>Manure produced</t>
  </si>
  <si>
    <t>10.1.1-2 Solid waste treatment</t>
  </si>
  <si>
    <t>15.2.1.1 Emissions from purchased feed</t>
  </si>
  <si>
    <t>15.10.1.1 Other: Pharmacy chemicals</t>
  </si>
  <si>
    <t>Percentage of income from liveweight sold</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</si>
  <si>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</si>
  <si>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</si>
  <si>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</si>
  <si>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</si>
  <si>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</si>
  <si>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</si>
  <si>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</si>
  <si>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</si>
  <si>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t co2e/t liveweight sold</t>
  </si>
  <si>
    <t>t co2e/t manure sold</t>
  </si>
  <si>
    <t>Feedlot management</t>
  </si>
  <si>
    <t>4.1.1.1-2 Manure Methane</t>
  </si>
  <si>
    <t>3.1.1.1-2 Enteric Methane</t>
  </si>
  <si>
    <t>4.1.1.3-4 Manure Direct N20</t>
  </si>
  <si>
    <t xml:space="preserve"> 4.1.1.5-6 Manure Atmospheric Deposition</t>
  </si>
  <si>
    <t>15.1.1.1 Total emissions from purchased livestock - Cattle</t>
  </si>
  <si>
    <t>Input - MMS - Feedlot</t>
  </si>
  <si>
    <t>Herd movement</t>
  </si>
  <si>
    <t>Domestic</t>
  </si>
  <si>
    <t>Mid-fed</t>
  </si>
  <si>
    <t>Long-fed</t>
  </si>
  <si>
    <t>head</t>
  </si>
  <si>
    <t>days</t>
  </si>
  <si>
    <t>Intake</t>
  </si>
  <si>
    <t>Method 1 default values (Do not edit)</t>
  </si>
  <si>
    <t>Feed intake</t>
  </si>
  <si>
    <t>kg dry matter / head  day</t>
  </si>
  <si>
    <t>Ether extract</t>
  </si>
  <si>
    <t>fraction</t>
  </si>
  <si>
    <t>NDF</t>
  </si>
  <si>
    <t>Dry matter digestibility</t>
  </si>
  <si>
    <t>Crude protein</t>
  </si>
  <si>
    <t>N retention</t>
  </si>
  <si>
    <t>percent of intake</t>
  </si>
  <si>
    <t>Method 2 custom values (Edit if known)</t>
  </si>
  <si>
    <t>Manure management systems</t>
  </si>
  <si>
    <t>Stage 1 MMS</t>
  </si>
  <si>
    <t>Drylot (feed pad)</t>
  </si>
  <si>
    <t>▼</t>
  </si>
  <si>
    <t>Stage 2 MMS</t>
  </si>
  <si>
    <t>►</t>
  </si>
  <si>
    <r>
      <t xml:space="preserve">Destination after stage 2 MMS </t>
    </r>
    <r>
      <rPr>
        <i/>
        <sz val="10"/>
        <color rgb="FF533001"/>
        <rFont val="Arial"/>
        <family val="1"/>
      </rPr>
      <t>(Percent)</t>
    </r>
  </si>
  <si>
    <t>Sold</t>
  </si>
  <si>
    <t>Fert for own farm (eg crop)</t>
  </si>
  <si>
    <t>Direct application to soil</t>
  </si>
  <si>
    <t>Stage 3 MMS</t>
  </si>
  <si>
    <r>
      <t xml:space="preserve">Destination after stage 3 MMS </t>
    </r>
    <r>
      <rPr>
        <i/>
        <sz val="10"/>
        <color rgb="FF533001"/>
        <rFont val="Arial"/>
        <family val="1"/>
      </rPr>
      <t>(Percent)</t>
    </r>
  </si>
  <si>
    <t>Where manure was deposited on farm soils, what is the closest match?</t>
  </si>
  <si>
    <t>Pasture</t>
  </si>
  <si>
    <t>Not irrigated</t>
  </si>
  <si>
    <t>Function name</t>
  </si>
  <si>
    <t>Variable</t>
  </si>
  <si>
    <t>M1_Table_I_j</t>
  </si>
  <si>
    <t>M2_Table_I_j</t>
  </si>
  <si>
    <t>Dry matter intake (Method 1)</t>
  </si>
  <si>
    <t>Dry matter intake (Method 2)</t>
  </si>
  <si>
    <t>kg DM/head/day</t>
  </si>
  <si>
    <t>M1_Table_DMD_j</t>
  </si>
  <si>
    <t>M2_Table_DMD_j</t>
  </si>
  <si>
    <t>Dry matter digestibility (Method 1)</t>
  </si>
  <si>
    <t>Dry matter digestibility (Method 2)</t>
  </si>
  <si>
    <t>M1_Table_VS_j</t>
  </si>
  <si>
    <t>M2_Table_VS_j</t>
  </si>
  <si>
    <t>Volatile solid production (Method 1)</t>
  </si>
  <si>
    <t>Volatile solid production (Method 2)</t>
  </si>
  <si>
    <t>NOTE: Drylot MCF is state based</t>
  </si>
  <si>
    <t>Table_MMS_m-5_T-1</t>
  </si>
  <si>
    <t>Fraction of manure in primary system drylot</t>
  </si>
  <si>
    <t>M1_Table_M_j_m-5_T-1</t>
  </si>
  <si>
    <t>M2_Table_M_j_m-5_T-1</t>
  </si>
  <si>
    <t>Production of methane stage 1 MMS (Method 1)</t>
  </si>
  <si>
    <t>Production of methane stage 1 MMS (Method 2)</t>
  </si>
  <si>
    <t>Table_MMS_m_T-2</t>
  </si>
  <si>
    <t>Fraction of manure sent to stage 2 MMS</t>
  </si>
  <si>
    <t>M1_Table_MCF_i_m</t>
  </si>
  <si>
    <t>M2_Table_MCF_i_m</t>
  </si>
  <si>
    <t>Methane conversion factor for state and MMS (Method 1)</t>
  </si>
  <si>
    <t>Methane conversion factor for state and MMS (Method 2)</t>
  </si>
  <si>
    <r>
      <t>MCF</t>
    </r>
    <r>
      <rPr>
        <b/>
        <vertAlign val="subscript"/>
        <sz val="10"/>
        <color rgb="FF183C1B"/>
        <rFont val="Arial"/>
        <family val="1"/>
      </rPr>
      <t>im</t>
    </r>
  </si>
  <si>
    <r>
      <rPr>
        <b/>
        <sz val="10"/>
        <color rgb="FF0070C0"/>
        <rFont val="Arial"/>
        <family val="1"/>
      </rPr>
      <t>Note:</t>
    </r>
    <r>
      <rPr>
        <sz val="10"/>
        <color rgb="FF0070C0"/>
        <rFont val="Arial"/>
        <family val="1"/>
      </rPr>
      <t xml:space="preserve"> Manure that is directly applied to soils after it is scraped from the feed pad is calculated as having zero methane emissions.</t>
    </r>
  </si>
  <si>
    <t>M1_Table_M_j_m_T-2</t>
  </si>
  <si>
    <t>M2_Table_M_j_m_T-2</t>
  </si>
  <si>
    <t>Production of methane in stage 2 MMS (Method 1)</t>
  </si>
  <si>
    <t>Production of methane in stage 2 MMS (Method 2)</t>
  </si>
  <si>
    <t>Table_MMS_m-1_T-3</t>
  </si>
  <si>
    <t>Fraction of manure sent to tertiary MMS</t>
  </si>
  <si>
    <t>M1_Table_M_j_m-1_T-3</t>
  </si>
  <si>
    <t>M2_Table_M_j_m-1_T-3</t>
  </si>
  <si>
    <t>Production of methane in stage 3 MMS (Method 1)</t>
  </si>
  <si>
    <t>Production of methane in stage 3 MMS (Method 2)</t>
  </si>
  <si>
    <t>Table_D_j</t>
  </si>
  <si>
    <t>Duration of stay</t>
  </si>
  <si>
    <t>M1_Table_M_j_m_T</t>
  </si>
  <si>
    <t>M2_Table_M_j_m_T</t>
  </si>
  <si>
    <t>Methane production for all livestock groups, MMS and treatment stages (Method 1)</t>
  </si>
  <si>
    <t>Methane production for all livestock groups, MMS and treatment stages (Method 2)</t>
  </si>
  <si>
    <t>Stage</t>
  </si>
  <si>
    <t>MMS</t>
  </si>
  <si>
    <t>Table_N_j</t>
  </si>
  <si>
    <t>Number of head in each group</t>
  </si>
  <si>
    <t>Table_E_CH4</t>
  </si>
  <si>
    <t>Methane emissions for each group, MMS and treatment stage</t>
  </si>
  <si>
    <t>ECH4 (Method 1)</t>
  </si>
  <si>
    <t>ECH4 (Method 2)</t>
  </si>
  <si>
    <r>
      <t>E</t>
    </r>
    <r>
      <rPr>
        <vertAlign val="subscript"/>
        <sz val="10"/>
        <color theme="1" tint="0.24994659260841701"/>
        <rFont val="Arial"/>
        <family val="1"/>
      </rPr>
      <t>CO2e</t>
    </r>
    <r>
      <rPr>
        <sz val="10"/>
        <color theme="1" tint="0.24994659260841701"/>
        <rFont val="Arial"/>
        <family val="1"/>
      </rPr>
      <t xml:space="preserve"> (Method 1)</t>
    </r>
  </si>
  <si>
    <r>
      <t>E</t>
    </r>
    <r>
      <rPr>
        <vertAlign val="subscript"/>
        <sz val="10"/>
        <color theme="1" tint="0.24994659260841701"/>
        <rFont val="Arial"/>
        <family val="1"/>
      </rPr>
      <t>CO2e</t>
    </r>
    <r>
      <rPr>
        <sz val="10"/>
        <color theme="1" tint="0.24994659260841701"/>
        <rFont val="Arial"/>
        <family val="1"/>
      </rPr>
      <t xml:space="preserve"> (Method 2)</t>
    </r>
  </si>
  <si>
    <t>4.1.1.3-4 Manure Direct N2O</t>
  </si>
  <si>
    <t>Formula name</t>
  </si>
  <si>
    <t>M1_Table_CP_j</t>
  </si>
  <si>
    <t>M2_Table_CP_j</t>
  </si>
  <si>
    <t>Crude protein content of feed (Method 1)</t>
  </si>
  <si>
    <t>Crude protein content of feed (Method 2)</t>
  </si>
  <si>
    <t>M1_Table_NI_j</t>
  </si>
  <si>
    <t>M2_Table_NI_j</t>
  </si>
  <si>
    <t>Nitrogen intake (Method 1)</t>
  </si>
  <si>
    <t>Nitrogen intake (Method 2)</t>
  </si>
  <si>
    <t>M1_Table_NR_j</t>
  </si>
  <si>
    <t>M2_Table_NR_j</t>
  </si>
  <si>
    <t>Nitrogen retention (Method 1)</t>
  </si>
  <si>
    <t>Nitrogen retention (Method 2)</t>
  </si>
  <si>
    <t>Fraction of intake</t>
  </si>
  <si>
    <t>M1_Table_NE_j</t>
  </si>
  <si>
    <t>M2_Table_NE_j</t>
  </si>
  <si>
    <t>Head</t>
  </si>
  <si>
    <t>M1_Table_AE_j</t>
  </si>
  <si>
    <t>M2_Table_AE_j</t>
  </si>
  <si>
    <t>Annual nitrogen excretion (Method 1)</t>
  </si>
  <si>
    <t>Annual nitrogen excretion (Method 2)</t>
  </si>
  <si>
    <t>Table_MMS_j_m-5_T-1</t>
  </si>
  <si>
    <t>M1_Table_MN_j_m-5_T-1</t>
  </si>
  <si>
    <t>M2_Table_MN_j_m-5_T-1</t>
  </si>
  <si>
    <t>Nitrogen in stage 1 MMS (Method 1)</t>
  </si>
  <si>
    <t>Nitrogen in stage 1 MMS (Method 2)</t>
  </si>
  <si>
    <t>Table_MMS_j_m-1_T-3</t>
  </si>
  <si>
    <t>Fraction of manure sent to stage 3 MMS</t>
  </si>
  <si>
    <t>M1_Table_MN_j_m-1_T-3</t>
  </si>
  <si>
    <t>M2_Table_MN_j_m-1_T-3</t>
  </si>
  <si>
    <t>Nitrogen in stage 3 MMS (Method 1)</t>
  </si>
  <si>
    <t>Nitrogen in stage 3 MMS (Method 2)</t>
  </si>
  <si>
    <t>M1_Table_NT_j_m-_T-2</t>
  </si>
  <si>
    <t>M2_Table_NT_j_m-_T-2</t>
  </si>
  <si>
    <t>Nitrogen transferred to stage 2 MMS (Method 1)</t>
  </si>
  <si>
    <t>Nitrogen transferred to stage 2 MMS (Method 2)</t>
  </si>
  <si>
    <t>Table_MMS_j_m_T-2</t>
  </si>
  <si>
    <t>M1_Table_MN_j_m_T-2</t>
  </si>
  <si>
    <t>Nitrogen in stage 2 MMS (Method 1)</t>
  </si>
  <si>
    <t>Nitrogen in stage 2 MMS (Method 2)</t>
  </si>
  <si>
    <t>Table_EF_j_m</t>
  </si>
  <si>
    <t>EFs for MMS</t>
  </si>
  <si>
    <r>
      <t>EF</t>
    </r>
    <r>
      <rPr>
        <b/>
        <vertAlign val="subscript"/>
        <sz val="10"/>
        <color rgb="FF183C1B"/>
        <rFont val="Arial"/>
        <family val="1"/>
      </rPr>
      <t>jm</t>
    </r>
  </si>
  <si>
    <r>
      <rPr>
        <b/>
        <sz val="10"/>
        <color rgb="FF0070C0"/>
        <rFont val="Arial"/>
        <family val="1"/>
      </rPr>
      <t>Note:</t>
    </r>
    <r>
      <rPr>
        <sz val="10"/>
        <color rgb="FF0070C0"/>
        <rFont val="Arial"/>
        <family val="1"/>
      </rPr>
      <t xml:space="preserve"> Manure that is directly applied to soil after stage 1 is not included in direct nitrous oxide calculations</t>
    </r>
  </si>
  <si>
    <t>and instead is handled in 'Manure applied to soils'.</t>
  </si>
  <si>
    <t>M1_Table_E_N2O_dir</t>
  </si>
  <si>
    <t>M2_Table_E_N2O_dir</t>
  </si>
  <si>
    <t>Total annual N2O emissions (Method 1)</t>
  </si>
  <si>
    <t>Total annual N2O emissions (Method 2)</t>
  </si>
  <si>
    <r>
      <t>E</t>
    </r>
    <r>
      <rPr>
        <b/>
        <vertAlign val="subscript"/>
        <sz val="14"/>
        <color theme="1" tint="0.24994659260841701"/>
        <rFont val="Arial"/>
        <family val="1"/>
      </rPr>
      <t>N2O,dir</t>
    </r>
  </si>
  <si>
    <r>
      <t>E</t>
    </r>
    <r>
      <rPr>
        <vertAlign val="subscript"/>
        <sz val="10"/>
        <color theme="1" tint="0.24994659260841701"/>
        <rFont val="Arial"/>
        <family val="1"/>
      </rPr>
      <t>CO2e</t>
    </r>
  </si>
  <si>
    <t>4.1.1.5-6 Manure Atmospheric Deposition</t>
  </si>
  <si>
    <r>
      <rPr>
        <b/>
        <sz val="10"/>
        <color rgb="FF0070C0"/>
        <rFont val="Arial"/>
        <family val="1"/>
      </rPr>
      <t>Note:</t>
    </r>
    <r>
      <rPr>
        <sz val="10"/>
        <color rgb="FF0070C0"/>
        <rFont val="Arial"/>
        <family val="1"/>
      </rPr>
      <t xml:space="preserve"> Manure that is directly applied to soil after stage 1 is not included in Atmospheric Deposition calculations</t>
    </r>
  </si>
  <si>
    <t>M1_Table_MN_j_m_T</t>
  </si>
  <si>
    <t>M2_Table_MN_j_m_T</t>
  </si>
  <si>
    <t>Nitrogen in each MMS excluding direct application (Method 1)</t>
  </si>
  <si>
    <t>Nitrogen in each MMS excluding direct application (Method 2)</t>
  </si>
  <si>
    <t>Table_FracGASM_m_T-2-3</t>
  </si>
  <si>
    <t>Fraction of N volatilised in each MMS</t>
  </si>
  <si>
    <t>M1_Table_MMS_ATMOS</t>
  </si>
  <si>
    <t>M2_Table_MMS_ATMOS</t>
  </si>
  <si>
    <r>
      <t>MMS</t>
    </r>
    <r>
      <rPr>
        <b/>
        <vertAlign val="subscript"/>
        <sz val="10"/>
        <color theme="1" tint="0.24994659260841701"/>
        <rFont val="Arial"/>
        <family val="1"/>
      </rPr>
      <t>ATMOS</t>
    </r>
  </si>
  <si>
    <r>
      <t>E</t>
    </r>
    <r>
      <rPr>
        <b/>
        <vertAlign val="subscript"/>
        <sz val="14"/>
        <color theme="1" tint="0.24994659260841701"/>
        <rFont val="Arial"/>
        <family val="1"/>
      </rPr>
      <t>N2O,ad</t>
    </r>
  </si>
  <si>
    <t>4.1.1.9 Manure applied to soils</t>
  </si>
  <si>
    <t>M1_Table_MN_j_m_T-2-3</t>
  </si>
  <si>
    <t>M2_Table_MN_j_m_T-2-3</t>
  </si>
  <si>
    <t>Mass on N in stage 2 and 3 MMS (Method 1)</t>
  </si>
  <si>
    <t>Mass on N in stage 2 and 3 MMS (Method 2)</t>
  </si>
  <si>
    <t>kg N</t>
  </si>
  <si>
    <t>Table_EF_j_m_T-2-3</t>
  </si>
  <si>
    <t>kg N2O/kg N</t>
  </si>
  <si>
    <t>(kg NH3-N + NOx-N)/kg N</t>
  </si>
  <si>
    <t>Table_PF</t>
  </si>
  <si>
    <t>Fraction of manure applied to soil from MMS</t>
  </si>
  <si>
    <t>PF</t>
  </si>
  <si>
    <t>M1_Table_MNSoil_scope1</t>
  </si>
  <si>
    <t>M2_Table_MNSoil_scope1</t>
  </si>
  <si>
    <t>Mass of N applied to soils (Method 1)</t>
  </si>
  <si>
    <t>Mass of N applied to soils (Method 2)</t>
  </si>
  <si>
    <r>
      <t>MNSoil</t>
    </r>
    <r>
      <rPr>
        <b/>
        <vertAlign val="subscript"/>
        <sz val="14"/>
        <color theme="1" tint="0.24994659260841701"/>
        <rFont val="Arial"/>
        <family val="1"/>
      </rPr>
      <t>scope1</t>
    </r>
  </si>
  <si>
    <t>M1_Table_MNSoil_scope3</t>
  </si>
  <si>
    <t>M2_Table_MNSoil_scope3</t>
  </si>
  <si>
    <t>Mass of N applied to soils as fertiliser (Method 1)</t>
  </si>
  <si>
    <t>Mass of N applied to soils as fertiliser (Method 2)</t>
  </si>
  <si>
    <r>
      <t>MNSoil</t>
    </r>
    <r>
      <rPr>
        <b/>
        <vertAlign val="subscript"/>
        <sz val="14"/>
        <color theme="1" tint="0.24994659260841701"/>
        <rFont val="Arial"/>
        <family val="1"/>
      </rPr>
      <t>fert,scope3</t>
    </r>
  </si>
  <si>
    <t>* Manure that is removed from stage 2 and 3 MMS and used as fertiliser on the farm, for other enterprises (eg crops)</t>
  </si>
  <si>
    <t>Scope 1: Mass of nitrogen applied as fertiliser on own farm</t>
  </si>
  <si>
    <t>Table_PF_fert</t>
  </si>
  <si>
    <t>Fraction of manure applied to as fertiliser on own farm from MMS</t>
  </si>
  <si>
    <r>
      <t>PF</t>
    </r>
    <r>
      <rPr>
        <b/>
        <vertAlign val="subscript"/>
        <sz val="10"/>
        <color rgb="FF533001"/>
        <rFont val="Arial"/>
        <family val="1"/>
      </rPr>
      <t>fert</t>
    </r>
  </si>
  <si>
    <t>M1_Table_MNSoil_scope3_fert</t>
  </si>
  <si>
    <t>M2_Table_MNSoil_scope3_fert</t>
  </si>
  <si>
    <t>Mass of N applied to own farm as fertiliser (Method 1)</t>
  </si>
  <si>
    <t>Mass of N applied to own farm as fertiliser (Method 2)</t>
  </si>
  <si>
    <r>
      <t>MNSoil</t>
    </r>
    <r>
      <rPr>
        <b/>
        <vertAlign val="subscript"/>
        <sz val="14"/>
        <color theme="1" tint="0.24994659260841701"/>
        <rFont val="Arial"/>
        <family val="1"/>
      </rPr>
      <t>scope3,fert</t>
    </r>
  </si>
  <si>
    <t>Source Data - Feedlot</t>
  </si>
  <si>
    <t>Feedlot manure management systems</t>
  </si>
  <si>
    <t>Feedlot crop or pasture production systems</t>
  </si>
  <si>
    <t>Irrigation methods</t>
  </si>
  <si>
    <t>Livestock classes</t>
  </si>
  <si>
    <t>Table_LivestockClasses_Feedlot</t>
  </si>
  <si>
    <t>Symbol and MMS</t>
  </si>
  <si>
    <t>Production system</t>
  </si>
  <si>
    <t>Livestock class</t>
  </si>
  <si>
    <t>Drip irrigation</t>
  </si>
  <si>
    <t>Sprinkler irrigation</t>
  </si>
  <si>
    <t>Surface irrigation</t>
  </si>
  <si>
    <t>Other irrigation</t>
  </si>
  <si>
    <t>Feedlot type</t>
  </si>
  <si>
    <t>Length of stay</t>
  </si>
  <si>
    <t>Characteristic</t>
  </si>
  <si>
    <t>2005-2009</t>
  </si>
  <si>
    <t>2010-2014</t>
  </si>
  <si>
    <t>2015-2019</t>
  </si>
  <si>
    <t>2020-2023</t>
  </si>
  <si>
    <t>Nutrient analysis</t>
  </si>
  <si>
    <t>2020-2023 Converted to fraction</t>
  </si>
  <si>
    <t>Treatment stage T</t>
  </si>
  <si>
    <t>MMS m</t>
  </si>
  <si>
    <t>NSW</t>
  </si>
  <si>
    <t>ACT</t>
  </si>
  <si>
    <t>QLD</t>
  </si>
  <si>
    <t>NT</t>
  </si>
  <si>
    <t>SA</t>
  </si>
  <si>
    <t>VIC</t>
  </si>
  <si>
    <t>WA</t>
  </si>
  <si>
    <t>TAS</t>
  </si>
  <si>
    <t>NIR definition</t>
  </si>
  <si>
    <t>EF mT</t>
  </si>
  <si>
    <t>FracGASMmT</t>
  </si>
  <si>
    <t>3.1.1.1-2 Enteric Methane Beef Feedlot</t>
  </si>
  <si>
    <t>M1_Table_EE_j</t>
  </si>
  <si>
    <t>M2_Table_EE_j</t>
  </si>
  <si>
    <t>Ether extract (Method 1)</t>
  </si>
  <si>
    <t>Ether extract (Method 2)</t>
  </si>
  <si>
    <t>M1_Table_NDF_j</t>
  </si>
  <si>
    <t>M2_Table_NDF_j</t>
  </si>
  <si>
    <t>Neutral detergent fibre (Method 1)</t>
  </si>
  <si>
    <t>Neutral detergent fibre (Method 2)</t>
  </si>
  <si>
    <t>M1_Table_M_j</t>
  </si>
  <si>
    <t>M2_Table_M_j</t>
  </si>
  <si>
    <t>Daily production of enteric methane (Method 1)</t>
  </si>
  <si>
    <t>Daily production of enteric methane (Method 2)</t>
  </si>
  <si>
    <t>M1_Table_E_CH4</t>
  </si>
  <si>
    <t>M2_Table_E_CH4</t>
  </si>
  <si>
    <t>Methane emissions for each group, MMS and treatment stage (Method 1)</t>
  </si>
  <si>
    <t>Methane emissions for each group, MMS and treatment stage (Method 2)</t>
  </si>
  <si>
    <r>
      <t>E</t>
    </r>
    <r>
      <rPr>
        <b/>
        <vertAlign val="subscript"/>
        <sz val="14"/>
        <color theme="1" tint="0.24994659260841701"/>
        <rFont val="Arial"/>
        <family val="1"/>
      </rPr>
      <t>enteric</t>
    </r>
    <r>
      <rPr>
        <b/>
        <sz val="14"/>
        <color theme="1" tint="0.24994659260841701"/>
        <rFont val="Arial"/>
        <family val="1"/>
      </rPr>
      <t xml:space="preserve"> (Method 1)</t>
    </r>
  </si>
  <si>
    <r>
      <t>E</t>
    </r>
    <r>
      <rPr>
        <b/>
        <vertAlign val="subscript"/>
        <sz val="14"/>
        <color theme="1" tint="0.24994659260841701"/>
        <rFont val="Arial"/>
        <family val="1"/>
      </rPr>
      <t>enteric</t>
    </r>
    <r>
      <rPr>
        <b/>
        <sz val="14"/>
        <color theme="1" tint="0.24994659260841701"/>
        <rFont val="Arial"/>
        <family val="1"/>
      </rPr>
      <t xml:space="preserve"> (Method 2)</t>
    </r>
  </si>
  <si>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</si>
  <si>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</si>
  <si>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</si>
  <si>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</si>
  <si>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</si>
  <si>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</si>
  <si>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</si>
  <si>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</si>
  <si>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</si>
  <si>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</si>
  <si>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</si>
  <si>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</si>
  <si>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</si>
  <si>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</si>
  <si>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</si>
  <si>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</si>
  <si>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</si>
  <si>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</si>
  <si>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</si>
  <si>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</si>
  <si>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</si>
  <si>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</si>
  <si>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</si>
  <si>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</si>
  <si>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</si>
  <si>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</si>
  <si>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</si>
  <si>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</si>
  <si>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</si>
  <si>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</si>
  <si>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</si>
  <si>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</si>
  <si>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</si>
  <si>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Source</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</si>
  <si>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</si>
  <si>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</si>
  <si>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</si>
  <si>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</si>
  <si>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</si>
  <si>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</si>
  <si>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</si>
  <si>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</si>
  <si>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</si>
  <si>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</si>
  <si>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</si>
  <si>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</si>
  <si>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</si>
  <si>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</si>
  <si>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</si>
  <si>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</si>
  <si>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</si>
  <si>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</si>
  <si>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</si>
  <si>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</si>
  <si>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</si>
  <si>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</si>
  <si>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</si>
  <si>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</si>
  <si>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</si>
  <si>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</si>
  <si>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</si>
  <si>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</si>
  <si>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</si>
  <si>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</si>
  <si>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</si>
  <si>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</si>
  <si>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</si>
  <si>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</si>
  <si>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</si>
  <si>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</si>
  <si>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</si>
  <si>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</si>
  <si>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</si>
  <si>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</si>
  <si>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</si>
  <si>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</si>
  <si>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</si>
  <si>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</si>
  <si>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</si>
  <si>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</si>
  <si>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</si>
  <si>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</si>
  <si>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</si>
  <si>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</si>
  <si>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</si>
  <si>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</si>
  <si>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</si>
  <si>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</si>
  <si>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</si>
  <si>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</si>
  <si>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</si>
  <si>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</si>
  <si>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</si>
  <si>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</si>
  <si>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</si>
  <si>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</si>
  <si>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</si>
  <si>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</si>
  <si>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</si>
  <si>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</si>
  <si>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</si>
  <si>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</si>
  <si>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</si>
  <si>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</si>
  <si>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</si>
  <si>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</si>
  <si>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</si>
  <si>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</si>
  <si>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</si>
  <si>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</si>
  <si>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</si>
  <si>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</si>
  <si>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</si>
  <si>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</si>
  <si>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</si>
  <si>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</si>
  <si>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</si>
  <si>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</si>
  <si>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</si>
  <si>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</si>
  <si>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</si>
  <si>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</si>
  <si>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</si>
  <si>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</si>
  <si>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</si>
  <si>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</si>
  <si>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</si>
  <si>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</si>
  <si>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</si>
  <si>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</si>
  <si>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</si>
  <si>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</si>
  <si>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</si>
  <si>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</si>
  <si>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</si>
  <si>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</si>
  <si>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</si>
  <si>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</si>
  <si>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</si>
  <si>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</si>
  <si>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</si>
  <si>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</si>
  <si>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</si>
  <si>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</si>
  <si>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Fertiliser Production System</t>
  </si>
  <si>
    <t>Crop</t>
  </si>
  <si>
    <t>Crop type</t>
  </si>
  <si>
    <t>Maize</t>
  </si>
  <si>
    <t>Area under cropping</t>
  </si>
  <si>
    <t>hectares</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</si>
  <si>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</si>
  <si>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</si>
  <si>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</si>
  <si>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</si>
  <si>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</si>
  <si>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</si>
  <si>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</si>
  <si>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</si>
  <si>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</si>
  <si>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</si>
  <si>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</si>
  <si>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</si>
  <si>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</si>
  <si>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</si>
  <si>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</si>
  <si>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</si>
  <si>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</si>
  <si>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</si>
  <si>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</si>
  <si>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</si>
  <si>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</si>
  <si>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</si>
  <si>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</si>
  <si>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</si>
  <si>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</si>
  <si>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</si>
  <si>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</si>
  <si>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</si>
  <si>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</si>
  <si>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</si>
  <si>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</si>
  <si>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</si>
  <si>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</si>
  <si>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</si>
  <si>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</si>
  <si>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</si>
  <si>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</si>
  <si>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</si>
  <si>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</si>
  <si>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</si>
  <si>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</si>
  <si>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</si>
  <si>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</si>
  <si>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</si>
  <si>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</si>
  <si>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</si>
  <si>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</si>
  <si>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</si>
  <si>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</si>
  <si>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</si>
  <si>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</si>
  <si>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</si>
  <si>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</si>
  <si>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</si>
  <si>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</si>
  <si>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</si>
  <si>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</si>
  <si>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</si>
  <si>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</si>
  <si>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</si>
  <si>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</si>
  <si>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</si>
  <si>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</si>
  <si>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</si>
  <si>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</si>
  <si>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</si>
  <si>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</si>
  <si>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</si>
  <si>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</si>
  <si>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</si>
  <si>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</si>
  <si>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</si>
  <si>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kg</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</si>
  <si>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</si>
  <si>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</si>
  <si>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</si>
  <si>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</si>
  <si>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</si>
  <si>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</si>
  <si>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</si>
  <si>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</si>
  <si>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</si>
  <si>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</si>
  <si>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</si>
  <si>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</si>
  <si>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</si>
  <si>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</si>
  <si>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</si>
  <si>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</si>
  <si>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</si>
  <si>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</si>
  <si>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</si>
  <si>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</si>
  <si>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</si>
  <si>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</si>
  <si>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</si>
  <si>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</si>
  <si>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</si>
  <si>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</si>
  <si>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</si>
  <si>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</si>
  <si>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</si>
  <si>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</si>
  <si>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</si>
  <si>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</si>
  <si>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</si>
  <si>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</si>
  <si>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</si>
  <si>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</si>
  <si>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</si>
  <si>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</si>
  <si>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</si>
  <si>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</si>
  <si>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</si>
  <si>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</si>
  <si>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</si>
  <si>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</si>
  <si>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</si>
  <si>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</si>
  <si>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</si>
  <si>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</si>
  <si>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</si>
  <si>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</si>
  <si>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</si>
  <si>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</si>
  <si>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</si>
  <si>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</si>
  <si>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</si>
  <si>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</si>
  <si>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</si>
  <si>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</si>
  <si>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</si>
  <si>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</si>
  <si>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</si>
  <si>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</si>
  <si>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</si>
  <si>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</si>
  <si>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</si>
  <si>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</si>
  <si>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</si>
  <si>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</si>
  <si>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</si>
  <si>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</si>
  <si>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</si>
  <si>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</si>
  <si>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</si>
  <si>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</si>
  <si>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</si>
  <si>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</si>
  <si>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</si>
  <si>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</si>
  <si>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</si>
  <si>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</si>
  <si>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</si>
  <si>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</si>
  <si>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</si>
  <si>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</si>
  <si>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</si>
  <si>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</si>
  <si>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</si>
  <si>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</si>
  <si>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</si>
  <si>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</si>
  <si>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Production systems</t>
  </si>
  <si>
    <t>Crop types</t>
  </si>
  <si>
    <t>Organic fertiliser types</t>
  </si>
  <si>
    <t>Organic fertiliser type</t>
  </si>
  <si>
    <t>Manure - Cattle</t>
  </si>
  <si>
    <t>Grains</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</si>
  <si>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</si>
  <si>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</si>
  <si>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</si>
  <si>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</si>
  <si>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</si>
  <si>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</si>
  <si>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</si>
  <si>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</si>
  <si>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</si>
  <si>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</si>
  <si>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</si>
  <si>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</si>
  <si>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</si>
  <si>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</si>
  <si>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</si>
  <si>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</si>
  <si>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</si>
  <si>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</si>
  <si>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</si>
  <si>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</si>
  <si>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</si>
  <si>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</si>
  <si>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</si>
  <si>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</si>
  <si>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</si>
  <si>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</si>
  <si>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</si>
  <si>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</si>
  <si>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</si>
  <si>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</si>
  <si>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</si>
  <si>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</si>
  <si>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</si>
  <si>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</si>
  <si>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</si>
  <si>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</si>
  <si>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</si>
  <si>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</si>
  <si>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</si>
  <si>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</si>
  <si>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</si>
  <si>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</si>
  <si>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</si>
  <si>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</si>
  <si>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</si>
  <si>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</si>
  <si>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</si>
  <si>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</si>
  <si>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</si>
  <si>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</si>
  <si>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</si>
  <si>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</si>
  <si>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</si>
  <si>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</si>
  <si>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</si>
  <si>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</si>
  <si>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</si>
  <si>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</si>
  <si>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</si>
  <si>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</si>
  <si>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</si>
  <si>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</si>
  <si>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</si>
  <si>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</si>
  <si>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</si>
  <si>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</si>
  <si>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</si>
  <si>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</si>
  <si>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</si>
  <si>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</si>
  <si>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</si>
  <si>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</si>
  <si>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</si>
  <si>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</si>
  <si>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</si>
  <si>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</si>
  <si>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</si>
  <si>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</si>
  <si>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</si>
  <si>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</si>
  <si>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</si>
  <si>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</si>
  <si>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</si>
  <si>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</si>
  <si>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</si>
  <si>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Beef Cattle Purchases</t>
  </si>
  <si>
    <t>⚠️ Livestock sales and purchases are not automatically reflected in the duration and head count tables - you will need to manually adjust head count, duration and average liveweight</t>
  </si>
  <si>
    <t>Purchase date</t>
  </si>
  <si>
    <t>Purchase class (select)</t>
  </si>
  <si>
    <t>Source region (Select)</t>
  </si>
  <si>
    <t>Quantity (head)</t>
  </si>
  <si>
    <t>Liveweight (kg/head) Method 1</t>
  </si>
  <si>
    <t>Liveweight (kg/head) Method 2</t>
  </si>
  <si>
    <t>Cows from Barry</t>
  </si>
  <si>
    <t>Steers &lt; 1 year</t>
  </si>
  <si>
    <t>Cattle, for prime beef</t>
  </si>
  <si>
    <t>WA - Kimberley</t>
  </si>
  <si>
    <t>Steers 1-2 years</t>
  </si>
  <si>
    <t>Cattle, for manufacturing beef</t>
  </si>
  <si>
    <t>WA - South west</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</si>
  <si>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</si>
  <si>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</si>
  <si>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</si>
  <si>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</si>
  <si>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</si>
  <si>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</si>
  <si>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</si>
  <si>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</si>
  <si>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</si>
  <si>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</si>
  <si>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</si>
  <si>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</si>
  <si>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</si>
  <si>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</si>
  <si>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</si>
  <si>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</si>
  <si>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</si>
  <si>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</si>
  <si>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</si>
  <si>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</si>
  <si>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</si>
  <si>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</si>
  <si>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</si>
  <si>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</si>
  <si>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</si>
  <si>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</si>
  <si>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</si>
  <si>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</si>
  <si>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</si>
  <si>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</si>
  <si>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</si>
  <si>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</si>
  <si>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</si>
  <si>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</si>
  <si>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</si>
  <si>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</si>
  <si>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</si>
  <si>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</si>
  <si>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</si>
  <si>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</si>
  <si>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</si>
  <si>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Australia</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</si>
  <si>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</si>
  <si>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</si>
  <si>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</si>
  <si>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</si>
  <si>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</si>
  <si>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</si>
  <si>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</si>
  <si>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</si>
  <si>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</si>
  <si>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</si>
  <si>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</si>
  <si>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</si>
  <si>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</si>
  <si>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</si>
  <si>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</si>
  <si>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</si>
  <si>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</si>
  <si>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</si>
  <si>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</si>
  <si>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</si>
  <si>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</si>
  <si>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</si>
  <si>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</si>
  <si>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</si>
  <si>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</si>
  <si>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</si>
  <si>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</si>
  <si>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</si>
  <si>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</si>
  <si>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</si>
  <si>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</si>
  <si>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</si>
  <si>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</si>
  <si>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</si>
  <si>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</si>
  <si>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</si>
  <si>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Mass of Nitrogen from manure sent offsite (MNSoil) - Method 1</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</si>
  <si>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</si>
  <si>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</si>
  <si>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</si>
  <si>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</si>
  <si>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</si>
  <si>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</si>
  <si>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</si>
  <si>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</si>
  <si>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</si>
  <si>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</si>
  <si>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</si>
  <si>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</si>
  <si>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</si>
  <si>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</si>
  <si>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</si>
  <si>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</si>
  <si>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</si>
  <si>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</si>
  <si>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</si>
  <si>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</si>
  <si>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</si>
  <si>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</si>
  <si>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</si>
  <si>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</si>
  <si>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</si>
  <si>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</si>
  <si>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</si>
  <si>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</si>
  <si>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</si>
  <si>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</si>
  <si>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</si>
  <si>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</si>
  <si>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</si>
  <si>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</si>
  <si>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</si>
  <si>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</si>
  <si>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</si>
  <si>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</si>
  <si>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</si>
  <si>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</si>
  <si>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</si>
  <si>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</si>
  <si>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</si>
  <si>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</si>
  <si>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</si>
  <si>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</si>
  <si>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</si>
  <si>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</si>
  <si>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</si>
  <si>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</si>
  <si>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</si>
  <si>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</si>
  <si>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</si>
  <si>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</si>
  <si>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</si>
  <si>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</si>
  <si>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</si>
  <si>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</si>
  <si>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</si>
  <si>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</si>
  <si>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</si>
  <si>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</si>
  <si>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</si>
  <si>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</si>
  <si>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</si>
  <si>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</si>
  <si>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</si>
  <si>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</si>
  <si>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</si>
  <si>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</si>
  <si>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</si>
  <si>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</si>
  <si>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</si>
  <si>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</si>
  <si>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</si>
  <si>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</si>
  <si>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</si>
  <si>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</si>
  <si>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</si>
  <si>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</si>
  <si>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</si>
  <si>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</si>
  <si>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</si>
  <si>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</si>
  <si>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</si>
  <si>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</si>
  <si>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</si>
  <si>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</si>
  <si>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</si>
  <si>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</si>
  <si>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</si>
  <si>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</si>
  <si>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</si>
  <si>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</si>
  <si>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</si>
  <si>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</si>
  <si>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</si>
  <si>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</si>
  <si>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</si>
  <si>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</si>
  <si>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</si>
  <si>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</si>
  <si>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</si>
  <si>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</si>
  <si>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</si>
  <si>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</si>
  <si>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</si>
  <si>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</si>
  <si>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</si>
  <si>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</si>
  <si>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</si>
  <si>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</si>
  <si>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</si>
  <si>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Seed</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</si>
  <si>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</si>
  <si>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</si>
  <si>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</si>
  <si>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</si>
  <si>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</si>
  <si>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</si>
  <si>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</si>
  <si>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</si>
  <si>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</si>
  <si>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</si>
  <si>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</si>
  <si>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</si>
  <si>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</si>
  <si>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</si>
  <si>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</si>
  <si>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</si>
  <si>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0"/>
        <color theme="1" tint="0.24994659260841701"/>
        <rFont val="Arial"/>
        <family val="1"/>
      </rPr>
      <t>vol,inorganic,jf</t>
    </r>
  </si>
  <si>
    <r>
      <t>M</t>
    </r>
    <r>
      <rPr>
        <b/>
        <vertAlign val="subscript"/>
        <sz val="10"/>
        <color theme="1" tint="0.24994659260841701"/>
        <rFont val="Arial"/>
        <family val="1"/>
      </rPr>
      <t>leach,inorganic,jf</t>
    </r>
  </si>
  <si>
    <t>Animals</t>
  </si>
  <si>
    <t>Table_ProductRegions_Beefcattle</t>
  </si>
  <si>
    <t>Category</t>
  </si>
  <si>
    <t>Region of origin</t>
  </si>
  <si>
    <t>Quantity Unit</t>
  </si>
  <si>
    <t>Emissions intensity</t>
  </si>
  <si>
    <t>System boundary</t>
  </si>
  <si>
    <t>Region</t>
  </si>
  <si>
    <t>Scope3 region</t>
  </si>
  <si>
    <t>GHGEI-MIAFF</t>
  </si>
  <si>
    <t>WA - Pilbara</t>
  </si>
  <si>
    <t>NT - Alice Springs</t>
  </si>
  <si>
    <t>NT - Barkly</t>
  </si>
  <si>
    <t>NT - Northern</t>
  </si>
  <si>
    <t>QLD - High</t>
  </si>
  <si>
    <t>QLD - Moderate/High</t>
  </si>
  <si>
    <t>QLD - Moderate/Low</t>
  </si>
  <si>
    <t>QLD - Low</t>
  </si>
  <si>
    <t>Chemicals</t>
  </si>
  <si>
    <t>Inorganic fertilisers</t>
  </si>
  <si>
    <t>Quantity</t>
  </si>
  <si>
    <t>Other agricultural inputs</t>
  </si>
  <si>
    <t>Packaging</t>
  </si>
  <si>
    <t>Pesticides</t>
  </si>
  <si>
    <t>Soil ameliorants</t>
  </si>
  <si>
    <t>Fish feed and bait</t>
  </si>
  <si>
    <t>VEERG</t>
  </si>
  <si>
    <t>Constants - Livestock</t>
  </si>
  <si>
    <t>Symbol</t>
  </si>
  <si>
    <t>Manure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</si>
</sst>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 numFmtId="172" formatCode="[$-C09]d\ mmmm\ yyyy;@"/>
    <numFmt numFmtId="173" formatCode="0.00000"/>
    <numFmt numFmtId="174" formatCode="0.000000E+00"/>
  </numFmts>
  <fonts count="81"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b/>
      <sz val="10"/>
      <color theme="5" tint="-0.499984740745262"/>
      <name val="Arial"/>
      <family val="1"/>
    </font>
    <font>
      <b/>
      <sz val="20"/>
      <color theme="5" tint="-0.499984740745262"/>
      <name val="Arial"/>
      <family val="1"/>
    </font>
    <font>
      <i/>
      <sz val="10"/>
      <color rgb="FF533001"/>
      <name val="Arial"/>
      <family val="1"/>
    </font>
    <font>
      <b/>
      <sz val="10"/>
      <color rgb="FFC44340"/>
      <name val="Arial"/>
      <family val="1"/>
    </font>
    <font>
      <b/>
      <vertAlign val="subscript"/>
      <sz val="10"/>
      <color rgb="FF183C1B"/>
      <name val="Arial"/>
      <family val="1"/>
    </font>
    <font>
      <vertAlign val="subscript"/>
      <sz val="10"/>
      <color theme="1" tint="0.24994659260841701"/>
      <name val="Arial"/>
      <family val="1"/>
    </font>
    <font>
      <b/>
      <vertAlign val="subscript"/>
      <sz val="14"/>
      <color theme="1" tint="0.24994659260841701"/>
      <name val="Arial"/>
      <family val="1"/>
    </font>
    <font>
      <b/>
      <vertAlign val="subscript"/>
      <sz val="10"/>
      <color theme="1" tint="0.24994659260841701"/>
      <name val="Arial"/>
      <family val="1"/>
    </font>
    <font>
      <b/>
      <vertAlign val="subscript"/>
      <sz val="10"/>
      <color rgb="FF533001"/>
      <name val="Arial"/>
      <family val="1"/>
    </font>
    <font>
      <b/>
      <sz val="10"/>
      <color theme="1"/>
      <name val="Arial"/>
      <family val="2"/>
    </font>
    <font>
      <sz val="9"/>
      <color theme="1"/>
      <name val="Arial"/>
      <family val="2"/>
    </font>
    <font>
      <sz val="9"/>
      <name val="Arial"/>
      <family val="1"/>
    </font>
    <font>
      <b/>
      <sz val="9"/>
      <color theme="1" tint="0.34998626667073579"/>
      <name val="Arial"/>
      <family val="1"/>
    </font>
    <font>
      <sz val="14"/>
      <name val="Arial"/>
      <family val="1"/>
    </font>
    <font>
      <b/>
      <sz val="9"/>
      <name val="Arial"/>
      <family val="1"/>
    </font>
    <font>
      <sz val="10"/>
      <name val="Arial"/>
      <family val="1"/>
    </font>
    <font>
      <b/>
      <sz val="9"/>
      <color theme="1" tint="0.14999847407452621"/>
      <name val="Arial"/>
      <family val="1"/>
    </font>
    <font>
      <b/>
      <i/>
      <sz val="10"/>
      <color rgb="FFCC6600"/>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2"/>
      <color theme="1" tint="0.24994659260841701"/>
      <name val="Arial"/>
      <family val="1"/>
    </font>
    <font>
      <i/>
      <sz val="10"/>
      <color rgb="FFC44340"/>
      <name val="Arial"/>
      <family val="1"/>
    </font>
    <font>
      <b/>
      <vertAlign val="subscript"/>
      <sz val="12"/>
      <color theme="1" tint="0.24994659260841701"/>
      <name val="Arial"/>
      <family val="1"/>
    </font>
    <font>
      <b/>
      <vertAlign val="superscript"/>
      <sz val="10"/>
      <color rgb="FF183C1B"/>
      <name val="Arial"/>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EBC1"/>
        <bgColor indexed="64"/>
      </patternFill>
    </fill>
  </fills>
  <borders count="29">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s>
  <cellStyleXfs count="72">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73" fillId="0" borderId="0"/>
    <xf numFmtId="0" fontId="74" fillId="4" borderId="0">
      <alignment horizontal="left" vertical="center"/>
    </xf>
    <xf numFmtId="0" fontId="38" fillId="16" borderId="2">
      <alignment horizontal="center" vertical="center"/>
    </xf>
  </cellStyleXfs>
  <cellXfs count="254">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171" fontId="0" fillId="0" borderId="0" xfId="8" applyNumberFormat="1" applyFont="1" applyFill="1">
      <alignment horizontal="left" vertical="center"/>
    </xf>
    <xf numFmtId="0" fontId="9" fillId="0" borderId="0" xfId="55"/>
    <xf numFmtId="0" fontId="12" fillId="6" borderId="0" xfId="28">
      <alignment horizontal="left" vertical="center" indent="1"/>
    </xf>
    <xf numFmtId="3" fontId="2" fillId="0" borderId="2" xfId="18">
      <alignment horizontal="center" vertical="center"/>
    </xf>
    <xf numFmtId="0" fontId="20" fillId="5" borderId="0" xfId="36">
      <alignment horizontal="left" vertical="center" indent="1"/>
    </xf>
    <xf numFmtId="0" fontId="55" fillId="6" borderId="0" xfId="29" applyFont="1" applyProtection="1">
      <alignment horizontal="center" vertical="center"/>
    </xf>
    <xf numFmtId="0" fontId="27" fillId="4" borderId="0" xfId="8" applyAlignment="1">
      <alignment horizontal="left" vertical="center" indent="3"/>
    </xf>
    <xf numFmtId="9" fontId="23" fillId="4" borderId="2" xfId="68" applyFont="1" applyFill="1" applyBorder="1" applyAlignment="1">
      <alignment horizontal="center" vertical="center"/>
    </xf>
    <xf numFmtId="0" fontId="56" fillId="4" borderId="0" xfId="59" applyFont="1" applyAlignment="1">
      <alignment horizontal="left" vertical="center" indent="2"/>
    </xf>
    <xf numFmtId="0" fontId="55" fillId="6" borderId="0" xfId="29" applyFont="1" applyAlignment="1" applyProtection="1">
      <alignment horizontal="left" vertical="center" indent="3"/>
    </xf>
    <xf numFmtId="0" fontId="56" fillId="4" borderId="0" xfId="59" applyFont="1">
      <alignment horizontal="left" vertical="center"/>
    </xf>
    <xf numFmtId="0" fontId="40" fillId="4" borderId="0" xfId="8" applyFont="1" applyAlignment="1">
      <alignment horizontal="left" vertical="center" indent="6"/>
    </xf>
    <xf numFmtId="0" fontId="27" fillId="4" borderId="0" xfId="8" applyAlignment="1">
      <alignment horizontal="center" vertical="center"/>
    </xf>
    <xf numFmtId="0" fontId="27" fillId="4" borderId="0" xfId="8" applyAlignment="1">
      <alignment horizontal="left" vertical="center" indent="6"/>
    </xf>
    <xf numFmtId="0" fontId="12" fillId="6" borderId="0" xfId="28" applyAlignment="1">
      <alignment horizontal="left" vertical="center" indent="3"/>
    </xf>
    <xf numFmtId="0" fontId="15" fillId="4" borderId="0" xfId="24">
      <alignment horizontal="left" vertical="center"/>
    </xf>
    <xf numFmtId="0" fontId="23" fillId="4" borderId="2" xfId="63">
      <alignment horizontal="left" vertical="center"/>
    </xf>
    <xf numFmtId="0" fontId="38" fillId="15" borderId="2" xfId="65">
      <alignment horizontal="center" vertical="center"/>
    </xf>
    <xf numFmtId="0" fontId="37" fillId="14" borderId="2" xfId="64">
      <alignment horizontal="center" vertical="center"/>
    </xf>
    <xf numFmtId="0" fontId="36" fillId="4" borderId="2" xfId="62">
      <alignment horizontal="left" vertical="center"/>
    </xf>
    <xf numFmtId="0" fontId="20" fillId="8" borderId="0" xfId="37">
      <alignment horizontal="left" vertical="center" indent="1"/>
    </xf>
    <xf numFmtId="0" fontId="32" fillId="4" borderId="0" xfId="57">
      <alignment horizontal="left" vertical="center"/>
    </xf>
    <xf numFmtId="0" fontId="33" fillId="4" borderId="0" xfId="58">
      <alignment horizontal="left" vertical="center"/>
    </xf>
    <xf numFmtId="0" fontId="5" fillId="2" borderId="0" xfId="9">
      <alignment horizontal="center" vertical="center"/>
    </xf>
    <xf numFmtId="0" fontId="23" fillId="4" borderId="18" xfId="63" applyBorder="1">
      <alignment horizontal="left" vertical="center"/>
    </xf>
    <xf numFmtId="0" fontId="23" fillId="4" borderId="19" xfId="63" applyBorder="1">
      <alignment horizontal="left" vertical="center"/>
    </xf>
    <xf numFmtId="0" fontId="58" fillId="4" borderId="0" xfId="54" applyFont="1">
      <alignment horizontal="left" vertical="center"/>
    </xf>
    <xf numFmtId="0" fontId="23" fillId="4" borderId="2" xfId="52" applyAlignment="1">
      <alignment horizontal="left" vertical="center"/>
    </xf>
    <xf numFmtId="3" fontId="23" fillId="4" borderId="2" xfId="52" applyNumberFormat="1">
      <alignment horizontal="center" vertical="center"/>
    </xf>
    <xf numFmtId="0" fontId="23" fillId="4" borderId="18" xfId="52" applyBorder="1" applyAlignment="1">
      <alignment horizontal="left" vertical="center"/>
    </xf>
    <xf numFmtId="0" fontId="23" fillId="4" borderId="20" xfId="52" applyBorder="1">
      <alignment horizontal="center" vertical="center"/>
    </xf>
    <xf numFmtId="0" fontId="5" fillId="2" borderId="0" xfId="1">
      <alignment horizontal="left" vertical="center" indent="1"/>
      <protection locked="0"/>
    </xf>
    <xf numFmtId="0" fontId="30" fillId="13" borderId="11" xfId="39" applyBorder="1">
      <alignment horizontal="left" vertical="center"/>
    </xf>
    <xf numFmtId="0" fontId="6" fillId="4" borderId="1" xfId="12" applyBorder="1">
      <alignment horizontal="left" vertical="center" indent="1"/>
    </xf>
    <xf numFmtId="0" fontId="27" fillId="4" borderId="21" xfId="8" applyBorder="1">
      <alignment horizontal="left" vertical="center"/>
    </xf>
    <xf numFmtId="0" fontId="23" fillId="4" borderId="20" xfId="63" applyBorder="1">
      <alignment horizontal="left" vertical="center"/>
    </xf>
    <xf numFmtId="0" fontId="0" fillId="0" borderId="1" xfId="0" applyBorder="1"/>
    <xf numFmtId="0" fontId="0" fillId="0" borderId="0" xfId="1" applyFont="1" applyFill="1">
      <alignment horizontal="left" vertical="center" indent="1"/>
      <protection locked="0"/>
    </xf>
    <xf numFmtId="0" fontId="64" fillId="2" borderId="0" xfId="8" applyFont="1" applyFill="1">
      <alignment horizontal="left" vertical="center"/>
    </xf>
    <xf numFmtId="4" fontId="2" fillId="0" borderId="2" xfId="17">
      <alignment horizontal="center" vertical="center"/>
    </xf>
    <xf numFmtId="166" fontId="23" fillId="4" borderId="2" xfId="45">
      <alignment horizontal="center" vertical="center"/>
    </xf>
    <xf numFmtId="0" fontId="0" fillId="0" borderId="0" xfId="0" applyAlignment="1">
      <alignment wrapText="1"/>
    </xf>
    <xf numFmtId="172" fontId="0" fillId="0" borderId="0" xfId="8" applyNumberFormat="1" applyFont="1" applyFill="1">
      <alignment horizontal="left" vertical="center"/>
    </xf>
    <xf numFmtId="0" fontId="27" fillId="4" borderId="0" xfId="8" applyAlignment="1">
      <alignment horizontal="left" vertical="center" wrapText="1"/>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9" fontId="23" fillId="4" borderId="2" xfId="63" applyNumberFormat="1">
      <alignment horizontal="left" vertical="center"/>
    </xf>
    <xf numFmtId="0" fontId="65" fillId="0" borderId="0" xfId="0" applyFont="1" applyAlignment="1">
      <alignment vertical="center"/>
    </xf>
    <xf numFmtId="0" fontId="0" fillId="0" borderId="0" xfId="0"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66" fillId="4" borderId="0" xfId="0" applyFont="1" applyFill="1"/>
    <xf numFmtId="0" fontId="26" fillId="4" borderId="0" xfId="48" applyAlignment="1">
      <alignment horizontal="left" vertical="center"/>
    </xf>
    <xf numFmtId="4" fontId="23" fillId="4" borderId="2" xfId="46">
      <alignment horizontal="center" vertical="center"/>
    </xf>
    <xf numFmtId="173" fontId="67"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3" fontId="67"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2" xfId="52" applyBorder="1">
      <alignment horizontal="center" vertical="center"/>
    </xf>
    <xf numFmtId="0" fontId="23" fillId="4" borderId="23" xfId="52" applyBorder="1">
      <alignment horizontal="center" vertical="center"/>
    </xf>
    <xf numFmtId="4" fontId="23" fillId="4" borderId="22" xfId="46" applyBorder="1">
      <alignment horizontal="center" vertical="center"/>
    </xf>
    <xf numFmtId="4" fontId="23" fillId="4" borderId="24" xfId="46" applyBorder="1">
      <alignment horizontal="center" vertical="center"/>
    </xf>
    <xf numFmtId="173" fontId="67" fillId="4" borderId="24" xfId="52" applyNumberFormat="1" applyFont="1" applyBorder="1">
      <alignment horizontal="center" vertical="center"/>
    </xf>
    <xf numFmtId="173" fontId="67" fillId="4" borderId="22" xfId="52" applyNumberFormat="1" applyFont="1" applyBorder="1">
      <alignment horizontal="center" vertical="center"/>
    </xf>
    <xf numFmtId="0" fontId="23" fillId="4" borderId="24" xfId="52" applyBorder="1">
      <alignment horizontal="center" vertical="center"/>
    </xf>
    <xf numFmtId="0" fontId="67" fillId="4" borderId="24" xfId="52" applyFont="1" applyBorder="1">
      <alignment horizontal="center" vertical="center"/>
    </xf>
    <xf numFmtId="0" fontId="3" fillId="4" borderId="21" xfId="7" applyBorder="1">
      <alignment horizontal="left" vertical="center"/>
    </xf>
    <xf numFmtId="165" fontId="66" fillId="4" borderId="21" xfId="0" applyNumberFormat="1" applyFont="1" applyFill="1" applyBorder="1"/>
    <xf numFmtId="0" fontId="6" fillId="4" borderId="21" xfId="12" applyBorder="1">
      <alignment horizontal="left" vertical="center" indent="1"/>
    </xf>
    <xf numFmtId="168" fontId="66" fillId="4" borderId="0" xfId="0" applyNumberFormat="1" applyFont="1" applyFill="1" applyAlignment="1">
      <alignment vertical="center"/>
    </xf>
    <xf numFmtId="165" fontId="66" fillId="4" borderId="21" xfId="0" applyNumberFormat="1" applyFont="1" applyFill="1" applyBorder="1" applyAlignment="1">
      <alignment vertical="center"/>
    </xf>
    <xf numFmtId="0" fontId="66" fillId="4" borderId="0" xfId="0" applyFont="1" applyFill="1" applyAlignment="1">
      <alignment vertical="center"/>
    </xf>
    <xf numFmtId="165" fontId="68" fillId="4" borderId="21" xfId="0" applyNumberFormat="1" applyFont="1" applyFill="1" applyBorder="1" applyAlignment="1">
      <alignment vertical="center"/>
    </xf>
    <xf numFmtId="168" fontId="67" fillId="4" borderId="2" xfId="46" applyNumberFormat="1" applyFont="1">
      <alignment horizontal="center" vertical="center"/>
    </xf>
    <xf numFmtId="168" fontId="67" fillId="4" borderId="17" xfId="46" applyNumberFormat="1" applyFont="1" applyBorder="1">
      <alignment horizontal="center" vertical="center"/>
    </xf>
    <xf numFmtId="168" fontId="67" fillId="4" borderId="24" xfId="46" applyNumberFormat="1" applyFont="1" applyBorder="1">
      <alignment horizontal="center" vertical="center"/>
    </xf>
    <xf numFmtId="0" fontId="65" fillId="0" borderId="0" xfId="0" applyFont="1" applyAlignment="1">
      <alignment vertical="center" wrapText="1"/>
    </xf>
    <xf numFmtId="0" fontId="65" fillId="0" borderId="0" xfId="0" applyFont="1" applyAlignment="1">
      <alignment horizontal="left" vertical="center"/>
    </xf>
    <xf numFmtId="0" fontId="65"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5" fillId="4" borderId="0" xfId="0" applyFont="1" applyFill="1" applyAlignment="1">
      <alignment horizontal="left" vertical="center"/>
    </xf>
    <xf numFmtId="0" fontId="40" fillId="4" borderId="0" xfId="8" applyFont="1" applyAlignment="1">
      <alignment horizontal="right" vertical="center"/>
    </xf>
    <xf numFmtId="0" fontId="69" fillId="4" borderId="0" xfId="0" applyFont="1" applyFill="1"/>
    <xf numFmtId="0" fontId="65" fillId="0" borderId="0" xfId="0" applyFont="1"/>
    <xf numFmtId="0" fontId="65" fillId="0" borderId="0" xfId="7" applyFont="1" applyFill="1">
      <alignment horizontal="left" vertical="center"/>
    </xf>
    <xf numFmtId="0" fontId="65" fillId="4" borderId="0" xfId="0" applyFont="1" applyFill="1"/>
    <xf numFmtId="0" fontId="65" fillId="4" borderId="0" xfId="7" applyFont="1">
      <alignment horizontal="left" vertical="center"/>
    </xf>
    <xf numFmtId="0" fontId="70" fillId="4" borderId="0" xfId="0" applyFont="1" applyFill="1" applyAlignment="1">
      <alignment horizontal="center" vertical="center"/>
    </xf>
    <xf numFmtId="0" fontId="70"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70" fillId="4" borderId="0" xfId="67" applyNumberFormat="1" applyFont="1" applyFill="1" applyBorder="1" applyAlignment="1" applyProtection="1">
      <alignment horizontal="center" wrapText="1"/>
      <protection locked="0"/>
    </xf>
    <xf numFmtId="1" fontId="70" fillId="4" borderId="0" xfId="67" applyNumberFormat="1" applyFont="1" applyFill="1" applyBorder="1" applyAlignment="1" applyProtection="1">
      <alignment horizontal="center" wrapText="1"/>
      <protection locked="0"/>
    </xf>
    <xf numFmtId="0" fontId="70" fillId="4" borderId="0" xfId="0" applyFont="1" applyFill="1" applyAlignment="1">
      <alignment horizontal="left" wrapText="1"/>
    </xf>
    <xf numFmtId="0" fontId="70" fillId="4" borderId="0" xfId="0" applyFont="1" applyFill="1" applyAlignment="1">
      <alignment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71"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71" fillId="12" borderId="2" xfId="15" applyFont="1">
      <alignment horizontal="center" vertical="center"/>
    </xf>
    <xf numFmtId="9" fontId="0" fillId="0" borderId="25" xfId="68" applyFont="1" applyFill="1" applyBorder="1" applyAlignment="1">
      <alignment horizontal="center" vertical="center" wrapText="1"/>
    </xf>
    <xf numFmtId="4" fontId="9" fillId="0" borderId="2" xfId="17" applyFont="1" applyAlignment="1">
      <alignment horizontal="center" vertical="center" wrapText="1"/>
    </xf>
    <xf numFmtId="0" fontId="30" fillId="13" borderId="26" xfId="39" applyBorder="1">
      <alignment horizontal="left" vertical="center"/>
    </xf>
    <xf numFmtId="0" fontId="30" fillId="13" borderId="0" xfId="39" applyBorder="1">
      <alignment horizontal="left" vertical="center"/>
    </xf>
    <xf numFmtId="0" fontId="30" fillId="13" borderId="27" xfId="39" applyBorder="1">
      <alignment horizontal="left" vertical="center"/>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30" fillId="13" borderId="5" xfId="39">
      <alignment horizontal="left" vertical="center"/>
    </xf>
    <xf numFmtId="0" fontId="6" fillId="4" borderId="0" xfId="12" applyAlignment="1">
      <alignment horizontal="center" vertical="center"/>
    </xf>
    <xf numFmtId="0" fontId="23" fillId="4" borderId="19" xfId="52" applyBorder="1" applyAlignment="1">
      <alignment horizontal="left" vertical="center"/>
    </xf>
    <xf numFmtId="0" fontId="23" fillId="4" borderId="20" xfId="52" applyBorder="1" applyAlignment="1">
      <alignment horizontal="left" vertical="center"/>
    </xf>
    <xf numFmtId="0" fontId="23" fillId="4" borderId="19" xfId="52" applyBorder="1">
      <alignment horizontal="center" vertical="center"/>
    </xf>
    <xf numFmtId="174" fontId="23" fillId="4" borderId="2" xfId="52" applyNumberFormat="1">
      <alignment horizontal="center" vertical="center"/>
    </xf>
    <xf numFmtId="4" fontId="23" fillId="4" borderId="2" xfId="52" applyNumberFormat="1">
      <alignment horizontal="center" vertical="center"/>
    </xf>
    <xf numFmtId="9" fontId="23" fillId="4" borderId="2" xfId="52" applyNumberFormat="1">
      <alignment horizontal="center" vertical="center"/>
    </xf>
    <xf numFmtId="0" fontId="27" fillId="4" borderId="28" xfId="8" applyBorder="1">
      <alignment horizontal="left" vertical="center"/>
    </xf>
    <xf numFmtId="0" fontId="54" fillId="4" borderId="1" xfId="12" applyFont="1" applyBorder="1">
      <alignment horizontal="left" vertical="center" indent="1"/>
    </xf>
    <xf numFmtId="0" fontId="5" fillId="2" borderId="0" xfId="9" applyAlignment="1">
      <alignment horizontal="center" vertical="center" wrapText="1"/>
    </xf>
    <xf numFmtId="0" fontId="5" fillId="2" borderId="0" xfId="1" applyAlignment="1">
      <alignment horizontal="center" vertical="center"/>
      <protection locked="0"/>
    </xf>
    <xf numFmtId="0" fontId="0" fillId="0" borderId="0" xfId="0" applyAlignment="1">
      <alignment vertical="center" wrapText="1"/>
    </xf>
    <xf numFmtId="0" fontId="64" fillId="0" borderId="0" xfId="8" applyFont="1" applyFill="1">
      <alignment horizontal="left" vertical="center"/>
    </xf>
    <xf numFmtId="0" fontId="73" fillId="0" borderId="0" xfId="69"/>
    <xf numFmtId="0" fontId="73" fillId="4" borderId="0" xfId="69" applyFill="1"/>
    <xf numFmtId="0" fontId="0" fillId="0" borderId="0" xfId="8" applyFont="1" applyFill="1" applyAlignment="1">
      <alignment horizontal="left" vertical="center" wrapText="1"/>
    </xf>
    <xf numFmtId="15" fontId="2" fillId="0" borderId="2" xfId="14" applyNumberFormat="1">
      <alignment horizontal="center" vertical="center"/>
    </xf>
    <xf numFmtId="0" fontId="74" fillId="4" borderId="0" xfId="70">
      <alignment horizontal="left" vertical="center"/>
    </xf>
    <xf numFmtId="0" fontId="2" fillId="0" borderId="17" xfId="56" applyBorder="1">
      <alignment horizontal="center" vertical="center"/>
    </xf>
    <xf numFmtId="0" fontId="0" fillId="0" borderId="0" xfId="29" applyFont="1" applyFill="1" applyProtection="1">
      <alignment horizontal="center" vertical="center"/>
    </xf>
    <xf numFmtId="0" fontId="70" fillId="4" borderId="0" xfId="69" applyFont="1" applyFill="1" applyAlignment="1" applyProtection="1">
      <alignment horizontal="center"/>
      <protection locked="0"/>
    </xf>
    <xf numFmtId="0" fontId="70" fillId="4" borderId="0" xfId="69" applyFont="1" applyFill="1" applyAlignment="1">
      <alignment horizontal="center" vertical="center"/>
    </xf>
    <xf numFmtId="0" fontId="0" fillId="0" borderId="0" xfId="17" applyNumberFormat="1" applyFont="1" applyBorder="1">
      <alignment horizontal="center" vertical="center"/>
    </xf>
    <xf numFmtId="0" fontId="3" fillId="12" borderId="17" xfId="15" applyBorder="1" applyAlignment="1">
      <alignment horizontal="center" vertical="center" wrapText="1"/>
    </xf>
    <xf numFmtId="0" fontId="38" fillId="16" borderId="2" xfId="71">
      <alignment horizontal="center" vertical="center"/>
    </xf>
    <xf numFmtId="0" fontId="64" fillId="6" borderId="0" xfId="8" applyFont="1" applyFill="1">
      <alignment horizontal="left" vertical="center"/>
    </xf>
    <xf numFmtId="0" fontId="67" fillId="4" borderId="2" xfId="52" applyFont="1">
      <alignment horizontal="center" vertical="center"/>
    </xf>
    <xf numFmtId="49" fontId="23" fillId="4" borderId="2" xfId="52" applyNumberFormat="1">
      <alignment horizontal="center" vertical="center"/>
    </xf>
    <xf numFmtId="0" fontId="77"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FB3BCF37-9B58-4180-B6B9-C81EF61A7313}"/>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69" xr:uid="{5883F7FF-1CAB-4781-B41A-299E0222C62C}"/>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E8F193DF-7E78-4E8D-BE62-3DD13D951E7D}"/>
    <cellStyle name="Variable type other" xfId="64" xr:uid="{105BD9DE-B567-4DA0-87E6-C60A0ECC1C65}"/>
  </cellStyles>
  <dxfs count="426">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strike val="0"/>
        <outline val="0"/>
        <shadow val="0"/>
        <u val="none"/>
        <vertAlign val="baseline"/>
        <sz val="9"/>
        <color theme="1"/>
        <name val="Arial"/>
        <family val="2"/>
      </font>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25"/>
      <tableStyleElement type="headerRow" dxfId="424"/>
      <tableStyleElement type="totalRow" dxfId="423"/>
      <tableStyleElement type="firstColumn" dxfId="422"/>
      <tableStyleElement type="firstRowStripe" dxfId="421"/>
      <tableStyleElement type="secondRowStripe" dxfId="420"/>
    </tableStyle>
    <tableStyle name="Equation table" pivot="0" count="6" xr9:uid="{B247698E-E41D-4CCD-AA0A-C14817E9DE65}">
      <tableStyleElement type="wholeTable" dxfId="419"/>
      <tableStyleElement type="headerRow" dxfId="418"/>
      <tableStyleElement type="totalRow" dxfId="417"/>
      <tableStyleElement type="firstColumn" dxfId="416"/>
      <tableStyleElement type="firstRowStripe" dxfId="415"/>
      <tableStyleElement type="secondRowStripe" dxfId="414"/>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microsoft.com/office/2017/06/relationships/rdRichValue" Target="richData/rdrichvalue.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3" Type="http://schemas.openxmlformats.org/officeDocument/2006/relationships/calcChain" Target="calcChain.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56" Type="http://schemas.openxmlformats.org/officeDocument/2006/relationships/customXml" Target="../customXml/item3.xml"/><Relationship Id="rId8" Type="http://schemas.openxmlformats.org/officeDocument/2006/relationships/worksheet" Target="worksheets/sheet8.xml"/><Relationship Id="rId51" Type="http://schemas.microsoft.com/office/2017/06/relationships/rdRichValueStructure" Target="richData/rdrichvaluestructur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22/10/relationships/richValueRel" Target="richData/richValueRel.xml"/><Relationship Id="rId57" Type="http://schemas.openxmlformats.org/officeDocument/2006/relationships/customXml" Target="../customXml/item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06/relationships/rdRichValueTypes" Target="richData/rdRichValueTyp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cat>
            <c:strRef>
              <c:f>'Results - Activity period'!$D$9:$D$19</c:f>
              <c:strCache>
                <c:ptCount val="11"/>
                <c:pt idx="0">
                  <c:v>3.1.1.1-2 Enteric Methane</c:v>
                </c:pt>
                <c:pt idx="1">
                  <c:v>4.1.1.1-2 Manure Methane</c:v>
                </c:pt>
                <c:pt idx="2">
                  <c:v>4.1.1.3-4 Manure Direct N20</c:v>
                </c:pt>
                <c:pt idx="3">
                  <c:v> 4.1.1.5-6 Manure Atmospheric Deposition</c:v>
                </c:pt>
                <c:pt idx="4">
                  <c:v>8.1.1.1-2 Transport fuel CO2</c:v>
                </c:pt>
                <c:pt idx="5">
                  <c:v>8.1.1.1-2 Transport fuel CH4</c:v>
                </c:pt>
                <c:pt idx="6">
                  <c:v>8.1.1.1-2 Transport fuel N2O</c:v>
                </c:pt>
                <c:pt idx="7">
                  <c:v>8.2.1.1-2 Stationary fuel CO2</c:v>
                </c:pt>
                <c:pt idx="8">
                  <c:v>8.2.1.1-2 Stationary fuel CH4</c:v>
                </c:pt>
                <c:pt idx="9">
                  <c:v>8.2.1.1-2 Stationary fuel N2O</c:v>
                </c:pt>
                <c:pt idx="10">
                  <c:v>10.1.1-2 Solid waste treatment</c:v>
                </c:pt>
              </c:strCache>
            </c:strRef>
          </c:cat>
          <c:val>
            <c:numRef>
              <c:f>'Results - Activity period'!$I$9:$I$19</c:f>
              <c:numCache>
                <c:formatCode>General</c:formatCode>
                <c:ptCount val="11"/>
                <c:pt idx="0">
                  <c:v>1062.6666400000001</c:v>
                </c:pt>
                <c:pt idx="1">
                  <c:v>73.581417452175344</c:v>
                </c:pt>
                <c:pt idx="2">
                  <c:v>213.63449215245529</c:v>
                </c:pt>
                <c:pt idx="3">
                  <c:v>38.649786416457445</c:v>
                </c:pt>
                <c:pt idx="4">
                  <c:v>83.182000000000002</c:v>
                </c:pt>
                <c:pt idx="5">
                  <c:v>5.5736800000000004</c:v>
                </c:pt>
                <c:pt idx="6">
                  <c:v>154.89250000000001</c:v>
                </c:pt>
                <c:pt idx="7">
                  <c:v>29.070800000000002</c:v>
                </c:pt>
                <c:pt idx="8">
                  <c:v>2.0272000000000001</c:v>
                </c:pt>
                <c:pt idx="9">
                  <c:v>18.921000000000003</c:v>
                </c:pt>
                <c:pt idx="10">
                  <c:v>438.82805000000002</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period'!$D$33:$D$43</c:f>
              <c:strCache>
                <c:ptCount val="11"/>
                <c:pt idx="0">
                  <c:v>15.1.1.1 Total emissions from purchased livestock - Cattle</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15.12.1.1 Purchased electricity (Location-based)</c:v>
                </c:pt>
                <c:pt idx="8">
                  <c:v>15.13.1.1 Waste sent to treatment facility</c:v>
                </c:pt>
                <c:pt idx="9">
                  <c:v>15.14.1.1 Incoming freight</c:v>
                </c:pt>
                <c:pt idx="10">
                  <c:v>15.14.1.1 Outgoing freight</c:v>
                </c:pt>
              </c:strCache>
            </c:strRef>
          </c:cat>
          <c:val>
            <c:numRef>
              <c:f>'Results - Activity period'!$I$33:$I$43</c:f>
              <c:numCache>
                <c:formatCode>General</c:formatCode>
                <c:ptCount val="11"/>
                <c:pt idx="0">
                  <c:v>0</c:v>
                </c:pt>
                <c:pt idx="1">
                  <c:v>0.78505200000000008</c:v>
                </c:pt>
                <c:pt idx="2">
                  <c:v>1.1000000000000001</c:v>
                </c:pt>
                <c:pt idx="3">
                  <c:v>0.5</c:v>
                </c:pt>
                <c:pt idx="4">
                  <c:v>1.5636000000000001E-2</c:v>
                </c:pt>
                <c:pt idx="5">
                  <c:v>4000</c:v>
                </c:pt>
                <c:pt idx="6">
                  <c:v>26.794</c:v>
                </c:pt>
                <c:pt idx="7">
                  <c:v>2.7</c:v>
                </c:pt>
                <c:pt idx="8">
                  <c:v>441.15000000000003</c:v>
                </c:pt>
                <c:pt idx="9">
                  <c:v>5166.2</c:v>
                </c:pt>
                <c:pt idx="10">
                  <c:v>676</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434.9628923</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2075.512042</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2">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417.5643766</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2">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1992.491561</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434.9628923</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2075.512042</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3">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417.5643766</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3">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1992.491561</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434.9628923</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2075.512042</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4">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521.9554708</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4">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2490.614451</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434.96289233685</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2075.51204233685</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830116"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830116"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16</xdr:row>
      <xdr:rowOff>49306</xdr:rowOff>
    </xdr:from>
    <xdr:ext cx="1830116"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12</xdr:col>
      <xdr:colOff>593912</xdr:colOff>
      <xdr:row>16</xdr:row>
      <xdr:rowOff>49306</xdr:rowOff>
    </xdr:from>
    <xdr:ext cx="1830116"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830116"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9</xdr:col>
      <xdr:colOff>913279</xdr:colOff>
      <xdr:row>28</xdr:row>
      <xdr:rowOff>38660</xdr:rowOff>
    </xdr:from>
    <xdr:ext cx="1830116"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28</xdr:row>
      <xdr:rowOff>38660</xdr:rowOff>
    </xdr:from>
    <xdr:ext cx="1830116"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830116"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5">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521.9554708</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5">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2490.614451</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Liveweight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929" r="6929"/>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7481" r="7481"/>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150E802-B09D-4886-BF02-58FF539783F3}"/>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5.11×</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−4.00×</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+2.26×</m:t>
                        </m:r>
                        <m:r>
                          <a:rPr lang="en-AU" sz="1000" i="1">
                            <a:latin typeface="Cambria Math" panose="02040503050406030204" pitchFamily="18" charset="0"/>
                          </a:rPr>
                          <m:t>𝑁𝐷</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150E802-B09D-4886-BF02-58FF539783F3}"/>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𝑀_𝑗=(5.11×𝐼_𝑗−4.00×𝐸𝐸_𝑗+2.26×𝑁𝐷𝐹_𝑗 )×10^(−3)</a:t>
              </a:r>
              <a:endParaRPr lang="en-AU" sz="10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A91FAC-447D-4B5D-B6C9-48D757360E5C}"/>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0A91FAC-447D-4B5D-B6C9-48D757360E5C}"/>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𝐸_𝑒𝑛𝑡𝑒𝑟𝑖𝑐=∑2_𝑗▒(𝐷_𝑗×𝑀_𝑗×𝑁_𝑗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542984-9F98-49D9-AF0A-31A63978D866}"/>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𝐴</m:t>
                        </m:r>
                      </m:e>
                    </m:d>
                  </m:oMath>
                </m:oMathPara>
              </a14:m>
              <a:endParaRPr lang="en-AU" sz="1000"/>
            </a:p>
          </xdr:txBody>
        </xdr:sp>
      </mc:Choice>
      <mc:Fallback xmlns="">
        <xdr:sp macro="" textlink="">
          <xdr:nvSpPr>
            <xdr:cNvPr id="2" name="TextBox 1">
              <a:extLst>
                <a:ext uri="{FF2B5EF4-FFF2-40B4-BE49-F238E27FC236}">
                  <a16:creationId xmlns:a16="http://schemas.microsoft.com/office/drawing/2014/main" id="{F5542984-9F98-49D9-AF0A-31A63978D866}"/>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𝑉𝑆_𝑗=𝐼_𝑗×(1−𝐷𝑀𝐷_𝑗 )×(1−𝐴)</a:t>
              </a:r>
              <a:endParaRPr lang="en-AU" sz="10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6E2B1B-FE18-451A-BC61-4A2F8B9CEF06}"/>
                </a:ext>
              </a:extLst>
            </xdr:cNvPr>
            <xdr:cNvSpPr txBox="1"/>
          </xdr:nvSpPr>
          <xdr:spPr>
            <a:xfrm>
              <a:off x="2714625" y="924401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3" name="TextBox 2">
              <a:extLst>
                <a:ext uri="{FF2B5EF4-FFF2-40B4-BE49-F238E27FC236}">
                  <a16:creationId xmlns:a16="http://schemas.microsoft.com/office/drawing/2014/main" id="{5B6E2B1B-FE18-451A-BC61-4A2F8B9CEF06}"/>
                </a:ext>
              </a:extLst>
            </xdr:cNvPr>
            <xdr:cNvSpPr txBox="1"/>
          </xdr:nvSpPr>
          <xdr:spPr>
            <a:xfrm>
              <a:off x="2714625" y="924401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𝑀_(𝑗𝑚=5,𝑇=1)=𝑉𝑆_𝑗×𝐵𝑂×𝑀𝑀𝑆_(𝑚=5,𝑇=1)×𝑀𝐶𝐹_(𝑖𝑚=5)×𝜌</a:t>
              </a:r>
              <a:endParaRPr lang="en-AU" sz="10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A814CA1-0A2C-43B3-88B4-A03F8D4ACBFC}"/>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𝑉𝑆𝐿</m:t>
                        </m:r>
                      </m:e>
                    </m:d>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4" name="TextBox 3">
              <a:extLst>
                <a:ext uri="{FF2B5EF4-FFF2-40B4-BE49-F238E27FC236}">
                  <a16:creationId xmlns:a16="http://schemas.microsoft.com/office/drawing/2014/main" id="{0A814CA1-0A2C-43B3-88B4-A03F8D4ACBFC}"/>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𝑀_(𝑗𝑚𝑇=2)=(1−𝑉𝑆𝐿)×𝑉𝑆_𝑗×𝐵𝑂×𝑀𝑀𝑆_(𝑚𝑇=2)×𝑀𝐶𝐹_𝑖𝑚×𝜌</a:t>
              </a:r>
              <a:endParaRPr lang="en-AU" sz="10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CCA8A91-27CF-42D9-87E2-F595BF7056E8}"/>
                </a:ext>
              </a:extLst>
            </xdr:cNvPr>
            <xdr:cNvSpPr txBox="1"/>
          </xdr:nvSpPr>
          <xdr:spPr>
            <a:xfrm>
              <a:off x="2690812" y="2602230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𝐵𝑂</m:t>
                    </m:r>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5" name="TextBox 4">
              <a:extLst>
                <a:ext uri="{FF2B5EF4-FFF2-40B4-BE49-F238E27FC236}">
                  <a16:creationId xmlns:a16="http://schemas.microsoft.com/office/drawing/2014/main" id="{5CCA8A91-27CF-42D9-87E2-F595BF7056E8}"/>
                </a:ext>
              </a:extLst>
            </xdr:cNvPr>
            <xdr:cNvSpPr txBox="1"/>
          </xdr:nvSpPr>
          <xdr:spPr>
            <a:xfrm>
              <a:off x="2690812" y="2602230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𝑀_(𝑗𝑚=1,𝑇=3)=𝑉𝑆_𝑗×𝐵𝑂×𝑀𝑀𝑆_(𝑚=1,𝑇=3)×𝑀𝐶𝐹_(𝑖𝑚=1)×𝜌</a:t>
              </a:r>
              <a:endParaRPr lang="en-AU" sz="10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B433840-8F1D-4EFC-9FC0-F327E4620981}"/>
                </a:ext>
              </a:extLst>
            </xdr:cNvPr>
            <xdr:cNvSpPr txBox="1"/>
          </xdr:nvSpPr>
          <xdr:spPr>
            <a:xfrm>
              <a:off x="2690812" y="327088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1B433840-8F1D-4EFC-9FC0-F327E4620981}"/>
                </a:ext>
              </a:extLst>
            </xdr:cNvPr>
            <xdr:cNvSpPr txBox="1"/>
          </xdr:nvSpPr>
          <xdr:spPr>
            <a:xfrm>
              <a:off x="2690812" y="327088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𝐸_𝐶𝐻4=∑_𝑗▒∑_𝑚▒∑_𝑇▒(𝐷_𝑗×𝑀_𝑗𝑚𝑇×𝑁_𝑗 ) ×10^(−3)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9478854-17DB-42FA-96C6-389212363178}"/>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÷6.25</m:t>
                    </m:r>
                  </m:oMath>
                </m:oMathPara>
              </a14:m>
              <a:endParaRPr lang="en-AU" sz="1000"/>
            </a:p>
          </xdr:txBody>
        </xdr:sp>
      </mc:Choice>
      <mc:Fallback xmlns="">
        <xdr:sp macro="" textlink="">
          <xdr:nvSpPr>
            <xdr:cNvPr id="2" name="TextBox 1">
              <a:extLst>
                <a:ext uri="{FF2B5EF4-FFF2-40B4-BE49-F238E27FC236}">
                  <a16:creationId xmlns:a16="http://schemas.microsoft.com/office/drawing/2014/main" id="{29478854-17DB-42FA-96C6-389212363178}"/>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𝑁𝐼_𝑗=𝐼_𝑗×𝐶𝑃_𝑗÷6.25</a:t>
              </a:r>
              <a:endParaRPr lang="en-AU" sz="10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4B2FBC9-417A-49D2-A73E-3D13B63717E3}"/>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24B2FBC9-417A-49D2-A73E-3D13B63717E3}"/>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𝑁𝐸_𝑗=𝑁𝐼_𝑗×(1−𝑁𝑅_𝑗 )</a:t>
              </a:r>
              <a:endParaRPr lang="en-AU" sz="10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B07ECD0B-C40B-4CEF-94F5-D79CAC1E5B46}"/>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B07ECD0B-C40B-4CEF-94F5-D79CAC1E5B46}"/>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𝐴𝐸_𝑗=𝑁_𝑗×𝑁𝐸_𝑗×𝐷_𝑗</a:t>
              </a:r>
              <a:endParaRPr lang="en-AU" sz="10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813FA79-467E-4620-BE0D-F515705D41B9}"/>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oMath>
                </m:oMathPara>
              </a14:m>
              <a:endParaRPr lang="en-AU" sz="1000"/>
            </a:p>
          </xdr:txBody>
        </xdr:sp>
      </mc:Choice>
      <mc:Fallback xmlns="">
        <xdr:sp macro="" textlink="">
          <xdr:nvSpPr>
            <xdr:cNvPr id="5" name="TextBox 4">
              <a:extLst>
                <a:ext uri="{FF2B5EF4-FFF2-40B4-BE49-F238E27FC236}">
                  <a16:creationId xmlns:a16="http://schemas.microsoft.com/office/drawing/2014/main" id="{4813FA79-467E-4620-BE0D-F515705D41B9}"/>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𝑀𝑁_(𝑗𝑚=5,𝑇=1)=𝐴𝐸_𝑗×𝑀𝑀𝑆_(𝑗𝑚=5,𝑇=1)</a:t>
              </a:r>
              <a:endParaRPr lang="en-AU" sz="10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6B9428E-88CA-4F31-9E30-F33CA16678A1}"/>
                </a:ext>
              </a:extLst>
            </xdr:cNvPr>
            <xdr:cNvSpPr txBox="1"/>
          </xdr:nvSpPr>
          <xdr:spPr>
            <a:xfrm>
              <a:off x="2690812" y="3866673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oMath>
                </m:oMathPara>
              </a14:m>
              <a:endParaRPr lang="en-AU" sz="1000"/>
            </a:p>
          </xdr:txBody>
        </xdr:sp>
      </mc:Choice>
      <mc:Fallback xmlns="">
        <xdr:sp macro="" textlink="">
          <xdr:nvSpPr>
            <xdr:cNvPr id="6" name="TextBox 5">
              <a:extLst>
                <a:ext uri="{FF2B5EF4-FFF2-40B4-BE49-F238E27FC236}">
                  <a16:creationId xmlns:a16="http://schemas.microsoft.com/office/drawing/2014/main" id="{E6B9428E-88CA-4F31-9E30-F33CA16678A1}"/>
                </a:ext>
              </a:extLst>
            </xdr:cNvPr>
            <xdr:cNvSpPr txBox="1"/>
          </xdr:nvSpPr>
          <xdr:spPr>
            <a:xfrm>
              <a:off x="2690812" y="3866673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𝑀𝑁_(𝑗𝑚,𝑇=2)=𝑁𝑇_(𝑗𝑚,𝑇=2)×𝑀𝑀𝑆_(𝑗𝑚,𝑇=2)</a:t>
              </a:r>
              <a:endParaRPr lang="en-AU" sz="10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2798EAB-782B-46B5-B0CD-64B695FA8FDE}"/>
                </a:ext>
              </a:extLst>
            </xdr:cNvPr>
            <xdr:cNvSpPr txBox="1"/>
          </xdr:nvSpPr>
          <xdr:spPr>
            <a:xfrm>
              <a:off x="2652712" y="3365658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𝑇</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=2</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=5,</m:t>
                            </m:r>
                            <m:r>
                              <a:rPr lang="en-AU" sz="1000" i="1">
                                <a:latin typeface="Cambria Math" panose="02040503050406030204" pitchFamily="18" charset="0"/>
                              </a:rPr>
                              <m:t>𝑇</m:t>
                            </m:r>
                            <m:r>
                              <a:rPr lang="en-AU" sz="1000" i="1">
                                <a:latin typeface="Cambria Math" panose="02040503050406030204" pitchFamily="18" charset="0"/>
                              </a:rPr>
                              <m:t>=1</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r>
                                  <a:rPr lang="en-AU" sz="1000" i="1">
                                    <a:latin typeface="Cambria Math" panose="02040503050406030204" pitchFamily="18" charset="0"/>
                                  </a:rPr>
                                  <m:t>=5</m:t>
                                </m:r>
                              </m:sub>
                            </m:sSub>
                          </m:e>
                        </m:d>
                      </m:e>
                    </m:d>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m:t>
                        </m:r>
                        <m:r>
                          <a:rPr lang="en-AU" sz="1000" i="1">
                            <a:latin typeface="Cambria Math" panose="02040503050406030204" pitchFamily="18" charset="0"/>
                          </a:rPr>
                          <m:t>𝑇</m:t>
                        </m:r>
                        <m:r>
                          <a:rPr lang="en-AU" sz="1000" i="1">
                            <a:latin typeface="Cambria Math" panose="02040503050406030204" pitchFamily="18" charset="0"/>
                          </a:rPr>
                          <m:t>=3</m:t>
                        </m:r>
                      </m:sub>
                    </m:sSub>
                  </m:oMath>
                </m:oMathPara>
              </a14:m>
              <a:endParaRPr lang="en-AU" sz="1000"/>
            </a:p>
          </xdr:txBody>
        </xdr:sp>
      </mc:Choice>
      <mc:Fallback xmlns="">
        <xdr:sp macro="" textlink="">
          <xdr:nvSpPr>
            <xdr:cNvPr id="7" name="TextBox 6">
              <a:extLst>
                <a:ext uri="{FF2B5EF4-FFF2-40B4-BE49-F238E27FC236}">
                  <a16:creationId xmlns:a16="http://schemas.microsoft.com/office/drawing/2014/main" id="{72798EAB-782B-46B5-B0CD-64B695FA8FDE}"/>
                </a:ext>
              </a:extLst>
            </xdr:cNvPr>
            <xdr:cNvSpPr txBox="1"/>
          </xdr:nvSpPr>
          <xdr:spPr>
            <a:xfrm>
              <a:off x="2652712" y="3365658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𝑁𝑇_(𝑗𝑚,𝑇=2)=(𝑀𝑁_(𝑗𝑚=5,𝑇=1)×(1−𝐹𝑟𝑎𝑐𝐺𝐴𝑆𝑀_(𝑚=5)−𝐸𝐹_(𝑚=5) ))−𝑀𝑁_(𝑗𝑚,𝑇=3)</a:t>
              </a:r>
              <a:endParaRPr lang="en-AU" sz="10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FC5E2266-1862-4059-B831-3AC1DE09D263}"/>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r>
                      <a:rPr lang="en-AU" sz="1000" i="1">
                        <a:latin typeface="Cambria Math" panose="02040503050406030204" pitchFamily="18" charset="0"/>
                      </a:rPr>
                      <m:t>=</m:t>
                    </m:r>
                    <m:r>
                      <a:rPr lang="en-AU" sz="1000" i="1">
                        <a:latin typeface="Cambria Math" panose="02040503050406030204" pitchFamily="18" charset="0"/>
                      </a:rPr>
                      <m:t>𝐴</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𝑗𝑚</m:t>
                        </m:r>
                        <m:r>
                          <a:rPr lang="en-AU" sz="1000" i="1">
                            <a:latin typeface="Cambria Math" panose="02040503050406030204" pitchFamily="18" charset="0"/>
                          </a:rPr>
                          <m:t>=1,</m:t>
                        </m:r>
                        <m:r>
                          <a:rPr lang="en-AU" sz="1000" i="1">
                            <a:latin typeface="Cambria Math" panose="02040503050406030204" pitchFamily="18" charset="0"/>
                          </a:rPr>
                          <m:t>𝑇</m:t>
                        </m:r>
                        <m:r>
                          <a:rPr lang="en-AU" sz="1000" i="1">
                            <a:latin typeface="Cambria Math" panose="02040503050406030204" pitchFamily="18" charset="0"/>
                          </a:rPr>
                          <m:t>=3</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FC5E2266-1862-4059-B831-3AC1DE09D263}"/>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𝑀𝑁_(𝑗𝑚=1,𝑇=3)=𝐴𝐸_𝑗×𝑀𝑀𝑆_(𝑗𝑚=1,𝑇=3)</a:t>
              </a:r>
              <a:endParaRPr lang="en-AU" sz="10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C84839A-ED32-404C-9552-72C45B0CE677}"/>
                </a:ext>
              </a:extLst>
            </xdr:cNvPr>
            <xdr:cNvSpPr txBox="1"/>
          </xdr:nvSpPr>
          <xdr:spPr>
            <a:xfrm>
              <a:off x="2671762" y="45096112"/>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9C84839A-ED32-404C-9552-72C45B0CE677}"/>
                </a:ext>
              </a:extLst>
            </xdr:cNvPr>
            <xdr:cNvSpPr txBox="1"/>
          </xdr:nvSpPr>
          <xdr:spPr>
            <a:xfrm>
              <a:off x="2671762" y="45096112"/>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𝐸_(𝑁2𝑂,𝑑𝑖𝑟)=∑_𝑗▒∑_𝑚▒∑_𝑇▒(𝑀𝑁_𝑗𝑚𝑇×𝐸𝐹_𝑗𝑚×𝐶_𝑁2𝑂 ) ×10^(−3)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BE7E9CD-D3BC-4515-9E2B-F16AD3E1886B}"/>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sub>
                                    </m:sSub>
                                  </m:e>
                                </m:d>
                              </m:e>
                            </m:nary>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4BE7E9CD-D3BC-4515-9E2B-F16AD3E1886B}"/>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𝑀𝑀𝑆_𝐴𝑇𝑀𝑂𝑆=∑_𝑗▒∑_𝑚▒∑_𝑇▒(𝑀𝑁_𝑗𝑚𝑇×𝐹𝑟𝑎𝑐𝐺𝐴𝑆𝑀_𝑚𝑇 ) </a:t>
              </a:r>
              <a:endParaRPr lang="en-AU" sz="10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DFC3DFE-1408-4DE0-A66F-FA34A2A88899}"/>
                </a:ext>
              </a:extLst>
            </xdr:cNvPr>
            <xdr:cNvSpPr txBox="1"/>
          </xdr:nvSpPr>
          <xdr:spPr>
            <a:xfrm>
              <a:off x="2690812" y="1314926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𝐴𝑇𝑀𝑂𝑆</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FDFC3DFE-1408-4DE0-A66F-FA34A2A88899}"/>
                </a:ext>
              </a:extLst>
            </xdr:cNvPr>
            <xdr:cNvSpPr txBox="1"/>
          </xdr:nvSpPr>
          <xdr:spPr>
            <a:xfrm>
              <a:off x="2690812" y="1314926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𝐸_(𝑁2𝑂,𝑎𝑑)=(𝑀𝑀𝑆_𝐴𝑇𝑀𝑂𝑆×𝐸𝐹_𝑁2𝑂×𝐶_𝑁2𝑂 )×10^(−3)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2AF3E9F-0483-4277-8735-5538C1043503}"/>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1</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=2,3</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=2,3</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=2,3</m:t>
                                            </m:r>
                                          </m:sub>
                                        </m:sSub>
                                      </m:e>
                                    </m:d>
                                  </m:e>
                                </m:d>
                              </m:e>
                            </m:nary>
                          </m:e>
                        </m:nary>
                      </m:e>
                    </m:nary>
                    <m:r>
                      <a:rPr lang="en-AU" sz="1000" i="1">
                        <a:latin typeface="Cambria Math" panose="02040503050406030204" pitchFamily="18" charset="0"/>
                      </a:rPr>
                      <m:t>×</m:t>
                    </m:r>
                    <m:r>
                      <a:rPr lang="en-AU" sz="1000" i="1">
                        <a:latin typeface="Cambria Math" panose="02040503050406030204" pitchFamily="18" charset="0"/>
                      </a:rPr>
                      <m:t>𝑃𝐹</m:t>
                    </m:r>
                  </m:oMath>
                </m:oMathPara>
              </a14:m>
              <a:endParaRPr lang="en-AU" sz="1000"/>
            </a:p>
          </xdr:txBody>
        </xdr:sp>
      </mc:Choice>
      <mc:Fallback xmlns="">
        <xdr:sp macro="" textlink="">
          <xdr:nvSpPr>
            <xdr:cNvPr id="2" name="TextBox 1">
              <a:extLst>
                <a:ext uri="{FF2B5EF4-FFF2-40B4-BE49-F238E27FC236}">
                  <a16:creationId xmlns:a16="http://schemas.microsoft.com/office/drawing/2014/main" id="{82AF3E9F-0483-4277-8735-5538C1043503}"/>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𝑀𝑁𝑆𝑜𝑖𝑙_𝑠𝑐𝑜𝑝𝑒1=∑_𝑗▒∑_𝑚▒∑_𝑇▒(𝑀𝑁_(𝑗𝑚𝑇=2,3)×(1−𝐸𝐹_(𝑚𝑇=2,3)−𝐹𝑟𝑎𝑐𝐺𝐴𝑆𝑀_(𝑚𝑇=2,3) )) ×𝑃𝐹</a:t>
              </a:r>
              <a:endParaRPr lang="en-AU" sz="10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54ACCC8-7AE9-4A8C-B552-01934D8ACA31}"/>
                </a:ext>
              </a:extLst>
            </xdr:cNvPr>
            <xdr:cNvSpPr txBox="1"/>
          </xdr:nvSpPr>
          <xdr:spPr>
            <a:xfrm>
              <a:off x="2690812" y="1687353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𝑠𝑐𝑜𝑝𝑒</m:t>
                        </m:r>
                        <m:r>
                          <a:rPr lang="en-AU" sz="1000" i="1">
                            <a:latin typeface="Cambria Math" panose="02040503050406030204" pitchFamily="18" charset="0"/>
                          </a:rPr>
                          <m:t>3</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𝑗𝑚𝑇</m:t>
                                        </m:r>
                                        <m:r>
                                          <a:rPr lang="en-AU" sz="1000" i="1">
                                            <a:latin typeface="Cambria Math" panose="02040503050406030204" pitchFamily="18" charset="0"/>
                                          </a:rPr>
                                          <m:t>=2,3</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𝑚𝑇</m:t>
                                            </m:r>
                                            <m:r>
                                              <a:rPr lang="en-AU" sz="1000" i="1">
                                                <a:latin typeface="Cambria Math" panose="02040503050406030204" pitchFamily="18" charset="0"/>
                                              </a:rPr>
                                              <m:t>=2,3</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𝑚𝑇</m:t>
                                            </m:r>
                                            <m:r>
                                              <a:rPr lang="en-AU" sz="1000" i="1">
                                                <a:latin typeface="Cambria Math" panose="02040503050406030204" pitchFamily="18" charset="0"/>
                                              </a:rPr>
                                              <m:t>=2,3</m:t>
                                            </m:r>
                                          </m:sub>
                                        </m:sSub>
                                      </m:e>
                                    </m:d>
                                  </m:e>
                                </m:d>
                              </m:e>
                            </m:nary>
                          </m:e>
                        </m:nary>
                      </m:e>
                    </m:nary>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𝑃𝐹</m:t>
                        </m:r>
                      </m:e>
                    </m:d>
                  </m:oMath>
                </m:oMathPara>
              </a14:m>
              <a:endParaRPr lang="en-AU" sz="1000"/>
            </a:p>
          </xdr:txBody>
        </xdr:sp>
      </mc:Choice>
      <mc:Fallback xmlns="">
        <xdr:sp macro="" textlink="">
          <xdr:nvSpPr>
            <xdr:cNvPr id="3" name="TextBox 2">
              <a:extLst>
                <a:ext uri="{FF2B5EF4-FFF2-40B4-BE49-F238E27FC236}">
                  <a16:creationId xmlns:a16="http://schemas.microsoft.com/office/drawing/2014/main" id="{B54ACCC8-7AE9-4A8C-B552-01934D8ACA31}"/>
                </a:ext>
              </a:extLst>
            </xdr:cNvPr>
            <xdr:cNvSpPr txBox="1"/>
          </xdr:nvSpPr>
          <xdr:spPr>
            <a:xfrm>
              <a:off x="2690812" y="1687353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𝑀𝑁𝑆𝑜𝑖𝑙_𝑠𝑐𝑜𝑝𝑒3=∑_𝑗▒∑_𝑚▒∑_𝑇▒(𝑀𝑁_(𝑗𝑚𝑇=2,3)×(1−𝐸𝐹_(𝑚𝑇=2,3)−𝐹𝑟𝑎𝑐𝐺𝐴𝑆𝑀_(𝑚𝑇=2,3) )) ×(1−𝑃𝐹)</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C61717B-EE52-43FD-A96D-40E12AA289D9}"/>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1C61717B-EE52-43FD-A96D-40E12AA289D9}"/>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7D6DE78-8D66-42D0-B463-D4AE34F99DD2}"/>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07D6DE78-8D66-42D0-B463-D4AE34F99DD2}"/>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B4FD1FE-D042-4793-A45B-CF9F7E47FA06}"/>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0B4FD1FE-D042-4793-A45B-CF9F7E47FA06}"/>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C1F8FC9-D0E5-4ACB-AFCD-3BBFFF6A4469}"/>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3C1F8FC9-D0E5-4ACB-AFCD-3BBFFF6A4469}"/>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7777CE7-5C62-4C61-927B-4FA0460BA5A1}"/>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37777CE7-5C62-4C61-927B-4FA0460BA5A1}"/>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4EE46EB-19D0-4F56-8C1C-F505E8437367}"/>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F4EE46EB-19D0-4F56-8C1C-F505E8437367}"/>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307AD0C-A502-4124-9DD4-D2C47966337E}"/>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C307AD0C-A502-4124-9DD4-D2C47966337E}"/>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674D5D-4AD6-4A95-8F6D-0C90DD2C6DE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00674D5D-4AD6-4A95-8F6D-0C90DD2C6DE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9E64DD5-3A2C-4C05-8C52-082584CF040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59E64DD5-3A2C-4C05-8C52-082584CF040B}"/>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FBF2E9E-0A99-49BF-9082-B6829ECA046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3FBF2E9E-0A99-49BF-9082-B6829ECA0462}"/>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EA1C6AF-7B3A-43A1-835E-299FE26509D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EEA1C6AF-7B3A-43A1-835E-299FE26509D3}"/>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532A5DD-6D53-4D53-B28E-ED4416D8FB59}"/>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2532A5DD-6D53-4D53-B28E-ED4416D8FB59}"/>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45FC912-52A3-449B-A458-2734DF2EEF42}"/>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645FC912-52A3-449B-A458-2734DF2EEF42}"/>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C84F8E-0F05-4650-9478-7111E5F602C2}"/>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47C84F8E-0F05-4650-9478-7111E5F602C2}"/>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79B99FB-0481-4461-8548-3B0757B4BB72}"/>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779B99FB-0481-4461-8548-3B0757B4BB72}"/>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E9E8863-6A8C-4BE3-80D1-BAF9C421B6F6}"/>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3E9E8863-6A8C-4BE3-80D1-BAF9C421B6F6}"/>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BF7F35C-DA70-44B2-99BA-F908C6575272}"/>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0BF7F35C-DA70-44B2-99BA-F908C6575272}"/>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F9AB1009-D181-47FC-B4D3-2C88FF8E8ED9}"/>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F9AB1009-D181-47FC-B4D3-2C88FF8E8ED9}"/>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0350F71-8DEB-4618-B8AF-3C8DF247E265}"/>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80350F71-8DEB-4618-B8AF-3C8DF247E265}"/>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646C655B-9391-46F8-A9DA-024EF86650E2}"/>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646C655B-9391-46F8-A9DA-024EF86650E2}"/>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D1DBA64-D0AE-42B4-B0CA-56CA55FD5848}"/>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8D1DBA64-D0AE-42B4-B0CA-56CA55FD5848}"/>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DE1920FD-0161-439F-BDC8-2C9C654B666C}"/>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DE1920FD-0161-439F-BDC8-2C9C654B666C}"/>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B49BDB9-AFF8-4E69-9298-944719ABE208}"/>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CB49BDB9-AFF8-4E69-9298-944719ABE208}"/>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03BFA692-A7E1-45DF-AF59-0A5290C805B7}"/>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03BFA692-A7E1-45DF-AF59-0A5290C805B7}"/>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42901082-04BF-4528-9872-7B9040C949FE}"/>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42901082-04BF-4528-9872-7B9040C949FE}"/>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F37F718C-765A-4039-B1F5-6C88999C8057}"/>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F37F718C-765A-4039-B1F5-6C88999C8057}"/>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0B750C8F-CD53-4F41-AF3E-3DBE5CE00F31}"/>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0B750C8F-CD53-4F41-AF3E-3DBE5CE00F31}"/>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CCFA5A17-3B2E-4D0F-B46A-1413DA97D6D5}"/>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CCFA5A17-3B2E-4D0F-B46A-1413DA97D6D5}"/>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9F3178BD-4260-4157-B388-093BA4D8FC9F}"/>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9F3178BD-4260-4157-B388-093BA4D8FC9F}"/>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7AFDF213-287D-4DDD-8ED6-838AFF92C530}"/>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7AFDF213-287D-4DDD-8ED6-838AFF92C530}"/>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C3296C66-B8A6-48A6-A85E-08AC2D57BCC3}"/>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C3296C66-B8A6-48A6-A85E-08AC2D57BCC3}"/>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41352027-148A-4AC1-A6DD-DF17BF308BDB}"/>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41352027-148A-4AC1-A6DD-DF17BF308BDB}"/>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93C74F43-D7E4-4CED-99AF-FD74AA4E59CD}"/>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93C74F43-D7E4-4CED-99AF-FD74AA4E59CD}"/>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9A28C72-EF63-44A8-9B68-0A6B27749982}"/>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09A28C72-EF63-44A8-9B68-0A6B27749982}"/>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DAA2E3C-6DFA-404C-B409-F66C87BB9720}"/>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5DAA2E3C-6DFA-404C-B409-F66C87BB9720}"/>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27EAA84-13DA-41DF-B6C8-03FEF881EEF2}"/>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627EAA84-13DA-41DF-B6C8-03FEF881EEF2}"/>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2F516D-7439-4845-B176-4F2DBE48D9B0}"/>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BF2F516D-7439-4845-B176-4F2DBE48D9B0}"/>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574924E-9C6F-43A6-A9F8-EE3CCEF64950}"/>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0574924E-9C6F-43A6-A9F8-EE3CCEF64950}"/>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40B0EA-10F3-4017-B4AC-38ABFB6A0A47}"/>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5440B0EA-10F3-4017-B4AC-38ABFB6A0A47}"/>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C0780D1-A36B-415B-A38C-80B1ABA7D3F2}"/>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3C0780D1-A36B-415B-A38C-80B1ABA7D3F2}"/>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A9F7618-9C6E-4D4E-9333-BA57BAF3B1E8}"/>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CA9F7618-9C6E-4D4E-9333-BA57BAF3B1E8}"/>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396384AA-80C9-44A7-BA29-4CABCE593751}"/>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396384AA-80C9-44A7-BA29-4CABCE593751}"/>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26960BD7-075B-4439-81D8-2CEE1375F008}"/>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26960BD7-075B-4439-81D8-2CEE1375F008}"/>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7428FEC-613D-469A-85D0-03AD6A8C12F8}"/>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07428FEC-613D-469A-85D0-03AD6A8C12F8}"/>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585F34B-F169-4EF1-BB3A-8ECC37F6876C}"/>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C585F34B-F169-4EF1-BB3A-8ECC37F6876C}"/>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83D8DC5-0483-43EF-82B4-F31959A79338}"/>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E83D8DC5-0483-43EF-82B4-F31959A79338}"/>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30F8B74-E7D7-4C07-B94C-849BA20B1C7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030F8B74-E7D7-4C07-B94C-849BA20B1C7F}"/>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498E8E9-CBCD-4DD9-A0FA-B89A67343245}"/>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2498E8E9-CBCD-4DD9-A0FA-B89A67343245}"/>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4DA8B598-EDEF-4803-AAF0-9208DAB04779}"/>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4DA8B598-EDEF-4803-AAF0-9208DAB04779}"/>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58B42BE-DDD8-4DD4-9EA8-CE8DC9E78413}"/>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058B42BE-DDD8-4DD4-9EA8-CE8DC9E78413}"/>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A4159F2-CC05-4097-9006-E61670BDABD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7A4159F2-CC05-4097-9006-E61670BDABD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A42F230-74BB-4BA2-994C-B9EFA34DA5F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1A42F230-74BB-4BA2-994C-B9EFA34DA5F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5AD0EEE-E13F-4FC1-81A1-E0D5C18CFBB7}"/>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95AD0EEE-E13F-4FC1-81A1-E0D5C18CFBB7}"/>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05CB17F-1D9E-4543-B70B-2948C1ED53F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005CB17F-1D9E-4543-B70B-2948C1ED53F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9FBB909-DB31-4DA4-A323-FB6D26DE7C6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29FBB909-DB31-4DA4-A323-FB6D26DE7C6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9DF9C6B-F7BF-405A-8772-0FBF3D3442D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79DF9C6B-F7BF-405A-8772-0FBF3D3442D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B5620B7-2A0D-4C17-A0E4-A9B39D887DDE}"/>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FB5620B7-2A0D-4C17-A0E4-A9B39D887DDE}"/>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A637B7CA-8ABE-4ACF-BD0B-3FBCBA9F4735}"/>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A637B7CA-8ABE-4ACF-BD0B-3FBCBA9F4735}"/>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9A7C80F-2710-4E44-80E8-74D64B69E7BE}"/>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F9A7C80F-2710-4E44-80E8-74D64B69E7BE}"/>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AFCBBEA-FCE4-4950-9270-BC39EDEB9129}"/>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9AFCBBEA-FCE4-4950-9270-BC39EDEB9129}"/>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E69BC06-3AFF-4D42-9231-71C1C9CC18AA}"/>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3E69BC06-3AFF-4D42-9231-71C1C9CC18AA}"/>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6:G37" totalsRowShown="0">
  <autoFilter ref="D36:G37"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413"/>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D029D725-2F2B-40D7-B11F-1DF18BD09676}"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64BCF013-15AC-479A-9833-5B27144139A3}" name="Transaction name" dataCellStyle="Input text"/>
    <tableColumn id="13" xr3:uid="{4C09BCFC-D25C-4910-994C-B3F3C041FB9C}" name="Purchase date" dataCellStyle="Input text"/>
    <tableColumn id="11" xr3:uid="{8E2E12E5-5FA6-4773-932C-BAA57EE5C57D}" name="Class (select)" dataDxfId="412" dataCellStyle="Input select"/>
    <tableColumn id="2" xr3:uid="{9D944C81-C94A-4B87-AAD6-7E0FCA83AA07}" name="Purchase class (select)" dataDxfId="411" dataCellStyle="Input select"/>
    <tableColumn id="6" xr3:uid="{4C2F3FC7-C4CC-4E47-BD9D-C372E962FA07}" name="Source region (Select)" dataDxfId="410" dataCellStyle="Input select"/>
    <tableColumn id="3" xr3:uid="{6B5DEEE7-5151-4DE4-BACD-49D04BF20025}" name="Quantity (head)" dataCellStyle="Input number general"/>
    <tableColumn id="12" xr3:uid="{89D2AF69-3381-4A79-A881-8B581971E260}" name="Liveweight (kg/head) Method 1" dataCellStyle="Input number general calculated"/>
    <tableColumn id="4" xr3:uid="{04110780-707B-4B36-9D00-5F207BF2F1BA}"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5E6534E-A67D-4BDB-A71A-8C1A0C303264}" name="Table_Input_Fuel" displayName="Table_Input_Fuel" ref="D16:J21" totalsRowDxfId="409"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8AFC9D7-7176-4699-AFED-E33131636144}" name="Fuel use (select)" totalsRowFunction="average" totalsRowDxfId="408" dataCellStyle="Input select" totalsRowCellStyle="Input select"/>
    <tableColumn id="3" xr3:uid="{286F74A4-906A-491F-BE09-E871ED03A423}" name="Fuel type (select)" totalsRowDxfId="407" dataCellStyle="Input select" totalsRowCellStyle="Input select"/>
    <tableColumn id="4" xr3:uid="{DC82ED7D-2BEE-4DA1-B851-BFC9808297F3}" name="Amount purchased" totalsRowDxfId="406" totalsRowCellStyle="Content bold"/>
    <tableColumn id="6" xr3:uid="{5D8DF03E-AB50-4A5F-8ADA-A725240091D4}" name="Amount unit" totalsRowDxfId="405" dataCellStyle="Input number general calculated" totalsRowCellStyle="Input text calculated"/>
    <tableColumn id="5" xr3:uid="{61975BC3-31A8-488E-A815-925BDEF6FEF8}" name="Percent consumed" totalsRowDxfId="404" totalsRowCellStyle="Input percent">
      <calculatedColumnFormula>1</calculatedColumnFormula>
    </tableColumn>
    <tableColumn id="1" xr3:uid="{8088FF9C-E47C-4BE7-BF94-688A165731C6}" name="Amount consumed" totalsRowFunction="custom" totalsRowDxfId="403"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A407356B-B9E4-416D-AFA3-E71BEE0A5B53}" name="Amount consumed unit" totalsRowDxfId="402"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3A1E6BD-2296-498B-9E7C-18E74E1255AB}"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8C635AC-9DA1-44CF-8B1C-EC906134AC1B}" name="Description"/>
    <tableColumn id="5" xr3:uid="{FD19E1E1-91F6-4FB9-8568-825FA09CF50C}" name="Source (select)" dataCellStyle="Input select"/>
    <tableColumn id="2" xr3:uid="{FB1A041C-3F8E-46C6-9550-B323A5333581}" name="Generation date" dataDxfId="401"/>
    <tableColumn id="3" xr3:uid="{EF2749CA-3215-49A2-B1A9-AF93DC6C1EEE}" name="Number of certificates"/>
    <tableColumn id="4" xr3:uid="{6F89499D-5CE3-49EC-90F2-3852D15B3F7D}" name="MWh" dataCellStyle="Input number general calculated">
      <calculatedColumnFormula>Table_Input_RECSurrendered[[#This Row],[Number of certificates]]</calculatedColumnFormula>
    </tableColumn>
    <tableColumn id="7" xr3:uid="{2B9AD547-0F25-4C44-9BA7-CD29D77D3AD4}"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7F5E574-C0C2-4EED-A950-99BAB9DBDAFD}"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E58B6925-01EF-4425-A192-24FC159925EB}" name="Description"/>
    <tableColumn id="5" xr3:uid="{6176907D-7999-4610-9DF4-F81510FB3D66}" name="Source" dataCellStyle="Input text calculated">
      <calculatedColumnFormula>"Issued for generated electricity"</calculatedColumnFormula>
    </tableColumn>
    <tableColumn id="2" xr3:uid="{50435CC5-5F7A-46FE-85AB-2FEBC2343851}" name="Generation date" dataDxfId="400"/>
    <tableColumn id="3" xr3:uid="{5502938E-74E4-4CCF-B429-8AE7FE722495}" name="Number of certificates"/>
    <tableColumn id="4" xr3:uid="{89659033-75A7-4664-90DD-503C57988DB3}" name="MWh" dataCellStyle="Input number general calculated">
      <calculatedColumnFormula>Table_Input_RECConsumedByEntity[[#This Row],[Number of certificates]]</calculatedColumnFormula>
    </tableColumn>
    <tableColumn id="7" xr3:uid="{B5D4D013-478E-4884-AFE7-8C0C622117B1}"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6C56FAE8-6918-4F1C-99B9-30169BDA702E}"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BD24A090-95BF-48A5-AE04-808DF1371575}" name="Product name" dataCellStyle="Input text"/>
    <tableColumn id="1" xr3:uid="{61C01C38-82DE-42CD-AC67-98B553F6F35F}" name="Type (select)" dataCellStyle="Input select"/>
    <tableColumn id="2" xr3:uid="{11C493AD-D919-4B84-A0F2-C0FEBC7AB7DE}" name="Quantity purchased (kg)" dataCellStyle="Input number general"/>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4A73E3C8-7C61-4D00-AA80-3E9BCB2A96F8}"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BB5506E7-B736-4477-B270-EDBE7310B441}" name="Product / service name" dataCellStyle="Input text"/>
    <tableColumn id="2" xr3:uid="{CB4DE14C-9900-46E3-BDC5-DDCC07024EAD}" name="Amount" dataCellStyle="Input number general"/>
    <tableColumn id="3" xr3:uid="{46DC7A46-8EEE-4921-863E-4ECC9FE604D4}" name="Amount unit" dataCellStyle="Input text"/>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AEC00C63-AE52-43F8-BB9A-35CEA44A35B1}"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C4E471CF-2213-451F-8412-D7D5B103F105}" name="Service provider / contractor" dataCellStyle="Input text"/>
    <tableColumn id="4" xr3:uid="{02EB35CE-356D-4348-B9EB-6CB4AB49E0BD}" name="Activity" dataCellStyle="Input text"/>
    <tableColumn id="2" xr3:uid="{9A7B886B-61C4-4950-9E4F-247926A3EE51}" name="Total amount" dataCellStyle="Input number general"/>
    <tableColumn id="3" xr3:uid="{AFA6E16C-B6F3-4072-B7BE-37D90D337445}" name="Amount unit" dataCellStyle="Input selec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52E50C4A-3416-4F79-964A-0C3761CBB24F}" name="Table_Input_FeedBlends" displayName="Table_Input_FeedBlends" ref="D18:Q28" totalsRowShown="0">
  <autoFilter ref="D18:Q28" xr:uid="{6EC3622A-9CA1-4931-8AAA-6FC289090D20}"/>
  <tableColumns count="14">
    <tableColumn id="1" xr3:uid="{30F0CF9C-E4D7-4CE8-8379-A812D78BA807}" name="Feed blend name" dataCellStyle="Input text"/>
    <tableColumn id="2" xr3:uid="{F7B219C2-56F3-4A14-A8D7-55AC59868438}" name="Amount fed (kg)"/>
    <tableColumn id="4" xr3:uid="{1460FC7F-8FDB-412F-B629-89FBE3988E63}" name="Ingredient 1 (select)" dataCellStyle="Input select"/>
    <tableColumn id="3" xr3:uid="{2183AC59-15C7-45BD-A69A-0052EC4EE323}" name="Ingredient 1 source region" dataCellStyle="Input select"/>
    <tableColumn id="5" xr3:uid="{2DDDAD53-4546-4B8E-945E-B720F426F413}" name="Ingredient 1 percent"/>
    <tableColumn id="6" xr3:uid="{C62800F0-A41D-41C8-81E5-81FA33EE01E2}" name="Ingredient 2 (select)" dataCellStyle="Input select"/>
    <tableColumn id="14" xr3:uid="{A7374DA1-3A79-4F94-AEEB-6DF47D8F584E}" name="Ingredient 2 source region" dataCellStyle="Input select"/>
    <tableColumn id="7" xr3:uid="{B7B96675-0784-4A71-9892-3AD30A8A26AF}" name="Ingredient 2 percent"/>
    <tableColumn id="8" xr3:uid="{2189C3D8-488A-404E-AC09-276AA0F8BD5A}" name="Ingredient 3 (select)" dataCellStyle="Input select"/>
    <tableColumn id="15" xr3:uid="{8E22705A-9C55-4B24-8297-E0EBDA3FF25F}" name="Ingredient 3 source region" dataCellStyle="Input select"/>
    <tableColumn id="9" xr3:uid="{C0485111-7275-4507-A36B-9CC30ADE15F4}" name="Ingredient 3 percent"/>
    <tableColumn id="10" xr3:uid="{74EA5136-5FDC-41E1-88A5-6BE92BB3C3B6}" name="Ingredient 4 (select)" dataCellStyle="Input select"/>
    <tableColumn id="16" xr3:uid="{FCE5009A-5356-427A-BBCF-C88E6570EBA4}" name="Ingredient 4 source region" dataCellStyle="Input select"/>
    <tableColumn id="11" xr3:uid="{1F458885-416E-4875-BF15-0F269D0D6377}"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92167414-CAC7-447B-A0F5-E62055433C91}" name="Table_Input_ChemicalsPharmacy" displayName="Table_Input_ChemicalsPharmacy" ref="D32:F42" totalsRowShown="0" headerRowCellStyle="Input table column header">
  <autoFilter ref="D32:F42" xr:uid="{F7DA8543-C7DE-49A8-A739-D82C85B7B828}"/>
  <tableColumns count="3">
    <tableColumn id="3" xr3:uid="{C7F93672-F45C-4130-A2E7-7A937C971076}" name="Product name" dataCellStyle="Input text"/>
    <tableColumn id="1" xr3:uid="{B1D4C4B7-2C63-4677-B8F6-A0462B078C16}" name="Type (select)" dataDxfId="399" dataCellStyle="Input select"/>
    <tableColumn id="2" xr3:uid="{BA3E35F5-CE05-4084-A996-C54817614C42}" name="Number of head treated" dataDxfId="398"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3495CB1E-4EA8-4A93-A8EA-8332AEFB026A}"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6351D657-48A3-4E1D-BE6B-DBD71DE40E90}" name="Route name" dataCellStyle="Input text"/>
    <tableColumn id="2" xr3:uid="{7F96C2A0-7CEE-4C13-9EE3-17E382978292}" name="Freight type (select)" dataCellStyle="Input select"/>
    <tableColumn id="3" xr3:uid="{D320F7F8-A309-48D6-9FEF-919C4B506F28}" name="Route distance (km)"/>
    <tableColumn id="4" xr3:uid="{FB1E3F37-23FB-4B00-B1AF-09A197C20100}" name="Average weight of freight per trip (t)"/>
    <tableColumn id="5" xr3:uid="{9D7B901E-9A37-49FF-8EC6-2DE9DC3F52B5}" name="Number of trips take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5E899656-F6C9-433C-8DE4-BA126B8183A3}"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78C6C8F5-7038-434F-B88F-23BE0EDE8BFC}" name="Route name" dataCellStyle="Input text"/>
    <tableColumn id="2" xr3:uid="{D1FD10D0-84F9-476F-8C83-9A5253487F01}" name="Freight type (select)" dataCellStyle="Input select"/>
    <tableColumn id="3" xr3:uid="{FF2D708B-F998-435E-BCEB-FEC4502185DE}" name="Route distance (km)"/>
    <tableColumn id="4" xr3:uid="{CB18DB1B-0195-45BC-9F16-6228AD0B449C}" name="Average weight of freight per trip (t)"/>
    <tableColumn id="5" xr3:uid="{D0038A42-ACD8-41E5-B406-B7586004055E}" name="Number of trips take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68BC7796-FEC2-47A6-9F46-F2FB8F02531F}"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B73F6F9A-D98A-45CD-B8EA-B45D2838B52D}" name="Description" dataCellStyle="Input text"/>
    <tableColumn id="5" xr3:uid="{FE87666F-D65A-47AB-91D0-C9496CF92524}" name="Treatment type (select)" dataCellStyle="Input select"/>
    <tableColumn id="2" xr3:uid="{D5E64267-5967-4C42-8626-AAEC64D921B7}" name="Waste type (select)" dataCellStyle="Input select"/>
    <tableColumn id="3" xr3:uid="{5209553A-473C-4C00-BC83-E4320D9D1426}" name="Treatment location (select)" dataCellStyle="Input select"/>
    <tableColumn id="4" xr3:uid="{D42B41C1-E7AB-4312-BCE7-E526C4025656}" name="Amount" dataCellStyle="Input number general"/>
    <tableColumn id="7" xr3:uid="{B26A6F9A-17DA-4FB6-AE99-66DCED3A4892}" name="Amount unit (select)" dataCellStyle="Input selec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2" totalsRowShown="0" headerRowCellStyle="Input table column header">
  <autoFilter ref="D7:J12"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397"/>
    <tableColumn id="6" xr3:uid="{1219F6AC-7C79-4EDD-8C55-F7A78277AE3F}" name="Evidence files" dataDxfId="396"/>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7:J23" totalsRowShown="0" headerRowCellStyle="Input table column header">
  <autoFilter ref="D17:J23"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395"/>
    <tableColumn id="6" xr3:uid="{73F97399-8A3B-4EFB-9481-CBD7CB1C44EB}" name="Evidence files" dataDxfId="394"/>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8:J39" totalsRowShown="0" headerRowCellStyle="Input table column header">
  <autoFilter ref="D28:J39"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393"/>
    <tableColumn id="6" xr3:uid="{865FA280-4A36-4101-BD09-20356916B4D5}" name="Evidence files" dataDxfId="392"/>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4:J48" totalsRowShown="0" headerRowCellStyle="Input table column header">
  <autoFilter ref="D44:J48"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391"/>
    <tableColumn id="6" xr3:uid="{690D112F-6792-478E-99EE-B77B520B2164}" name="Evidence files" dataDxfId="390"/>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4:J59" totalsRowShown="0" headerRowCellStyle="Input table column header">
  <autoFilter ref="D54:J59"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389"/>
    <tableColumn id="6" xr3:uid="{16D79CDB-80AA-4F28-B5E0-282205F97C41}" name="Evidence files" dataDxfId="388"/>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EADA280-8256-4EEA-8A95-3B96A9E6FCF7}"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4A124EC-315D-4D2E-B167-CBBE5C39A8E2}" name="Treatment stage T">
      <calculatedColumnFormula array="1">Common_InputFunctions.Utility_DisplayArrayInTable(SourceData_Feedlot.SourceData_Feedlot_MCF_Data(), Table_SourceData_Feedlot_MCF[[#Headers],[Treatment stage T]], 0)</calculatedColumnFormula>
    </tableColumn>
    <tableColumn id="2" xr3:uid="{1050E4C5-2C2E-4841-8526-97C5BF69626F}" name="MMS m" dataDxfId="387" dataCellStyle="Content normal">
      <calculatedColumnFormula array="1">Common_InputFunctions.Utility_DisplayArrayInTable(SourceData_Feedlot.SourceData_Feedlot_MCF_Data(), Table_SourceData_Feedlot_MCF[[#Headers],[Treatment stage T]], 0)</calculatedColumnFormula>
    </tableColumn>
    <tableColumn id="3" xr3:uid="{3CBDB1BF-3A7C-488D-9DC7-A7057A9A678C}" name="NSW" dataDxfId="386" dataCellStyle="Content normal">
      <calculatedColumnFormula array="1">Common_InputFunctions.Utility_DisplayArrayInTable(SourceData_Feedlot.SourceData_Feedlot_MCF_Data(), Table_SourceData_Feedlot_MCF[[#Headers],[Treatment stage T]], 0)</calculatedColumnFormula>
    </tableColumn>
    <tableColumn id="4" xr3:uid="{F8693567-C2E1-47AB-A75A-6DB4C0F4A09B}" name="ACT" dataDxfId="385" dataCellStyle="Content normal">
      <calculatedColumnFormula array="1">Common_InputFunctions.Utility_DisplayArrayInTable(SourceData_Feedlot.SourceData_Feedlot_MCF_Data(), Table_SourceData_Feedlot_MCF[[#Headers],[Treatment stage T]], 0)</calculatedColumnFormula>
    </tableColumn>
    <tableColumn id="5" xr3:uid="{5EBBC157-2A97-4584-8BF0-3CE01F6221D4}" name="QLD" dataDxfId="384" dataCellStyle="Content normal">
      <calculatedColumnFormula array="1">Common_InputFunctions.Utility_DisplayArrayInTable(SourceData_Feedlot.SourceData_Feedlot_MCF_Data(), Table_SourceData_Feedlot_MCF[[#Headers],[Treatment stage T]], 0)</calculatedColumnFormula>
    </tableColumn>
    <tableColumn id="6" xr3:uid="{059FE6A7-A262-48AA-A73E-5C43505B5E34}" name="NT" dataDxfId="383" dataCellStyle="Content normal">
      <calculatedColumnFormula array="1">Common_InputFunctions.Utility_DisplayArrayInTable(SourceData_Feedlot.SourceData_Feedlot_MCF_Data(), Table_SourceData_Feedlot_MCF[[#Headers],[Treatment stage T]], 0)</calculatedColumnFormula>
    </tableColumn>
    <tableColumn id="7" xr3:uid="{68586040-B382-4BF6-818E-0B3E1C66A018}" name="SA" dataDxfId="382" dataCellStyle="Content normal">
      <calculatedColumnFormula array="1">Common_InputFunctions.Utility_DisplayArrayInTable(SourceData_Feedlot.SourceData_Feedlot_MCF_Data(), Table_SourceData_Feedlot_MCF[[#Headers],[Treatment stage T]], 0)</calculatedColumnFormula>
    </tableColumn>
    <tableColumn id="8" xr3:uid="{2591B87F-8DEA-4B58-8010-72E17C59B879}" name="VIC" dataDxfId="381" dataCellStyle="Content normal">
      <calculatedColumnFormula array="1">Common_InputFunctions.Utility_DisplayArrayInTable(SourceData_Feedlot.SourceData_Feedlot_MCF_Data(), Table_SourceData_Feedlot_MCF[[#Headers],[Treatment stage T]], 0)</calculatedColumnFormula>
    </tableColumn>
    <tableColumn id="9" xr3:uid="{5115521F-4D5C-4904-8F08-CAB066378B09}" name="WA" dataDxfId="380" dataCellStyle="Content normal">
      <calculatedColumnFormula array="1">Common_InputFunctions.Utility_DisplayArrayInTable(SourceData_Feedlot.SourceData_Feedlot_MCF_Data(), Table_SourceData_Feedlot_MCF[[#Headers],[Treatment stage T]], 0)</calculatedColumnFormula>
    </tableColumn>
    <tableColumn id="10" xr3:uid="{D0FCC94E-06C5-4C21-A14E-E5C061E2BB2C}" name="TAS" dataDxfId="379" dataCellStyle="Content normal">
      <calculatedColumnFormula array="1">Common_InputFunctions.Utility_DisplayArrayInTable(SourceData_Feedlot.SourceData_Feedlot_MCF_Data(), Table_SourceData_Feedlot_MCF[[#Headers],[Treatment stage T]], 0)</calculatedColumnFormula>
    </tableColumn>
    <tableColumn id="11" xr3:uid="{D56D8412-D1D0-4DDB-B414-AA74D33FDFDC}" name="NIR definition" dataDxfId="37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5B59798-A1FB-4D90-BCBB-66BAA00D27B5}" name="Table_SourceData_FeedlotMMS" displayName="Table_SourceData_FeedlotMMS" ref="D27:E32" totalsRowShown="0">
  <autoFilter ref="D27:E32" xr:uid="{D5C443B2-EDE2-4250-B2EE-016878D19AD9}">
    <filterColumn colId="0" hiddenButton="1"/>
    <filterColumn colId="1" hiddenButton="1"/>
  </autoFilter>
  <tableColumns count="2">
    <tableColumn id="1" xr3:uid="{71E3F126-3B3A-4012-96CC-A5CCEAFCEA54}" name="MMS"/>
    <tableColumn id="2" xr3:uid="{D9B41BA9-961D-4302-A5E1-C83EF0E4BE18}" name="Symbol and MMS" dataDxfId="377"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641498D-A7DD-4D14-8A4C-E351FD6098E8}"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1CA1C1A-7F8A-4021-94B1-8562E2276804}" name="Feedlot type">
      <calculatedColumnFormula array="1">Common_InputFunctions.Utility_DisplayArrayInTable(SourceData_Feedlot.SourceData_Feedlot_DietProperties_Data(), Table_SourceData_Feedlot_DietProperties[[#Headers],[Feedlot type]], 0)</calculatedColumnFormula>
    </tableColumn>
    <tableColumn id="2" xr3:uid="{BC300B2D-B06A-4342-8DE3-51BDC7082EE3}" name="Nutrient analysis" dataDxfId="37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901C660E-EB89-46E3-AD6B-B615E9520D8F}" name="Unit" dataDxfId="37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894F806E-7A01-4FA2-8091-41444D3AC715}" name="2010-2014" dataDxfId="37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39C87287-2939-4820-9D55-95ECF6256976}" name="2015-2019" dataDxfId="37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8A49B298-1AD6-4117-996B-2697A54D16B6}" name="2020-2023" dataDxfId="37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9EE28FA0-C931-4FE5-8763-4008EC8B6083}" name="2020-2023 Converted to fraction" dataDxfId="37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571008D-26DD-464B-94B9-56A4AA368238}"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E3CBE7-A285-4FCC-8043-F69189D6583C}"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B90D9846-D0EE-4404-A4AB-A7013EFF7A03}" name="Characteristic" dataDxfId="37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167FA3B-1AF4-4220-9536-B881D775915F}" name="Unit" dataDxfId="36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4D5634E4-5BA6-4875-860E-4BF3CAB52B2F}" name="2005-2009" dataDxfId="36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6019A66C-4E43-4C56-A990-6495BBC4FBB0}" name="2010-2014" dataDxfId="36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1713DF9D-8724-4FD8-9670-4EF25B14ECF6}" name="2015-2019" dataDxfId="36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D6F5711F-E845-4894-A1F6-F5AD11B438B5}" name="2020-2023" dataDxfId="36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7E87B61-345F-4BC7-AFBC-096D89EFA114}"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AA7B8580-8687-4B2A-A34F-0144AE18F460}" name="Feedlot type">
      <calculatedColumnFormula array="1">Common_InputFunctions.Utility_DisplayArrayInTable(SourceData_Feedlot.SourceData_Feedlot_DurationOfStay_Data(), Table_SourceData_Feedlot_LengthOfStay[[#Headers],[Feedlot type]], 0)</calculatedColumnFormula>
    </tableColumn>
    <tableColumn id="2" xr3:uid="{20F0785D-7938-4BFF-9753-D23C11E9DBF6}" name="Length of stay" dataDxfId="36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8CB3D01-1B84-4EB4-8EB6-D038566994BF}"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EF5DD5D2-EF38-4D6C-A1BE-1B9BD325B9B7}" name="Treatment stage T">
      <calculatedColumnFormula array="1">Common_InputFunctions.Utility_DisplayArrayInTable(SourceData_Feedlot.SourceData_Feedlot_NitrousOxideEFs_Data(), Table_SourceData_Feedlot_NO2EFs[[#Headers],[Treatment stage T]], 0)</calculatedColumnFormula>
    </tableColumn>
    <tableColumn id="2" xr3:uid="{6DA7FCC9-BD4C-4A16-BEF3-8677E20EC8C4}" name="MMS m" dataDxfId="36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126890A4-CF58-4E7B-AB60-5DB916D0E096}" name="EF mT" dataDxfId="36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EBF8CC17-DF1E-4F08-A146-FBA4DFC3DADA}" name="NIR definition" dataDxfId="36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CFC45CD-C998-4A98-A90D-5DFB96A54EFC}" name="Table_SourceData_Feedlot_FracGASMmT" displayName="Table_SourceData_Feedlot_FracGASMmT" ref="D112:G117" totalsRowShown="0" headerRowDxfId="36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7C8211DB-2DBA-4D7E-87DD-E3FA194648A8}"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AFFB0E08-1F47-4B99-9BDF-D741342B85D1}"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3420C826-33FA-4FA2-8545-3904428D6EFE}"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385913BD-A245-44E9-9335-5B60FE4495C7}"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300AAED-9184-4C5C-8F6E-0EA91F619BD0}" name="Table_SourceData_Feedlot_CropProdSystems" displayName="Table_SourceData_Feedlot_CropProdSystems" ref="G27:G29" totalsRowShown="0">
  <autoFilter ref="G27:G29" xr:uid="{B6F3FE3A-A0B5-47E7-85B2-8426FB75A7C8}">
    <filterColumn colId="0" hiddenButton="1"/>
  </autoFilter>
  <tableColumns count="1">
    <tableColumn id="1" xr3:uid="{CB4569BD-69DA-47B7-8601-DB26B8380D71}"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0791D55-5C64-4860-989C-D0B82FA32157}" name="Table_SourceData_Feedlot_IrrigationMethods" displayName="Table_SourceData_Feedlot_IrrigationMethods" ref="J27:J32" totalsRowShown="0">
  <autoFilter ref="J27:J32" xr:uid="{FE172B77-CEA3-430C-84BC-392A64D0B8FF}">
    <filterColumn colId="0" hiddenButton="1"/>
  </autoFilter>
  <tableColumns count="1">
    <tableColumn id="1" xr3:uid="{B9042A1E-DDF2-49CA-8098-475116F3F7CA}"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C1A5662-E5F7-46BE-ABD7-96E6FDFD4CF8}" name="Table_LivestockClasses_Feedlot" displayName="Table_LivestockClasses_Feedlot" ref="L27:L30" totalsRowShown="0">
  <autoFilter ref="L27:L30" xr:uid="{92BBAD58-C03F-403E-8210-DBAB7DC4CCCB}">
    <filterColumn colId="0" hiddenButton="1"/>
  </autoFilter>
  <tableColumns count="1">
    <tableColumn id="1" xr3:uid="{5D9C27B6-92A4-4A80-BE2C-58BAB209B5E2}" name="Livestock class"/>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372FC392-5C99-4731-9F9A-84A9F9D0A9A2}"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52434CB3-AB4F-4B37-B111-0C9FF055A4B3}" name="Symbol">
      <calculatedColumnFormula array="1">Common_InputFunctions.Utility_DisplayArrayInTable(CommonLivestock_SourceData.SourceData_Livestock_Common_SymbolsMMS_Data(), Table_Data_MMSSymbols[[#Headers],[Symbol]], 0)</calculatedColumnFormula>
    </tableColumn>
    <tableColumn id="2" xr3:uid="{1D154D95-8C67-4599-B1DD-70C2F2B62E64}" name="Manure management system">
      <calculatedColumnFormula array="1">Common_InputFunctions.Utility_DisplayArrayInTable(CommonLivestock_SourceData.SourceData_Livestock_Common_SymbolsMMS_Data(), Table_Data_MMSSymbols[[#Headers],[Symbol]], 0)</calculatedColumnFormula>
    </tableColumn>
    <tableColumn id="3" xr3:uid="{A6526285-55D3-4DC4-B001-28E3C8B03997}"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3D3555C0-BB4F-44A9-BBA1-B51201A0F5CF}" name="Table_SourceData_ElectricityEFs" displayName="Table_SourceData_ElectricityEFs" ref="D9:F19" totalsRowShown="0" headerRowDxfId="359">
  <autoFilter ref="D9:F19" xr:uid="{3144A982-7A4D-4CF2-8790-1A30DAE3E0A4}">
    <filterColumn colId="0" hiddenButton="1"/>
    <filterColumn colId="1" hiddenButton="1"/>
    <filterColumn colId="2" hiddenButton="1"/>
  </autoFilter>
  <tableColumns count="3">
    <tableColumn id="1" xr3:uid="{2A37CE20-C933-4D1D-BCD4-8C8A65F3E686}"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175A7A-4A8E-4E33-9BD0-82799F67A0F8}"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16F7D096-5167-43ED-BEAA-FCF3C2FADF0D}"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309E0D0-749A-4332-AA63-AAD7BE8BA0E6}"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BAD4378B-91FE-4BB8-B383-C1304CBECA2E}"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0DE903D2-F84E-4EF3-9C69-E7F314B385E9}"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29BABC62-4B84-4D8D-9FA4-B0DAD606B53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0291DAAA-A9F5-4EBE-9BF3-CF902AE1FFD9}"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846FF6D8-307C-4315-8165-7AED0056ECFC}"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A0A5FB70-F474-454D-A3A5-663687FA07DD}"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95242460-6722-42A0-865F-FD7925E3E318}"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81C0D230-A5F1-419C-A243-008F367E219E}" name="FNinorganic f">
      <calculatedColumnFormula array="1">Common_InputFunctions.Utility_DisplayArrayInTable(Fertiliser_SourceData.Fertiliser_ChemicalCompoundElements_Data(),Table_Fertiliser_ChemicalCompounds[[#Headers],[Fertiliser type f]], 0)</calculatedColumnFormula>
    </tableColumn>
    <tableColumn id="3" xr3:uid="{A910D738-05C1-4D43-8B09-E6314FA6828F}" name="FU f">
      <calculatedColumnFormula array="1">Common_InputFunctions.Utility_DisplayArrayInTable(Fertiliser_SourceData.Fertiliser_ChemicalCompoundElements_Data(),Table_Fertiliser_ChemicalCompounds[[#Headers],[Fertiliser type f]], 0)</calculatedColumnFormula>
    </tableColumn>
    <tableColumn id="4" xr3:uid="{0939A4DC-3AE3-4353-B876-EB7B94A75C8C}" name="Basis">
      <calculatedColumnFormula array="1">Common_InputFunctions.Utility_DisplayArrayInTable(Fertiliser_SourceData.Fertiliser_ChemicalCompoundElements_Data(),Table_Fertiliser_ChemicalCompounds[[#Headers],[Fertiliser type f]], 0)</calculatedColumnFormula>
    </tableColumn>
    <tableColumn id="5" xr3:uid="{1150F053-0E9F-4E21-A7CD-EC5CE00CFB50}"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286C7E06-7683-4AC0-9388-9458CD0F4A18}"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506EB6B-C011-41AD-8786-5125C50D7049}"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E3384D3B-FE28-4FDB-B223-303AFA347420}" name="Company" totalsRowFunction="custom" totalsRowDxfId="358">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49F63B54-8E90-4C8A-A922-7828D516B54F}"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37CEDD04-5B84-4271-9ED2-9EBD1931B5E0}"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347F9DEA-DB86-4654-9D2B-0B40533E7641}"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0DC02A77-F192-4547-B3F9-77C287CAEDC4}"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16B715FA-09AB-4ECA-A2DA-660CCA2429E8}"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522D3299-9146-4F9D-B766-F45B94CD4C68}"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1E597EE8-944D-405F-A148-972D3321950C}"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6F6E7057-95E6-4AC8-B40C-33BB0E18D457}"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E66FD2A5-7A7F-4B51-97EF-9896BE41A82E}"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355829DA-A6F1-4EA7-8302-DFB51A707E31}"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6B63F2F1-8F6A-40B3-A520-E6275974A757}" name="Ingredient 1" totalsRowFunction="custom" totalsRowCellStyle="Content normal">
      <totalsRowFormula array="1">Common_InputFunctions.Utility_DisplayArrayInTable(Fertiliser_SourceData.Fertiliser_Products_Data3(), FertiliserProducts[[#Headers],[Company]],61)</totalsRowFormula>
    </tableColumn>
    <tableColumn id="22" xr3:uid="{4569E8BB-F99A-420A-A554-985574CE332D}"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C325F102-988C-41C2-BB1A-14BFBE6C1276}"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2A6AED76-1E45-4102-BE42-FA9E0AC1D670}"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67C928C1-39E1-4C6B-AD78-841CFA257200}"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81F90264-64ED-45ED-8F36-6ADD372AAE37}"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A7110B6C-D610-41C1-99A8-F0B0945059EF}"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98AAA081-E046-45C5-8D94-B51DD28D7CAD}"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5B6E1A8F-9C8E-4215-9F47-1D83D186C059}"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E41D57E7-001C-4AC1-9878-009E92B670AA}"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2E4A3721-BFF6-4570-BB89-5F3EB6C699C5}"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103BD874-0DAB-4738-8B59-0A679B4FBCA5}"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9A0B3390-8A92-4B89-9D19-71F0A1FC69AA}"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A72CB32E-9424-45D8-9620-7DB354E800A8}"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416875C1-7F68-4CA8-BF1C-A761779ED865}"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BCC72A4A-190C-439E-85B7-B052F3135A4D}"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312D0011-B654-4CB1-B512-0D7636067F3D}"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617C4204-2C1D-41A8-9ED6-6436AFE0DA76}"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26F4DA01-9BA1-41C2-AAE8-1FAFB2568488}"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00D4ED55-F8DD-4B0F-960A-3631E41B991D}" name="Ingredient 10 percent" totalsRowCellStyle="Content normal"/>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C5CB635-AE6A-45FF-BAE3-B9903EC85225}"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B7024C66-7D0F-4B87-BEFB-85B1B0F6CD93}" name="Fertiliser type f">
      <calculatedColumnFormula array="1">Common_InputFunctions.Utility_DisplayArrayInTable(Fertiliser_SourceData.Fertiliser_FracGASF_Data(), Table_SourceData_Fertiliser_FracGASF[[#Headers],[Fertiliser type f]], 0)</calculatedColumnFormula>
    </tableColumn>
    <tableColumn id="2" xr3:uid="{DDBFC339-23DF-4942-86EC-62D23A62C236}" name="FracGASF f" dataDxfId="357"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606287A-A26A-4B1D-979D-BC667154D596}" name="Table_SourceData_Fertiliser_CropProdSystems" displayName="Table_SourceData_Fertiliser_CropProdSystems" ref="D41:D43" totalsRowShown="0">
  <autoFilter ref="D41:D43" xr:uid="{24F3A11E-40F5-4BB9-BFF4-A71FA2ADA0EF}">
    <filterColumn colId="0" hiddenButton="1"/>
  </autoFilter>
  <tableColumns count="1">
    <tableColumn id="1" xr3:uid="{D255D7F1-2962-491F-9B8F-FD6E7E83D593}" name="Production system">
      <calculatedColumnFormula>#REF!</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959F397F-7A80-4FBD-98E3-16F163545F10}"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3B6BE064-B115-4228-882B-A7C8F77A7BE8}" name="Irrigation method"/>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2D65E813-377F-4D23-BEDD-AB5C9DB3876E}" name="Table_SourceData_Fertiliser_CropTypes" displayName="Table_SourceData_Fertiliser_CropTypes" ref="F41:F45" totalsRowShown="0">
  <autoFilter ref="F41:F45" xr:uid="{CB5044B5-FA3C-4AA2-B1AB-72F7E61D072F}">
    <filterColumn colId="0" hiddenButton="1"/>
  </autoFilter>
  <tableColumns count="1">
    <tableColumn id="1" xr3:uid="{74EC6E31-6E30-4A78-8854-8DE7BF14123B}" name="Production system"/>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E933C037-60A8-4A21-9CED-AB403F7DC00D}" name="Table_SourceData_OrganicFertiliserTypes" displayName="Table_SourceData_OrganicFertiliserTypes" ref="J41:J46" totalsRowShown="0">
  <autoFilter ref="J41:J46" xr:uid="{B44627B1-537E-4ABC-92C3-57282CEE5B40}">
    <filterColumn colId="0" hiddenButton="1"/>
  </autoFilter>
  <tableColumns count="1">
    <tableColumn id="1" xr3:uid="{CAB5FAB2-DB67-4D70-B563-7E98A0E7CAE6}" name="Organic fertiliser type"/>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1BA113-CB09-4867-999E-3B452D47D776}"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F906102A-406B-4644-BBFA-332D1C8F630D}" name="Element">
      <calculatedColumnFormula array="1">Common_InputFunctions.Utility_DisplayArrayInTable(Fertiliser_SourceData.Fertiliser_LimeDolomiteGypsumConstants_Data(), Table_SourceData_Fertiliser_LimeDolomiteConstants[[#Headers],[Element]], 0)</calculatedColumnFormula>
    </tableColumn>
    <tableColumn id="2" xr3:uid="{021C4715-80DA-49FB-9A86-5ABFC40EFE66}" name="P" dataDxfId="35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53C4B867-F336-433B-ACEC-2C2D00CDAB78}" name="EF" dataDxfId="35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6F7AC9F7-678D-46A9-B303-F6342E716593}" name="Table2" displayName="Table2" ref="K19:L28" totalsRowShown="0" dataDxfId="354" dataCellStyle="Content normal">
  <autoFilter ref="K19:L28" xr:uid="{27B93029-EB1F-4C4A-A946-CD673A8A6C46}">
    <filterColumn colId="0" hiddenButton="1"/>
    <filterColumn colId="1" hiddenButton="1"/>
  </autoFilter>
  <tableColumns count="2">
    <tableColumn id="1" xr3:uid="{CDBC5A14-58A7-4900-9589-6B98D45BC043}" name="Fertiliser type f" dataDxfId="353" dataCellStyle="Content normal">
      <calculatedColumnFormula array="1">Common_InputFunctions.Utility_DisplayArrayInTable(Fertiliser_SourceData.Fertiliser_FractionNCommonFertilisers_Data(), Table2[[#Headers],[Fertiliser type f]], 0)</calculatedColumnFormula>
    </tableColumn>
    <tableColumn id="2" xr3:uid="{52ED5D2C-591E-4949-AC1B-CF40581049AA}" name="FNinorganic f" dataDxfId="352"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6C473878-6D1F-4BE1-B4F8-ECAE6B9A1882}" name="Table28" displayName="Table28" ref="Q19:R28" totalsRowShown="0" dataDxfId="351" dataCellStyle="Content normal">
  <autoFilter ref="Q19:R28" xr:uid="{791CEA59-796C-47AB-86BC-41E8F699030C}">
    <filterColumn colId="0" hiddenButton="1"/>
    <filterColumn colId="1" hiddenButton="1"/>
  </autoFilter>
  <tableColumns count="2">
    <tableColumn id="1" xr3:uid="{D0F778BC-1ABF-4958-A0BD-3EE811E55E55}" name="Fertiliser type f" dataDxfId="350" dataCellStyle="Content normal">
      <calculatedColumnFormula array="1">Common_InputFunctions.Utility_DisplayArrayInTable(Fertiliser_SourceData.Fertiliser_FractionUreaCommonFertilisers_Data(), Table28[[#Headers],[Fertiliser type f]], 0)</calculatedColumnFormula>
    </tableColumn>
    <tableColumn id="2" xr3:uid="{0D5E1700-A27F-4418-A272-F6D7422D987F}" name="FNinorganic f" dataDxfId="349"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3B69C19B-F166-46B1-8837-B8D4BAE5E759}"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4BDF7011-1A70-4682-AF81-07088DFB37C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14B7346-2E15-4167-B967-A227E1E99325}" name="Table_Fuel_EFs_StationaryLiquid" displayName="Table_Fuel_EFs_StationaryLiquid" ref="D53:K77" totalsRowShown="0" headerRowDxfId="348" dataDxfId="347">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91120FC-5BC6-423B-A228-46CCC60FF3B8}" name="Fuel combusted" dataDxfId="346">
      <calculatedColumnFormula array="1">Common_InputFunctions.Utility_DisplayArrayInTable(Fuel_SourceData.Fuel_Scope1Scope3EmissionFactorsStationaryLiquid_Data(), Table_Fuel_EFs_StationaryLiquid[[#Headers],[Fuel combusted]],0)</calculatedColumnFormula>
    </tableColumn>
    <tableColumn id="2" xr3:uid="{28150F5A-3B32-445B-9327-6349CB89D618}" name="Energy Content Factor (GJ per unit of fuel)" dataDxfId="345">
      <calculatedColumnFormula array="1">Common_InputFunctions.Utility_DisplayArrayInTable(Fuel_SourceData.Fuel_Scope1Scope3EmissionFactorsStationaryLiquid_Data(), Table_Fuel_EFs_StationaryLiquid[[#Headers],[Fuel combusted]],0)</calculatedColumnFormula>
    </tableColumn>
    <tableColumn id="3" xr3:uid="{9A468233-885D-4BD1-8DD8-917D8D1BD1C3}" name="Fuel unit" dataDxfId="344">
      <calculatedColumnFormula array="1">Common_InputFunctions.Utility_DisplayArrayInTable(Fuel_SourceData.Fuel_Scope1Scope3EmissionFactorsStationaryLiquid_Data(), Table_Fuel_EFs_StationaryLiquid[[#Headers],[Fuel combusted]],0)</calculatedColumnFormula>
    </tableColumn>
    <tableColumn id="4" xr3:uid="{B13FAC9C-FF42-4DBA-921A-1D4F8F92568B}" name="Scope 1 Emission Factor (kg CO2 - e / GJ) CO2" dataDxfId="343">
      <calculatedColumnFormula array="1">Common_InputFunctions.Utility_DisplayArrayInTable(Fuel_SourceData.Fuel_Scope1Scope3EmissionFactorsStationaryLiquid_Data(), Table_Fuel_EFs_StationaryLiquid[[#Headers],[Fuel combusted]],0)</calculatedColumnFormula>
    </tableColumn>
    <tableColumn id="5" xr3:uid="{7340AA19-632E-493D-A6AA-BBFC0C5053BD}" name="Scope 1 Emission Factor (kg CO2 - e / GJ) CH4" dataDxfId="342">
      <calculatedColumnFormula array="1">Common_InputFunctions.Utility_DisplayArrayInTable(Fuel_SourceData.Fuel_Scope1Scope3EmissionFactorsStationaryLiquid_Data(), Table_Fuel_EFs_StationaryLiquid[[#Headers],[Fuel combusted]],0)</calculatedColumnFormula>
    </tableColumn>
    <tableColumn id="6" xr3:uid="{2CAC96D8-6E00-4073-A471-4E69598C8708}" name="Scope 1 Emission Factor (kg CO2 - e / GJ) N2O" dataDxfId="341">
      <calculatedColumnFormula array="1">Common_InputFunctions.Utility_DisplayArrayInTable(Fuel_SourceData.Fuel_Scope1Scope3EmissionFactorsStationaryLiquid_Data(), Table_Fuel_EFs_StationaryLiquid[[#Headers],[Fuel combusted]],0)</calculatedColumnFormula>
    </tableColumn>
    <tableColumn id="7" xr3:uid="{32BD46C7-ED6D-432E-A290-D1C5789C1758}" name="Scope 1 Emission Factor (kg CO2 - e / GJ) Combined gases" dataDxfId="340">
      <calculatedColumnFormula array="1">Common_InputFunctions.Utility_DisplayArrayInTable(Fuel_SourceData.Fuel_Scope1Scope3EmissionFactorsStationaryLiquid_Data(), Table_Fuel_EFs_StationaryLiquid[[#Headers],[Fuel combusted]],0)</calculatedColumnFormula>
    </tableColumn>
    <tableColumn id="8" xr3:uid="{28C0CF95-6D1F-4D14-B049-5022722730EC}" name="Scope 3 Emission Factor (kg CO2 - e / GJ)" dataDxfId="339">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057E59B-432B-40E5-B273-4E400A06EE67}" name="Table_Fuel_EFs_Transport" displayName="Table_Fuel_EFs_Transport" ref="D9:L34" totalsRowShown="0" headerRowDxfId="338" dataDxfId="337">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9692F3C-E7CC-4DBA-8ED1-5C5E64C675F9}" name="Transport type" dataDxfId="336">
      <calculatedColumnFormula array="1">Common_InputFunctions.Utility_DisplayArrayInTable(Fuel_SourceData.Fuel_Scope1Scope3EmissionFactorsTransport_Data(), Table_Fuel_EFs_Transport[[#Headers],[Transport type]], 0)</calculatedColumnFormula>
    </tableColumn>
    <tableColumn id="2" xr3:uid="{545A8976-AED3-49BE-B528-5B4A1FAB29F6}" name="Fuel combusted" dataDxfId="335">
      <calculatedColumnFormula array="1">Common_InputFunctions.Utility_DisplayArrayInTable(Fuel_SourceData.Fuel_Scope1Scope3EmissionFactorsTransport_Data(), Table_Fuel_EFs_Transport[[#Headers],[Transport type]], 0)</calculatedColumnFormula>
    </tableColumn>
    <tableColumn id="3" xr3:uid="{AE847FB1-D85D-4A0A-81C3-1A7753F18D4C}" name="Energy Content Factor (GJ per unit of fuel)" dataDxfId="334">
      <calculatedColumnFormula array="1">Common_InputFunctions.Utility_DisplayArrayInTable(Fuel_SourceData.Fuel_Scope1Scope3EmissionFactorsTransport_Data(), Table_Fuel_EFs_Transport[[#Headers],[Transport type]], 0)</calculatedColumnFormula>
    </tableColumn>
    <tableColumn id="4" xr3:uid="{3AE3212F-2FCC-484F-B44F-54CCCAFF28CB}" name="Fuel unit" dataDxfId="333">
      <calculatedColumnFormula array="1">Common_InputFunctions.Utility_DisplayArrayInTable(Fuel_SourceData.Fuel_Scope1Scope3EmissionFactorsTransport_Data(), Table_Fuel_EFs_Transport[[#Headers],[Transport type]], 0)</calculatedColumnFormula>
    </tableColumn>
    <tableColumn id="8" xr3:uid="{6DB1972C-6FC5-4121-A46D-EB426724B57A}" name="Scope 1 Emission Factor (kg CO2 - e / GJ) CO2" dataDxfId="332">
      <calculatedColumnFormula array="1">Common_InputFunctions.Utility_DisplayArrayInTable(Fuel_SourceData.Fuel_Scope1Scope3EmissionFactorsTransport_Data(), Table_Fuel_EFs_Transport[[#Headers],[Transport type]], 0)</calculatedColumnFormula>
    </tableColumn>
    <tableColumn id="9" xr3:uid="{207AD002-1195-4478-AD96-2B04D6275376}" name="Scope 1 Emission Factor (kg CO2 - e / GJ) CH4" dataDxfId="331">
      <calculatedColumnFormula array="1">Common_InputFunctions.Utility_DisplayArrayInTable(Fuel_SourceData.Fuel_Scope1Scope3EmissionFactorsTransport_Data(), Table_Fuel_EFs_Transport[[#Headers],[Transport type]], 0)</calculatedColumnFormula>
    </tableColumn>
    <tableColumn id="10" xr3:uid="{41E46996-082D-4483-A46A-757006B2BCA2}" name="Scope 1 Emission Factor (kg CO2 - e / GJ) N2O" dataDxfId="330">
      <calculatedColumnFormula array="1">Common_InputFunctions.Utility_DisplayArrayInTable(Fuel_SourceData.Fuel_Scope1Scope3EmissionFactorsTransport_Data(), Table_Fuel_EFs_Transport[[#Headers],[Transport type]], 0)</calculatedColumnFormula>
    </tableColumn>
    <tableColumn id="11" xr3:uid="{1B01B717-2BDF-43EB-BCF0-81937186CCB3}" name="Scope 1 Emission Factor (kg CO2 - e / GJ) Combined gases" dataDxfId="329">
      <calculatedColumnFormula array="1">Common_InputFunctions.Utility_DisplayArrayInTable(Fuel_SourceData.Fuel_Scope1Scope3EmissionFactorsTransport_Data(), Table_Fuel_EFs_Transport[[#Headers],[Transport type]], 0)</calculatedColumnFormula>
    </tableColumn>
    <tableColumn id="12" xr3:uid="{A3BC51AB-770F-4DFB-8BC8-1CDDA19CFCFB}" name="Scope 3 Emission Factor (kg CO2 - e / GJ)" dataDxfId="328">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4C2969F-09E0-4636-B219-3171914109F1}" name="Table_FuelTypesPerUse" displayName="Table_FuelTypesPerUse" ref="D130:I139" totalsRowShown="0" headerRowDxfId="327" dataDxfId="326">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D9F727E8-0CAD-4F8F-B910-7CDE43E0AB3C}" name="Generators" dataDxfId="325"/>
    <tableColumn id="2" xr3:uid="{D91E9C03-C725-4BE4-963A-7A3E24BD473B}" name="Power standalone machinery or heating" dataDxfId="324"/>
    <tableColumn id="3" xr3:uid="{CA38398F-3A57-4E76-8DB5-AE3B7BD3954F}" name="Aviation" dataDxfId="323"/>
    <tableColumn id="5" xr3:uid="{039A071A-760F-42CB-B25F-D1F7F2BD5854}" name="Cars and light commercial vehicles" dataDxfId="322"/>
    <tableColumn id="7" xr3:uid="{DB4607DF-B39B-4895-9965-56E6F2D72FA1}" name="Off-road Agriculture and forestry equipment" dataDxfId="321" dataCellStyle="Content bold"/>
    <tableColumn id="8" xr3:uid="{A8D5351B-D1A6-4AE2-936D-75402AD7C3B1}" name="Vessels" dataDxfId="320" dataCellStyle="Content bold"/>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3A9F856-C6ED-4255-B6B3-750B4702681B}" name="Table_Fuel_EFs_StationaryGaseous" displayName="Table_Fuel_EFs_StationaryGaseous" ref="D86:J104" totalsRowShown="0" headerRowDxfId="319" dataDxfId="318">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D4E11F5-E2A6-4D5D-B0EE-8F8F195CCF0D}" name="Fuel combusted" dataDxfId="317">
      <calculatedColumnFormula array="1">Common_InputFunctions.Utility_DisplayArrayInTable(Fuel_SourceData.Fuel_Scope1EmissionFactorsStationaryGaseous_Data(), Table_Fuel_EFs_StationaryGaseous[[#Headers],[Fuel combusted]],0)</calculatedColumnFormula>
    </tableColumn>
    <tableColumn id="2" xr3:uid="{42E16AAD-AC6F-45CE-ACC5-776E59A1B481}" name="Energy Content Factor (GJ per unit of fuel)" dataDxfId="316">
      <calculatedColumnFormula array="1">Common_InputFunctions.Utility_DisplayArrayInTable(Fuel_SourceData.Fuel_Scope1EmissionFactorsStationaryGaseous_Data(), Table_Fuel_EFs_StationaryGaseous[[#Headers],[Fuel combusted]],0)</calculatedColumnFormula>
    </tableColumn>
    <tableColumn id="3" xr3:uid="{3145EDD4-13E6-44E7-AC74-0C8EF3F9F1D1}" name="Fuel unit" dataDxfId="315">
      <calculatedColumnFormula array="1">Common_InputFunctions.Utility_DisplayArrayInTable(Fuel_SourceData.Fuel_Scope1EmissionFactorsStationaryGaseous_Data(), Table_Fuel_EFs_StationaryGaseous[[#Headers],[Fuel combusted]],0)</calculatedColumnFormula>
    </tableColumn>
    <tableColumn id="4" xr3:uid="{A05D6DBA-7B31-4B8B-B20E-DF3231A37DD2}" name="Scope 1 Emission Factor (kg CO2 - e / GJ) CO2" dataDxfId="314">
      <calculatedColumnFormula array="1">Common_InputFunctions.Utility_DisplayArrayInTable(Fuel_SourceData.Fuel_Scope1EmissionFactorsStationaryGaseous_Data(), Table_Fuel_EFs_StationaryGaseous[[#Headers],[Fuel combusted]],0)</calculatedColumnFormula>
    </tableColumn>
    <tableColumn id="5" xr3:uid="{2ADC8B43-4A3B-40B7-B313-8932744145A7}" name="Scope 1 Emission Factor (kg CO2 - e / GJ) CH4" dataDxfId="313">
      <calculatedColumnFormula array="1">Common_InputFunctions.Utility_DisplayArrayInTable(Fuel_SourceData.Fuel_Scope1EmissionFactorsStationaryGaseous_Data(), Table_Fuel_EFs_StationaryGaseous[[#Headers],[Fuel combusted]],0)</calculatedColumnFormula>
    </tableColumn>
    <tableColumn id="6" xr3:uid="{3D4FB49C-82D2-4B99-A0BC-70EA58A80156}" name="Scope 1 Emission Factor (kg CO2 - e / GJ) N2O" dataDxfId="312">
      <calculatedColumnFormula array="1">Common_InputFunctions.Utility_DisplayArrayInTable(Fuel_SourceData.Fuel_Scope1EmissionFactorsStationaryGaseous_Data(), Table_Fuel_EFs_StationaryGaseous[[#Headers],[Fuel combusted]],0)</calculatedColumnFormula>
    </tableColumn>
    <tableColumn id="7" xr3:uid="{3E8F57D0-C481-4767-8DCA-D1EDCAE56456}" name="Scope 1 Emission Factor (kg CO2 - e / GJ) Combined gases" dataDxfId="311">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65678DE-8165-49D3-B279-B6536F290B67}" name="Table_Fuel_EFs_StationaryGaseous34" displayName="Table_Fuel_EFs_StationaryGaseous34" ref="D112:F120" headerRowDxfId="310" totalsRowDxfId="309">
  <autoFilter ref="D112:F120" xr:uid="{7D6CE29D-2354-4FAC-9965-9A66FFA42416}">
    <filterColumn colId="0" hiddenButton="1"/>
    <filterColumn colId="1" hiddenButton="1"/>
    <filterColumn colId="2" hiddenButton="1"/>
  </autoFilter>
  <tableColumns count="3">
    <tableColumn id="1" xr3:uid="{157DB086-BB65-4DD5-8C83-120D4C7885C0}" name="State or territory" totalsRowDxfId="308">
      <calculatedColumnFormula array="1">Common_InputFunctions.Utility_DisplayArrayInTable(Fuel_SourceData.Fuel_Scope3EmissionFactorsStationaryGaseous_Data(), Table_Fuel_EFs_StationaryGaseous34[[#Headers],[State or territory]],0)</calculatedColumnFormula>
    </tableColumn>
    <tableColumn id="2" xr3:uid="{A5B2AC63-4666-41F1-B566-7521E7FB5EDC}" name="Metro" totalsRowDxfId="307">
      <calculatedColumnFormula array="1">Common_InputFunctions.Utility_DisplayArrayInTable(Fuel_SourceData.Fuel_Scope3EmissionFactorsStationaryGaseous_Data(), Table_Fuel_EFs_StationaryGaseous34[[#Headers],[State or territory]],0)</calculatedColumnFormula>
    </tableColumn>
    <tableColumn id="3" xr3:uid="{D5492655-B130-4999-814E-8082D750DC05}" name="Non-metro" totalsRowDxfId="306">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19BD170-44A1-47B0-8CA1-D49010E551BB}"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D7C49695-9417-407C-B1AF-C19904BDA821}" name="Fuel type"/>
    <tableColumn id="2" xr3:uid="{B498083E-76FB-42F5-9A06-E078D7F004AD}" name="Unit"/>
    <tableColumn id="3" xr3:uid="{FB640ECF-8885-4DC8-9B00-653C3F5CCDC6}" name="Input Unit" dataDxfId="305"/>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121FE2A7-80C6-4679-BB8E-5D1F001788B8}"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ED96139-9D83-4A76-A453-C046005426AE}"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476CF600-3CF8-4372-94D4-D9AA13DA55ED}" name="Fuel type q" dataDxfId="30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C9B3FA40-40D4-4EE2-81A9-73FE84863D7B}" name="ECTrans,q (GJ/kL)" dataDxfId="30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2361E348-96CE-4F61-B43A-585DF8D0A3D6}" name="Scope 1 CO2 EFTran,1,tqg (kg CO2-e/GJ)" dataDxfId="30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3F5F6CA5-7C64-4E9B-BE52-C9064887FE3F}" name="Scope 1 CH4 EFTran,1,tgg (kg CO2-e/GJ)" dataDxfId="30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7957480E-353E-4032-AD53-FC41F73C8CF2}" name="Scope 1 N2O EFTran,1,tgg (kg CO2-e/GJ)" dataDxfId="30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24EC5125-1BE2-4A00-91B8-3AFFED570125}" name="Scope 3 EFTrans,3,q (kg CO2-e/GJ)" dataDxfId="29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B10D6960-5581-48CB-8450-B5D6090D812B}"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90EC95-4FA3-4F94-B59B-45A1E7B35FF5}" name="Category" dataDxfId="298" dataCellStyle="Content normal">
      <calculatedColumnFormula array="1">Common_InputFunctions.Utility_DisplayArrayInTable(Scope3_SourceData.Scope3_Livestock_Data(), Table_SourceData_Scope3_Animals[[#Headers],[Category]], 0, 2)</calculatedColumnFormula>
    </tableColumn>
    <tableColumn id="2" xr3:uid="{768DE4FC-9F41-4A9D-B54E-25A4F0F92E87}" name="Product" dataDxfId="297" dataCellStyle="Content normal">
      <calculatedColumnFormula array="1">Common_InputFunctions.Utility_DisplayArrayInTable(Scope3_SourceData.Scope3_Livestock_Data(), Table_SourceData_Scope3_Animals[[#Headers],[Category]], 0, 2)</calculatedColumnFormula>
    </tableColumn>
    <tableColumn id="3" xr3:uid="{399F1D50-E502-4C5D-8F11-D617E43974B0}" name="Region of origin" dataDxfId="296" dataCellStyle="Content normal">
      <calculatedColumnFormula array="1">Common_InputFunctions.Utility_DisplayArrayInTable(Scope3_SourceData.Scope3_Livestock_Data(), Table_SourceData_Scope3_Animals[[#Headers],[Category]], 0, 2)</calculatedColumnFormula>
    </tableColumn>
    <tableColumn id="8" xr3:uid="{7B6C5B5F-53D1-4757-B063-D163C034B509}" name="Quantity Unit" dataDxfId="295" dataCellStyle="Content normal">
      <calculatedColumnFormula array="1">Common_InputFunctions.Utility_DisplayArrayInTable(Scope3_SourceData.Scope3_Livestock_Data(), Table_SourceData_Scope3_Animals[[#Headers],[Category]], 0, 2)</calculatedColumnFormula>
    </tableColumn>
    <tableColumn id="9" xr3:uid="{21907646-5086-4846-8004-D6967ED2F5D1}" name="Emissions intensity" dataDxfId="294" dataCellStyle="Content normal">
      <calculatedColumnFormula array="1">Common_InputFunctions.Utility_DisplayArrayInTable(Scope3_SourceData.Scope3_Livestock_Data(), Table_SourceData_Scope3_Animals[[#Headers],[Category]], 0, 2)</calculatedColumnFormula>
    </tableColumn>
    <tableColumn id="10" xr3:uid="{08B16CAC-EDA3-40D7-8D78-4B5715A4E89B}" name="System boundary" dataDxfId="293" dataCellStyle="Content normal">
      <calculatedColumnFormula array="1">Common_InputFunctions.Utility_DisplayArrayInTable(Scope3_SourceData.Scope3_Livestock_Data(), Table_SourceData_Scope3_Animals[[#Headers],[Category]], 0, 2)</calculatedColumnFormula>
    </tableColumn>
    <tableColumn id="4" xr3:uid="{9FB3CC5B-ADE3-4068-A576-F43F90E0DACD}" name="Source" dataDxfId="292" dataCellStyle="Content normal"/>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C7EA298C-878B-4EBF-A521-1CEAF24429F7}"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5683691-5310-4D58-BF8C-AF963312C78D}" name="Category" dataDxfId="291" dataCellStyle="Content normal">
      <calculatedColumnFormula array="1">Common_InputFunctions.Utility_DisplayArrayInTable(Scope3_SourceData.Scope3_Chemicals_Data(), Table_SourceData_Scope3_ChemicalsCleaning[[#Headers],[Category]], 0, 2)</calculatedColumnFormula>
    </tableColumn>
    <tableColumn id="2" xr3:uid="{4BFEF4A1-717C-4152-87E0-602116C299D2}" name="Product" dataDxfId="290" dataCellStyle="Content normal">
      <calculatedColumnFormula array="1">Common_InputFunctions.Utility_DisplayArrayInTable(Scope3_SourceData.Scope3_Chemicals_Data(), Table_SourceData_Scope3_ChemicalsCleaning[[#Headers],[Category]], 0, 2)</calculatedColumnFormula>
    </tableColumn>
    <tableColumn id="3" xr3:uid="{053B153E-3C9A-4264-8BD9-12A20558DF84}" name="Region of origin" dataDxfId="289" dataCellStyle="Content normal">
      <calculatedColumnFormula array="1">Common_InputFunctions.Utility_DisplayArrayInTable(Scope3_SourceData.Scope3_Chemicals_Data(), Table_SourceData_Scope3_ChemicalsCleaning[[#Headers],[Category]], 0, 2)</calculatedColumnFormula>
    </tableColumn>
    <tableColumn id="8" xr3:uid="{B58D6BBD-F6B9-49F6-BCE8-A6689C9CE139}" name="Quantity Unit" dataDxfId="288" dataCellStyle="Content normal">
      <calculatedColumnFormula array="1">Common_InputFunctions.Utility_DisplayArrayInTable(Scope3_SourceData.Scope3_Chemicals_Data(), Table_SourceData_Scope3_ChemicalsCleaning[[#Headers],[Category]], 0, 2)</calculatedColumnFormula>
    </tableColumn>
    <tableColumn id="9" xr3:uid="{1E815ECC-9D69-42FA-8919-5308443B0AA5}" name="Emissions intensity" dataDxfId="287" dataCellStyle="Content normal">
      <calculatedColumnFormula array="1">Common_InputFunctions.Utility_DisplayArrayInTable(Scope3_SourceData.Scope3_Chemicals_Data(), Table_SourceData_Scope3_ChemicalsCleaning[[#Headers],[Category]], 0, 2)</calculatedColumnFormula>
    </tableColumn>
    <tableColumn id="10" xr3:uid="{D995A811-DBF9-46C2-99C4-BC7CE6D23585}" name="System boundary" dataDxfId="286" dataCellStyle="Content normal">
      <calculatedColumnFormula array="1">Common_InputFunctions.Utility_DisplayArrayInTable(Scope3_SourceData.Scope3_Chemicals_Data(), Table_SourceData_Scope3_ChemicalsCleaning[[#Headers],[Category]], 0, 2)</calculatedColumnFormula>
    </tableColumn>
    <tableColumn id="4" xr3:uid="{66493A9A-1F82-48C0-8683-EEE5E5301AB0}" name="Source" dataDxfId="285" dataCellStyle="Content normal"/>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3D053B37-93A3-4041-B8F3-FF726C99CE8F}" name="Table_SourceData_Scope3_Feed" displayName="Table_SourceData_Scope3_Feed" ref="D89:J158" dataDxfId="284"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81715BF-05C3-4468-AB11-0FA087B22C57}" name="Category" totalsRowFunction="custom" dataDxfId="283" totalsRowDxfId="28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58AE22C1-F176-41D6-99DF-AEC21B08E5B7}" name="Product" totalsRowFunction="custom" dataDxfId="281" totalsRowDxfId="280"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478848AA-8D4B-475D-A6B3-21BC2239F50F}" name="Region of origin" totalsRowFunction="custom" dataDxfId="279" totalsRowDxfId="278"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742E1778-5D43-4124-8C33-6D13AEAD0115}" name="Quantity Unit" totalsRowFunction="custom" dataDxfId="277" totalsRowDxfId="276"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5764C1EB-5CE8-42C7-813D-94DAFEBB3734}" name="Emissions intensity" totalsRowFunction="custom" dataDxfId="275" totalsRowDxfId="274"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7EF8A987-ECF0-457E-894B-C65FC7ADABC6}" name="System boundary" totalsRowFunction="custom" dataDxfId="273" totalsRowDxfId="272"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19782AAF-A440-4AE8-8EA3-7E6CEA9940B4}" name="Source" totalsRowLabel="GHGEI-MIAFF" dataDxfId="271" totalsRowDxfId="270" dataCellStyle="Content normal"/>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DE7D12FC-6CC8-4A09-B481-03DB247B250E}"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FF4C49B-9089-45AF-9B8C-D744827B95BD}" name="Category">
      <calculatedColumnFormula array="1">Common_InputFunctions.Utility_DisplayArrayInTable(Scope3_SourceData.Scope3_InorganicFertilisers_Data(), Table_SourceData_Scope3_InorganicFertiliser[[#Headers],[Category]], 0, 2)</calculatedColumnFormula>
    </tableColumn>
    <tableColumn id="2" xr3:uid="{836A92BC-E258-4707-A6E5-05F825CB2E26}" name="Product">
      <calculatedColumnFormula array="1">Common_InputFunctions.Utility_DisplayArrayInTable(Scope3_SourceData.Scope3_InorganicFertilisers_Data(), Table_SourceData_Scope3_InorganicFertiliser[[#Headers],[Category]], 0, 2)</calculatedColumnFormula>
    </tableColumn>
    <tableColumn id="3" xr3:uid="{B9C435BC-7D33-484E-9A60-CE7124CA6FCB}" name="Region of origin">
      <calculatedColumnFormula array="1">Common_InputFunctions.Utility_DisplayArrayInTable(Scope3_SourceData.Scope3_InorganicFertilisers_Data(), Table_SourceData_Scope3_InorganicFertiliser[[#Headers],[Category]], 0, 2)</calculatedColumnFormula>
    </tableColumn>
    <tableColumn id="4" xr3:uid="{158DBF16-FE34-44D7-9E9F-934DBF3F7377}" name="Chemical compound"/>
    <tableColumn id="5" xr3:uid="{6FB5399A-A607-4ECF-897C-CE9B9E8343AD}" name="Urea source"/>
    <tableColumn id="6" xr3:uid="{80AA704C-99C4-405C-A169-25228CAF6758}" name="Ammonia source"/>
    <tableColumn id="7" xr3:uid="{9B0E1386-9730-4450-B074-38F3A74663A0}" name="Quantity"/>
    <tableColumn id="8" xr3:uid="{90B86EAC-7FB5-40E0-96B5-7EE96EDB4C9F}" name="Quantity Unit">
      <calculatedColumnFormula array="1">Common_InputFunctions.Utility_DisplayArrayInTable(Scope3_SourceData.Scope3_InorganicFertilisers_Data(), Table_SourceData_Scope3_InorganicFertiliser[[#Headers],[Category]], 0, -2)</calculatedColumnFormula>
    </tableColumn>
    <tableColumn id="9" xr3:uid="{B6A69359-DBF7-442F-899D-8D6EB84BC695}" name="Emissions intensity">
      <calculatedColumnFormula array="1">Common_InputFunctions.Utility_DisplayArrayInTable(Scope3_SourceData.Scope3_InorganicFertilisers_Data(), Table_SourceData_Scope3_InorganicFertiliser[[#Headers],[Category]], 0, -2)</calculatedColumnFormula>
    </tableColumn>
    <tableColumn id="10" xr3:uid="{64987845-2EE9-40F0-BCF8-9E605EC67502}" name="System boundary" dataDxfId="269" dataCellStyle="Content normal">
      <calculatedColumnFormula array="1">Common_InputFunctions.Utility_DisplayArrayInTable(Scope3_SourceData.Scope3_InorganicFertilisers_Data(), Table_SourceData_Scope3_InorganicFertiliser[[#Headers],[Category]], 0, -2)</calculatedColumnFormula>
    </tableColumn>
    <tableColumn id="11" xr3:uid="{CFD59FC9-A1BD-4B60-96A3-CFC56115740A}" name="Source" dataDxfId="268" dataCellStyle="Content normal"/>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8CCF9C39-BA75-451A-A4C5-A6462692311B}" name="Table_SourceData_Scope3_Other" displayName="Table_SourceData_Scope3_Other" ref="D201:J209" totalsRowShown="0" dataDxfId="267"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0B6DDF6-3D2F-4D65-91BD-13A480C8FB09}" name="Category" dataDxfId="266" dataCellStyle="Content normal">
      <calculatedColumnFormula array="1">Common_InputFunctions.Utility_DisplayArrayInTable(Scope3_SourceData.Scope3_Other_Data(), Table_SourceData_Scope3_Other[[#Headers],[Category]], 0, 2)</calculatedColumnFormula>
    </tableColumn>
    <tableColumn id="2" xr3:uid="{C3D9DEA7-CE98-4FE7-9DC1-166B7D4AEBA9}" name="Product" dataDxfId="265" dataCellStyle="Content normal">
      <calculatedColumnFormula array="1">Common_InputFunctions.Utility_DisplayArrayInTable(Scope3_SourceData.Scope3_Other_Data(), Table_SourceData_Scope3_Other[[#Headers],[Category]], 0, 2)</calculatedColumnFormula>
    </tableColumn>
    <tableColumn id="3" xr3:uid="{46ECEF01-E494-454D-B638-1A4EFF69C0BD}" name="Region of origin" dataDxfId="264" dataCellStyle="Content normal">
      <calculatedColumnFormula array="1">Common_InputFunctions.Utility_DisplayArrayInTable(Scope3_SourceData.Scope3_Other_Data(), Table_SourceData_Scope3_Other[[#Headers],[Category]], 0, 2)</calculatedColumnFormula>
    </tableColumn>
    <tableColumn id="8" xr3:uid="{B82ABBBF-E480-49B0-99C8-20E54C0AB853}" name="Quantity Unit" dataDxfId="263" dataCellStyle="Content normal">
      <calculatedColumnFormula array="1">Common_InputFunctions.Utility_DisplayArrayInTable(Scope3_SourceData.Scope3_Other_Data(), Table_SourceData_Scope3_Other[[#Headers],[Category]], 0, 2)</calculatedColumnFormula>
    </tableColumn>
    <tableColumn id="9" xr3:uid="{B76228D6-0711-46A6-A776-5499F50B10CD}" name="Emissions intensity" dataDxfId="262" dataCellStyle="Content normal">
      <calculatedColumnFormula array="1">Common_InputFunctions.Utility_DisplayArrayInTable(Scope3_SourceData.Scope3_Other_Data(), Table_SourceData_Scope3_Other[[#Headers],[Category]], 0, 2)</calculatedColumnFormula>
    </tableColumn>
    <tableColumn id="10" xr3:uid="{19CBF392-D8C3-4EA7-A50B-A47888D068BE}" name="System boundary" dataDxfId="261" dataCellStyle="Content normal">
      <calculatedColumnFormula array="1">Common_InputFunctions.Utility_DisplayArrayInTable(Scope3_SourceData.Scope3_Other_Data(), Table_SourceData_Scope3_Other[[#Headers],[Category]], 0, 2)</calculatedColumnFormula>
    </tableColumn>
    <tableColumn id="4" xr3:uid="{8DC930CE-EB07-4E11-8116-FF15D577F6A5}" name="Source" dataDxfId="260" dataCellStyle="Content normal"/>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702BCEEE-34AF-4424-9AFA-ED615E404F06}" name="Table_SourceData_Scope3_Packaging" displayName="Table_SourceData_Scope3_Packaging" ref="D212:J216" totalsRowShown="0" dataDxfId="259"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80539E2-23C5-4D2F-B6E8-A0746F1208E0}" name="Category" dataDxfId="258" dataCellStyle="Content normal">
      <calculatedColumnFormula array="1">Common_InputFunctions.Utility_DisplayArrayInTable(Scope3_SourceData.Scope3_Packaging_Data(), Table_SourceData_Scope3_Packaging[[#Headers],[Category]], 0, 2)</calculatedColumnFormula>
    </tableColumn>
    <tableColumn id="2" xr3:uid="{48D8F40E-152A-4741-8A9F-A424F703F866}" name="Product" dataDxfId="257" dataCellStyle="Content normal">
      <calculatedColumnFormula array="1">Common_InputFunctions.Utility_DisplayArrayInTable(Scope3_SourceData.Scope3_Packaging_Data(), Table_SourceData_Scope3_Packaging[[#Headers],[Category]], 0, 2)</calculatedColumnFormula>
    </tableColumn>
    <tableColumn id="3" xr3:uid="{22219828-FC2F-45F2-96A2-93F375F36456}" name="Region of origin" dataDxfId="256" dataCellStyle="Content normal">
      <calculatedColumnFormula array="1">Common_InputFunctions.Utility_DisplayArrayInTable(Scope3_SourceData.Scope3_Packaging_Data(), Table_SourceData_Scope3_Packaging[[#Headers],[Category]], 0, 2)</calculatedColumnFormula>
    </tableColumn>
    <tableColumn id="8" xr3:uid="{671649A7-A4CC-4874-BA00-DBE63D82761C}" name="Quantity Unit" dataDxfId="255" dataCellStyle="Content normal">
      <calculatedColumnFormula array="1">Common_InputFunctions.Utility_DisplayArrayInTable(Scope3_SourceData.Scope3_Packaging_Data(), Table_SourceData_Scope3_Packaging[[#Headers],[Category]], 0, 2)</calculatedColumnFormula>
    </tableColumn>
    <tableColumn id="9" xr3:uid="{1174B40E-A3EA-473E-BA7B-6861CB60E4E1}" name="Emissions intensity" dataDxfId="254" dataCellStyle="Content normal">
      <calculatedColumnFormula array="1">Common_InputFunctions.Utility_DisplayArrayInTable(Scope3_SourceData.Scope3_Packaging_Data(), Table_SourceData_Scope3_Packaging[[#Headers],[Category]], 0, 2)</calculatedColumnFormula>
    </tableColumn>
    <tableColumn id="10" xr3:uid="{54B9F79C-6900-40C5-BE74-46ED2657A161}" name="System boundary" dataDxfId="253" dataCellStyle="Content normal">
      <calculatedColumnFormula array="1">Common_InputFunctions.Utility_DisplayArrayInTable(Scope3_SourceData.Scope3_Packaging_Data(), Table_SourceData_Scope3_Packaging[[#Headers],[Category]], 0, 2)</calculatedColumnFormula>
    </tableColumn>
    <tableColumn id="4" xr3:uid="{61C09C8C-51BF-4F2D-8FD2-D0327DE271DA}" name="Source" dataDxfId="252" dataCellStyle="Content normal"/>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F9DFEB4-C95F-425F-8575-165A56519D46}" name="Table_SourceData_Scope3_Pesticides" displayName="Table_SourceData_Scope3_Pesticides" ref="D219:J231" totalsRowShown="0" dataDxfId="251"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AF087B-866E-4830-91D1-FC9575A06816}" name="Category" dataDxfId="250" dataCellStyle="Content normal">
      <calculatedColumnFormula array="1">Common_InputFunctions.Utility_DisplayArrayInTable(Scope3_SourceData.Scope3_Pesticides_Data(), Table_SourceData_Scope3_Pesticides[[#Headers],[Category]], 0, 2)</calculatedColumnFormula>
    </tableColumn>
    <tableColumn id="2" xr3:uid="{370C323D-9565-4265-9E86-1CE6E10970C4}" name="Product" dataDxfId="249" dataCellStyle="Content normal">
      <calculatedColumnFormula array="1">Common_InputFunctions.Utility_DisplayArrayInTable(Scope3_SourceData.Scope3_Pesticides_Data(), Table_SourceData_Scope3_Pesticides[[#Headers],[Category]], 0, 2)</calculatedColumnFormula>
    </tableColumn>
    <tableColumn id="3" xr3:uid="{1E44DCDC-89D5-440B-BF7A-D46BDA3BCDB9}" name="Region of origin" dataDxfId="248" dataCellStyle="Content normal">
      <calculatedColumnFormula array="1">Common_InputFunctions.Utility_DisplayArrayInTable(Scope3_SourceData.Scope3_Pesticides_Data(), Table_SourceData_Scope3_Pesticides[[#Headers],[Category]], 0, 2)</calculatedColumnFormula>
    </tableColumn>
    <tableColumn id="8" xr3:uid="{984F90B8-7A5F-4F4D-B750-899F902ACD4E}" name="Quantity Unit" dataDxfId="247" dataCellStyle="Content normal">
      <calculatedColumnFormula array="1">Common_InputFunctions.Utility_DisplayArrayInTable(Scope3_SourceData.Scope3_Pesticides_Data(), Table_SourceData_Scope3_Pesticides[[#Headers],[Category]], 0, 2)</calculatedColumnFormula>
    </tableColumn>
    <tableColumn id="9" xr3:uid="{3959FA5B-8A61-4FF7-AA15-4F48F0CF8D18}" name="Emissions intensity" dataDxfId="246" dataCellStyle="Content normal">
      <calculatedColumnFormula array="1">Common_InputFunctions.Utility_DisplayArrayInTable(Scope3_SourceData.Scope3_Pesticides_Data(), Table_SourceData_Scope3_Pesticides[[#Headers],[Category]], 0, 2)</calculatedColumnFormula>
    </tableColumn>
    <tableColumn id="10" xr3:uid="{9281AFDA-C075-41A9-ADB7-EFB0D117C790}" name="System boundary" dataDxfId="245" dataCellStyle="Content normal">
      <calculatedColumnFormula array="1">Common_InputFunctions.Utility_DisplayArrayInTable(Scope3_SourceData.Scope3_Pesticides_Data(), Table_SourceData_Scope3_Pesticides[[#Headers],[Category]], 0, 2)</calculatedColumnFormula>
    </tableColumn>
    <tableColumn id="4" xr3:uid="{6C249F6E-F0C9-49E0-9FB8-FE2BC9BEA2FA}" name="Source" dataDxfId="244" dataCellStyle="Content normal"/>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D8693728-6FDE-4CA5-8C72-8FC02D8C5472}" name="Table_SourceData_Scope3_SoilAmeliorants" displayName="Table_SourceData_Scope3_SoilAmeliorants" ref="D234:J237" totalsRowShown="0" dataDxfId="243"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AB2BDE4-1BC2-4DBE-B873-94DCE8A8D1BB}" name="Category" dataDxfId="242" dataCellStyle="Content normal">
      <calculatedColumnFormula array="1">Common_InputFunctions.Utility_DisplayArrayInTable(Scope3_SourceData.Scope3_SoilAmendments_Data(), Table_SourceData_Scope3_SoilAmeliorants[[#Headers],[Category]], 0, 2)</calculatedColumnFormula>
    </tableColumn>
    <tableColumn id="2" xr3:uid="{F50D437F-69F6-4CD8-84AB-8640D37C2CFC}" name="Product" dataDxfId="241" dataCellStyle="Content normal">
      <calculatedColumnFormula array="1">Common_InputFunctions.Utility_DisplayArrayInTable(Scope3_SourceData.Scope3_SoilAmendments_Data(), Table_SourceData_Scope3_SoilAmeliorants[[#Headers],[Category]], 0, 2)</calculatedColumnFormula>
    </tableColumn>
    <tableColumn id="3" xr3:uid="{D40E2A6E-CFF3-4B60-8A40-A548FDAFEF24}" name="Region of origin" dataDxfId="240" dataCellStyle="Content normal">
      <calculatedColumnFormula array="1">Common_InputFunctions.Utility_DisplayArrayInTable(Scope3_SourceData.Scope3_SoilAmendments_Data(), Table_SourceData_Scope3_SoilAmeliorants[[#Headers],[Category]], 0, 2)</calculatedColumnFormula>
    </tableColumn>
    <tableColumn id="8" xr3:uid="{E6E488A4-9465-4682-96DA-C6196EACE5DA}" name="Quantity Unit" dataDxfId="239" dataCellStyle="Content normal">
      <calculatedColumnFormula array="1">Common_InputFunctions.Utility_DisplayArrayInTable(Scope3_SourceData.Scope3_SoilAmendments_Data(), Table_SourceData_Scope3_SoilAmeliorants[[#Headers],[Category]], 0, 2)</calculatedColumnFormula>
    </tableColumn>
    <tableColumn id="9" xr3:uid="{C00987C9-F2A9-43DA-81E6-8A991D53315D}" name="Emissions intensity" dataDxfId="238" dataCellStyle="Content normal">
      <calculatedColumnFormula array="1">Common_InputFunctions.Utility_DisplayArrayInTable(Scope3_SourceData.Scope3_SoilAmendments_Data(), Table_SourceData_Scope3_SoilAmeliorants[[#Headers],[Category]], 0, 2)</calculatedColumnFormula>
    </tableColumn>
    <tableColumn id="10" xr3:uid="{1D7B2B0F-B561-4FE5-AD94-DED327206F3E}" name="System boundary" dataDxfId="237" dataCellStyle="Content normal">
      <calculatedColumnFormula array="1">Common_InputFunctions.Utility_DisplayArrayInTable(Scope3_SourceData.Scope3_SoilAmendments_Data(), Table_SourceData_Scope3_SoilAmeliorants[[#Headers],[Category]], 0, 2)</calculatedColumnFormula>
    </tableColumn>
    <tableColumn id="4" xr3:uid="{769A5116-A134-44F5-958B-8E7FFD6018AD}" name="Source" dataDxfId="236" dataCellStyle="Content normal"/>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9A9C37FA-12A3-492B-A5DA-26D422F5F6C7}" name="Table_SourceData_Scope3_ChemicalsPharmacy" displayName="Table_SourceData_Scope3_ChemicalsPharmacy" ref="D82:J86" totalsRowShown="0" dataDxfId="235"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DB07FD6-7696-44F4-A5FA-9A58D3DA012E}" name="Category" dataDxfId="234" dataCellStyle="Content normal">
      <calculatedColumnFormula array="1">Common_InputFunctions.Utility_DisplayArrayInTable(Scope3_SourceData.Scope3_Chemicals_Data(), Table_SourceData_Scope3_ChemicalsPharmacy[[#Headers],[Category]], -3, 2)</calculatedColumnFormula>
    </tableColumn>
    <tableColumn id="2" xr3:uid="{2DDEA06E-0F7A-4E39-AB7E-37A535D45B36}" name="Product" dataDxfId="233" dataCellStyle="Content normal">
      <calculatedColumnFormula array="1">Common_InputFunctions.Utility_DisplayArrayInTable(Scope3_SourceData.Scope3_Chemicals_Data(), Table_SourceData_Scope3_ChemicalsPharmacy[[#Headers],[Category]], -3, 2)</calculatedColumnFormula>
    </tableColumn>
    <tableColumn id="3" xr3:uid="{F149E632-B5D8-4C4C-B6EA-33B816ACFBBE}" name="Region of origin" dataDxfId="232" dataCellStyle="Content normal">
      <calculatedColumnFormula array="1">Common_InputFunctions.Utility_DisplayArrayInTable(Scope3_SourceData.Scope3_Chemicals_Data(), Table_SourceData_Scope3_ChemicalsPharmacy[[#Headers],[Category]], -3, 2)</calculatedColumnFormula>
    </tableColumn>
    <tableColumn id="8" xr3:uid="{2CD443F9-E92F-41F9-9598-A2CF817CEC87}" name="Quantity Unit" dataDxfId="231" dataCellStyle="Content normal">
      <calculatedColumnFormula array="1">Common_InputFunctions.Utility_DisplayArrayInTable(Scope3_SourceData.Scope3_Chemicals_Data(), Table_SourceData_Scope3_ChemicalsPharmacy[[#Headers],[Category]], -3, 2)</calculatedColumnFormula>
    </tableColumn>
    <tableColumn id="9" xr3:uid="{245067C8-3AE8-4127-A57E-AD2088899C16}" name="Emissions intensity" dataDxfId="230" dataCellStyle="Content normal">
      <calculatedColumnFormula array="1">Common_InputFunctions.Utility_DisplayArrayInTable(Scope3_SourceData.Scope3_Chemicals_Data(), Table_SourceData_Scope3_ChemicalsPharmacy[[#Headers],[Category]], -3, 2)</calculatedColumnFormula>
    </tableColumn>
    <tableColumn id="10" xr3:uid="{2EB6E970-54A0-4A6E-B467-58664253D8B1}" name="System boundary" dataDxfId="229" dataCellStyle="Content normal">
      <calculatedColumnFormula array="1">Common_InputFunctions.Utility_DisplayArrayInTable(Scope3_SourceData.Scope3_Chemicals_Data(), Table_SourceData_Scope3_ChemicalsPharmacy[[#Headers],[Category]], -3, 2)</calculatedColumnFormula>
    </tableColumn>
    <tableColumn id="4" xr3:uid="{43AD7D9D-A3FE-4124-B11E-BC73A5C230D2}" name="Source" dataDxfId="228" dataCellStyle="Content normal"/>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C788561C-CEC3-440F-B328-D6318BD65E06}" name="Table_SourceData_Scope3_LickBlocks" displayName="Table_SourceData_Scope3_LickBlocks" ref="D167:J170" totalsRowShown="0" headerRowDxfId="227"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2B856A7-EC27-46B2-8D9F-C3D5824C1663}" name="Category" dataDxfId="226" dataCellStyle="Content normal">
      <calculatedColumnFormula array="1">Common_InputFunctions.Utility_DisplayArrayInTable(Scope3_SourceData.Scope3_Feed_Data(), Table_SourceData_Scope3_LickBlocks[[#Headers],[Category]], -73, 2)</calculatedColumnFormula>
    </tableColumn>
    <tableColumn id="2" xr3:uid="{1DC90F1A-FC27-4199-8C13-AE486B0195FF}" name="Product" dataDxfId="225" dataCellStyle="Content normal">
      <calculatedColumnFormula array="1">Common_InputFunctions.Utility_DisplayArrayInTable(Scope3_SourceData.Scope3_Feed_Data(), Table_SourceData_Scope3_LickBlocks[[#Headers],[Category]], -73, 2)</calculatedColumnFormula>
    </tableColumn>
    <tableColumn id="3" xr3:uid="{6522F900-BFB1-4DD5-B9F7-039098C1CFAD}" name="Region of origin" dataDxfId="224" dataCellStyle="Content normal">
      <calculatedColumnFormula array="1">Common_InputFunctions.Utility_DisplayArrayInTable(Scope3_SourceData.Scope3_Feed_Data(), Table_SourceData_Scope3_LickBlocks[[#Headers],[Category]], -73, 2)</calculatedColumnFormula>
    </tableColumn>
    <tableColumn id="4" xr3:uid="{DB7F7D3F-76C6-49E9-8E95-B663AA6C545B}" name="Quantity Unit" dataDxfId="223" dataCellStyle="Content normal">
      <calculatedColumnFormula array="1">Common_InputFunctions.Utility_DisplayArrayInTable(Scope3_SourceData.Scope3_Feed_Data(), Table_SourceData_Scope3_LickBlocks[[#Headers],[Category]], -73, 2)</calculatedColumnFormula>
    </tableColumn>
    <tableColumn id="5" xr3:uid="{B3FA515E-6091-481D-89FF-627C92FA0C73}" name="Emissions intensity" dataDxfId="222" dataCellStyle="Content normal">
      <calculatedColumnFormula array="1">Common_InputFunctions.Utility_DisplayArrayInTable(Scope3_SourceData.Scope3_Feed_Data(), Table_SourceData_Scope3_LickBlocks[[#Headers],[Category]], -73, 2)</calculatedColumnFormula>
    </tableColumn>
    <tableColumn id="6" xr3:uid="{8477F846-7892-4A5F-8A4D-DCFB49D13FB6}" name="System boundary" dataDxfId="221" dataCellStyle="Content normal">
      <calculatedColumnFormula array="1">Common_InputFunctions.Utility_DisplayArrayInTable(Scope3_SourceData.Scope3_Feed_Data(), Table_SourceData_Scope3_LickBlocks[[#Headers],[Category]], -73, 2)</calculatedColumnFormula>
    </tableColumn>
    <tableColumn id="7" xr3:uid="{A2E63619-6460-4C4F-B74C-E45A8A8BF644}" name="Source" dataDxfId="220" dataCellStyle="Content normal"/>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27892511-ED59-4813-8AF7-81B3F60883E2}" name="Table_SourceData_Scope3_MixedRations" displayName="Table_SourceData_Scope3_MixedRations" ref="D161:J165" totalsRowShown="0" headerRowDxfId="219"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E75880A-289C-40E8-88F4-60B878C29ED3}" name="Category" dataDxfId="218" dataCellStyle="Content normal">
      <calculatedColumnFormula array="1">Common_InputFunctions.Utility_DisplayArrayInTable(Scope3_SourceData.Scope3_Feed_Data(), Table_SourceData_Scope3_MixedRations[[#Headers],[Category]], -66, 2)</calculatedColumnFormula>
    </tableColumn>
    <tableColumn id="2" xr3:uid="{9D3BEC7F-EA9D-4330-B696-A49022B470AE}" name="Product" dataDxfId="217" dataCellStyle="Content normal">
      <calculatedColumnFormula array="1">Common_InputFunctions.Utility_DisplayArrayInTable(Scope3_SourceData.Scope3_Feed_Data(), Table_SourceData_Scope3_MixedRations[[#Headers],[Category]], -66, 2)</calculatedColumnFormula>
    </tableColumn>
    <tableColumn id="3" xr3:uid="{734934C7-2780-4EC9-9A75-941FCE268F68}" name="Region of origin" dataDxfId="216" dataCellStyle="Content normal">
      <calculatedColumnFormula array="1">Common_InputFunctions.Utility_DisplayArrayInTable(Scope3_SourceData.Scope3_Feed_Data(), Table_SourceData_Scope3_MixedRations[[#Headers],[Category]], -66, 2)</calculatedColumnFormula>
    </tableColumn>
    <tableColumn id="4" xr3:uid="{639C78FF-32D8-478A-A0FC-2EAEECC0D762}" name="Quantity Unit" dataDxfId="215" dataCellStyle="Content normal">
      <calculatedColumnFormula array="1">Common_InputFunctions.Utility_DisplayArrayInTable(Scope3_SourceData.Scope3_Feed_Data(), Table_SourceData_Scope3_MixedRations[[#Headers],[Category]], -66, 2)</calculatedColumnFormula>
    </tableColumn>
    <tableColumn id="5" xr3:uid="{6951EAC1-E65A-4698-B9B2-0F40F901CB4C}" name="Emissions intensity" dataDxfId="214" dataCellStyle="Content normal">
      <calculatedColumnFormula array="1">Common_InputFunctions.Utility_DisplayArrayInTable(Scope3_SourceData.Scope3_Feed_Data(), Table_SourceData_Scope3_MixedRations[[#Headers],[Category]], -66, 2)</calculatedColumnFormula>
    </tableColumn>
    <tableColumn id="6" xr3:uid="{ECBC6449-181A-4EE3-8582-9BB415FDAA45}" name="System boundary" dataDxfId="213" dataCellStyle="Content normal">
      <calculatedColumnFormula array="1">Common_InputFunctions.Utility_DisplayArrayInTable(Scope3_SourceData.Scope3_Feed_Data(), Table_SourceData_Scope3_MixedRations[[#Headers],[Category]], -66, 2)</calculatedColumnFormula>
    </tableColumn>
    <tableColumn id="7" xr3:uid="{6AAACC42-B8BF-4BB6-9589-0F707A17B212}" name="Source" dataDxfId="212" dataCellStyle="Content normal"/>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F1CBE0E8-9C27-46E5-AE67-4146490AF471}"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32596D05-CE13-4F22-99C1-60E7FA2F670F}" name="Product">
      <calculatedColumnFormula>Table_SourceData_Scope3_FishFeedAndBait[[#This Row],[Product]]</calculatedColumnFormula>
    </tableColumn>
    <tableColumn id="2" xr3:uid="{593C2F99-12D8-4780-A62C-CC16DB45183E}"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1EC4F742-90F6-4B62-B654-AE5B65BEB9EB}"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C0464F22-073D-42B1-9EA4-0D1E58C3642B}" name="Product">
      <calculatedColumnFormula>Table_SourceData_Scope3_Feed[[#This Row],[Product]]</calculatedColumnFormula>
    </tableColumn>
    <tableColumn id="2" xr3:uid="{182D5E4C-0A9D-41B0-B50D-EAC938939E8C}" name="Region">
      <calculatedColumnFormula>Table_SourceData_Scope3_Feed[[#This Row],[Region of origin]]</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4A97710B-CEA4-4BE4-B376-DAAE9279BA6F}" name="Table_ProductRegions_Maizegrain" displayName="Table_ProductRegions_Maizegrain" ref="L97:M104" totalsRowShown="0" headerRowDxfId="211" headerRowCellStyle="Content normal">
  <autoFilter ref="L97:M104" xr:uid="{70F320A7-5DBE-4A83-91E4-C9B3BDA564BD}">
    <filterColumn colId="0" hiddenButton="1"/>
    <filterColumn colId="1" hiddenButton="1"/>
  </autoFilter>
  <tableColumns count="2">
    <tableColumn id="1" xr3:uid="{08118BC2-6906-40D2-91AC-EC9850BAE90F}" name="Product">
      <calculatedColumnFormula>Table_SourceData_Scope3_Feed[[#This Row],[Product]]</calculatedColumnFormula>
    </tableColumn>
    <tableColumn id="2" xr3:uid="{D7C8D185-8991-4EC6-BEF7-E111AAA6194C}" name="Region">
      <calculatedColumnFormula>Table_SourceData_Scope3_Feed[[#This Row],[Region of origin]]</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625A0DD-FB20-4A11-8AA4-E31BB31D7B93}" name="Table_ProductRegions_Sorghumgrain" displayName="Table_ProductRegions_Sorghumgrain" ref="O104:P109" totalsRowShown="0" headerRowDxfId="210" headerRowCellStyle="Content normal">
  <autoFilter ref="O104:P109" xr:uid="{90205417-8A77-41A3-A4E2-624BD92B7269}">
    <filterColumn colId="0" hiddenButton="1"/>
    <filterColumn colId="1" hiddenButton="1"/>
  </autoFilter>
  <tableColumns count="2">
    <tableColumn id="1" xr3:uid="{1CF65C43-221D-485A-9152-EC086AA351DC}" name="Product">
      <calculatedColumnFormula>Table_SourceData_Scope3_Feed[[#This Row],[Product]]</calculatedColumnFormula>
    </tableColumn>
    <tableColumn id="2" xr3:uid="{73C2FF98-C7E8-4423-ABF1-D2E0AFE9AF31}" name="Region">
      <calculatedColumnFormula>Table_SourceData_Scope3_Feed[[#This Row],[Region of origin]]</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6E37EEF4-BEF4-4668-82FC-CE7513177C05}" name="Table_ProductRegions_Wheatgrain" displayName="Table_ProductRegions_Wheatgrain" ref="L109:M117" totalsRowShown="0" headerRowDxfId="209" headerRowCellStyle="Content normal">
  <autoFilter ref="L109:M117" xr:uid="{9DD7D3AD-59A1-48FC-B80D-99C25A2A79F5}">
    <filterColumn colId="0" hiddenButton="1"/>
    <filterColumn colId="1" hiddenButton="1"/>
  </autoFilter>
  <tableColumns count="2">
    <tableColumn id="1" xr3:uid="{5B8A749A-8AEF-468A-BEFF-1CBB038922AC}" name="Product">
      <calculatedColumnFormula>Table_SourceData_Scope3_Feed[[#This Row],[Product]]</calculatedColumnFormula>
    </tableColumn>
    <tableColumn id="2" xr3:uid="{37F17389-A76D-4DA4-9A3F-3397A2E07E97}" name="Region">
      <calculatedColumnFormula>Table_SourceData_Scope3_Feed[[#This Row],[Region of origin]]</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1E57AC6A-A559-448A-AE37-FF9299E6FB3E}"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2635BCD9-F333-45DC-8D42-F8C0071EBDDB}" name="Product">
      <calculatedColumnFormula>Table_SourceData_Scope3_Feed[[#This Row],[Product]]</calculatedColumnFormula>
    </tableColumn>
    <tableColumn id="2" xr3:uid="{FABDD262-C5B1-45F6-8570-8A60B99C96D4}" name="Region">
      <calculatedColumnFormula>Table_SourceData_Scope3_Feed[[#This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630ED529-0C8A-4DB1-8458-8D376BF9A9E3}"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51F2A04F-CA10-44DB-AEC0-27494785DE8F}" name="Product">
      <calculatedColumnFormula>Table_SourceData_Scope3_Feed[[#This Row],[Product]]</calculatedColumnFormula>
    </tableColumn>
    <tableColumn id="2" xr3:uid="{2BE895C3-A320-49F9-84C3-89A8F75438B0}"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6C4779F-4228-4A05-8F10-E31DE585A358}"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9F724045-14EB-4926-9FEB-A1AD9C17CFF2}" name="Product">
      <calculatedColumnFormula>Table_SourceData_Scope3_Feed[[#This Row],[Product]]</calculatedColumnFormula>
    </tableColumn>
    <tableColumn id="2" xr3:uid="{DDF6508C-9314-4206-AC57-CE85CAF940EE}"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1DF16E5-EBE8-40C1-B378-42F13450B494}"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FA17EF33-B6E5-4035-B9C4-8AAF484142A4}" name="Product">
      <calculatedColumnFormula>Table_SourceData_Scope3_Feed[[#This Row],[Product]]</calculatedColumnFormula>
    </tableColumn>
    <tableColumn id="2" xr3:uid="{B9D8B79C-01C9-4000-B20F-10038274C95A}"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8F9FF18-4883-45E4-AD59-6FF5CB6222E8}"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9B856777-73C6-4895-812B-778AAD667879}" name="Product">
      <calculatedColumnFormula>Table_SourceData_Scope3_Feed[[#This Row],[Product]]</calculatedColumnFormula>
    </tableColumn>
    <tableColumn id="2" xr3:uid="{782F3AC3-6E74-4ACA-B51F-D2355A204E6E}"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F8168E94-6029-4D98-ACCB-7E23EFC601A3}" name="Table_ProductRegions_Canolameal" displayName="Table_ProductRegions_Canolameal" ref="L150:M151" totalsRowShown="0" headerRowDxfId="208" headerRowCellStyle="Content normal" dataCellStyle="Content normal">
  <autoFilter ref="L150:M151" xr:uid="{58F78B6F-294E-4D4E-8E3B-BFE4FA85583E}">
    <filterColumn colId="0" hiddenButton="1"/>
    <filterColumn colId="1" hiddenButton="1"/>
  </autoFilter>
  <tableColumns count="2">
    <tableColumn id="1" xr3:uid="{47FCCF20-20F9-4C4E-BF69-0A8E867E12FC}" name="Product" dataCellStyle="Content normal">
      <calculatedColumnFormula>Table_SourceData_Scope3_Feed[[#This Row],[Product]]</calculatedColumnFormula>
    </tableColumn>
    <tableColumn id="2" xr3:uid="{A89125BD-44DD-436C-AC4F-9508BC7C1904}"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6B7B56B2-D678-4041-AC9B-60612910F799}"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3921DBD8-CA52-43AB-86D5-0F9FC60F0CF9}" name="Product">
      <calculatedColumnFormula>Table_SourceData_Scope3_Feed[[#This Row],[Product]]</calculatedColumnFormula>
    </tableColumn>
    <tableColumn id="2" xr3:uid="{4387B878-1D5A-40F6-99EA-E3C4993FC14A}" name="Region">
      <calculatedColumnFormula>Table_SourceData_Scope3_Feed[[#This Row],[Region of origin]]</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2C438B39-081F-4553-B7A7-C95536958C04}"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98D2E0FE-D9FA-4788-B307-D9D3071BB4D0}" name="Product">
      <calculatedColumnFormula>Table_SourceData_Scope3_Feed[[#This Row],[Product]]</calculatedColumnFormula>
    </tableColumn>
    <tableColumn id="2" xr3:uid="{5E2D15D1-F31A-4F3D-A1A9-198A5EBB2FDE}" name="Region">
      <calculatedColumnFormula>Table_SourceData_Scope3_Feed[[#This Row],[Region of origin]]</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17E862E5-9DF0-4376-B0CE-63BEDF559178}"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426B0B60-8AE8-4579-B204-150FE9BE48D4}" name="Product">
      <calculatedColumnFormula>Table_SourceData_Scope3_Feed[[#This Row],[Product]]</calculatedColumnFormula>
    </tableColumn>
    <tableColumn id="2" xr3:uid="{68EDA891-5B6F-4520-AF8D-1B2A415E0FE4}" name="Region">
      <calculatedColumnFormula>Table_SourceData_Scope3_Feed[[#This Row],[Region of origin]]</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BE935518-21E2-4980-A257-36BC81AA53A9}"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37A74A32-8C97-494E-8FD2-D1EBDB40A4FB}" name="Product">
      <calculatedColumnFormula>Table_SourceData_Scope3_Feed[[#This Row],[Product]]</calculatedColumnFormula>
    </tableColumn>
    <tableColumn id="2" xr3:uid="{3CB97B16-A8F5-49E6-A0D4-A035482CCF17}" name="Region">
      <calculatedColumnFormula>Table_SourceData_Scope3_Feed[[#This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B0D1C353-2B67-4CC7-814F-5B86F27EB012}"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DEA4BC90-2AB5-4ABE-8185-C8456FC35E13}" name="Product">
      <calculatedColumnFormula>Table_SourceData_Scope3_Feed[[#This Row],[Product]]</calculatedColumnFormula>
    </tableColumn>
    <tableColumn id="2" xr3:uid="{0529A776-B103-41D2-B826-759952DB8561}" name="Region">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2DA4D0A1-7929-46E7-A18D-986F7F91EE11}"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DB1B5E91-19E6-4B95-BA6A-3A05ADA31977}" name="Product">
      <calculatedColumnFormula>Table_SourceData_Scope3_Feed[[#This Row],[Product]]</calculatedColumnFormula>
    </tableColumn>
    <tableColumn id="2" xr3:uid="{60F880A1-EAC0-431F-A483-C4A015476C35}"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481A3060-2507-4596-A3A0-6EF89C952A92}"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37A739AB-9358-4B17-9498-0EC39983371C}" name="Product">
      <calculatedColumnFormula>Table_SourceData_Scope3_Feed[[#This Row],[Product]]</calculatedColumnFormula>
    </tableColumn>
    <tableColumn id="2" xr3:uid="{4F87B9F1-5A97-4FFB-B729-DD45B518DD4F}"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9AFB1951-7657-4A5C-BA51-0371D59EEB08}"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BD7A6B5A-BEA3-4111-8040-22C79FC28B80}" name="Region"/>
    <tableColumn id="2" xr3:uid="{8DF2CA36-A00C-4A72-95B0-94F280C5E8EE}" name="Scope3 regio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B2274DB5-A379-4648-8CE7-1BDFE4EBF6B6}" name="Table_SourceData_Scope3_FishFeedAndBait" displayName="Table_SourceData_Scope3_FishFeedAndBait" ref="D241:J247" totalsRowShown="0" dataDxfId="207"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4AD5FBC8-024C-4685-8890-3F766A8F0769}" name="Category" dataDxfId="206" dataCellStyle="Content normal">
      <calculatedColumnFormula array="1">Common_InputFunctions.Utility_DisplayArrayInTable(Scope3_SourceData.Scope3_FishFeedAndBait_Data(), Table_SourceData_Scope3_FishFeedAndBait[[#Headers],[Category]], 0, 1)</calculatedColumnFormula>
    </tableColumn>
    <tableColumn id="1" xr3:uid="{2766AAFC-CEDC-4577-AC89-BE889BB74F48}" name="Product" dataDxfId="205" dataCellStyle="Content normal">
      <calculatedColumnFormula array="1">Common_InputFunctions.Utility_DisplayArrayInTable(Scope3_SourceData.Scope3_FishFeedAndBait_Data(), Table_SourceData_Scope3_FishFeedAndBait[[#Headers],[Category]], 0, 1)</calculatedColumnFormula>
    </tableColumn>
    <tableColumn id="2" xr3:uid="{CB788403-DC18-4EEE-9757-BEABB01CE870}" name="Region of origin" dataDxfId="204" dataCellStyle="Content normal">
      <calculatedColumnFormula array="1">Common_InputFunctions.Utility_DisplayArrayInTable(Scope3_SourceData.Scope3_FishFeedAndBait_Data(), Table_SourceData_Scope3_FishFeedAndBait[[#Headers],[Category]], 0, 1)</calculatedColumnFormula>
    </tableColumn>
    <tableColumn id="3" xr3:uid="{BA95B491-EC3F-4CE9-9D1B-C1691F6F7AA1}" name="Quantity Unit" dataDxfId="203" dataCellStyle="Content normal">
      <calculatedColumnFormula array="1">Common_InputFunctions.Utility_DisplayArrayInTable(Scope3_SourceData.Scope3_FishFeedAndBait_Data(), Table_SourceData_Scope3_FishFeedAndBait[[#Headers],[Category]], 0, 1)</calculatedColumnFormula>
    </tableColumn>
    <tableColumn id="4" xr3:uid="{4D196824-71A5-4850-A2D4-9C83A8D231E3}" name="Emissions intensity" dataDxfId="202" dataCellStyle="Content normal">
      <calculatedColumnFormula array="1">Common_InputFunctions.Utility_DisplayArrayInTable(Scope3_SourceData.Scope3_FishFeedAndBait_Data(), Table_SourceData_Scope3_FishFeedAndBait[[#Headers],[Category]], 0, 1)</calculatedColumnFormula>
    </tableColumn>
    <tableColumn id="5" xr3:uid="{C74AC9A6-0D1F-45A7-A6A7-64F38B4495F8}" name="System boundary" dataDxfId="201" dataCellStyle="Content normal">
      <calculatedColumnFormula array="1">Common_InputFunctions.Utility_DisplayArrayInTable(Scope3_SourceData.Scope3_FishFeedAndBait_Data(), Table_SourceData_Scope3_FishFeedAndBait[[#Headers],[Category]], 0, 1)</calculatedColumnFormula>
    </tableColumn>
    <tableColumn id="8" xr3:uid="{35CDE65C-7BC2-4B3D-A6EC-9F5E388A3C0A}" name="Source" dataDxfId="200" dataCellStyle="Content normal"/>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E8ECC3BF-2D07-4B85-9A64-751496B136B4}"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1BA285A1-A772-420C-A602-D68ACE4762E6}"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FCFA8BB8-D3A4-4BB2-8DAE-BFD014BE5E57}" name="Waste type w" dataDxfId="19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C182C6A5-6A40-411B-9381-D9FBEFC9FA16}" name="EFwt" dataDxfId="19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C0405D03-3399-4532-83A5-4DA17DF37B7C}" name="EF source" dataDxfId="19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3219796-7524-4333-9275-0536B54D2B3D}"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D25B98D2-28A2-44B1-A819-5462281D0306}"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C586B285-869F-480B-BC0B-DA0B94B89F6B}" name="VTMw" dataDxfId="196"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3F05F09C-4F87-448B-A278-A1C11258AAAB}" name="Table_WasteTypes_Landfill" displayName="Table_WasteTypes_Landfill" ref="I16:I27" totalsRowShown="0">
  <autoFilter ref="I16:I27" xr:uid="{99B942E3-1D24-4166-921C-DCC10960718D}">
    <filterColumn colId="0" hiddenButton="1"/>
  </autoFilter>
  <tableColumns count="1">
    <tableColumn id="1" xr3:uid="{43EA2522-165A-447A-B8AA-2E79A32C9DC5}"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E74CC032-8FAC-485C-B45F-17AE7BD3ABFC}" name="Table_WasteTypes_Incineration" displayName="Table_WasteTypes_Incineration" ref="K16:K26" totalsRowShown="0" headerRowDxfId="195" headerRowCellStyle="Content normal" dataCellStyle="Content normal">
  <autoFilter ref="K16:K26" xr:uid="{9A900595-7035-4239-9059-ACC16835BF72}">
    <filterColumn colId="0" hiddenButton="1"/>
  </autoFilter>
  <tableColumns count="1">
    <tableColumn id="1" xr3:uid="{9ED78488-9AE6-48B8-AEB2-F5009B5D6823}" name="Waste type w" dataCellStyle="Content normal">
      <calculatedColumnFormula>E29</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ABAB7EE-6990-4666-B4FC-E16F51007BDC}" name="Table_WasteTypes_Composting" displayName="Table_WasteTypes_Composting" ref="M16:M21" totalsRowShown="0" headerRowDxfId="194" headerRowCellStyle="Content normal" dataCellStyle="Content normal">
  <autoFilter ref="M16:M21" xr:uid="{5C8D39D3-1330-49EB-B431-1B2B8C8238DC}">
    <filterColumn colId="0" hiddenButton="1"/>
  </autoFilter>
  <tableColumns count="1">
    <tableColumn id="1" xr3:uid="{0F3C5F0A-6382-4E25-ABC9-6E2A11FCADA7}" name="Waste type w" totalsRowDxfId="193" dataCellStyle="Content normal">
      <calculatedColumnFormula>E40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ACB89937-7C78-45DA-A080-E68960A693AE}" name="Table_WasteTypes_Anaerobicdigestion" displayName="Table_WasteTypes_Anaerobicdigestion" ref="O16:O21" totalsRowShown="0" headerRowDxfId="192" headerRowCellStyle="Content normal" dataCellStyle="Content normal">
  <autoFilter ref="O16:O21" xr:uid="{331EC43E-DF68-429F-A2A4-58BFE6216EC3}">
    <filterColumn colId="0" hiddenButton="1"/>
  </autoFilter>
  <tableColumns count="1">
    <tableColumn id="1" xr3:uid="{BE475EF1-71B4-4606-B245-75D05C15BD32}" name="Waste type w" totalsRowDxfId="191" dataCellStyle="Content normal">
      <calculatedColumnFormula>E46</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19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18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18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18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18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18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18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18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18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18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18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17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17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17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17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17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17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17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17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17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17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6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6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6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6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6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6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1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1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1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15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154" dataCellStyle="Content normal"/>
    <tableColumn id="2" xr3:uid="{A467D3D2-FAE8-4B4F-AD2F-273B449008EF}" name="Description" dataDxfId="15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15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5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15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8B625594-69E8-4C70-8477-C0F8DA047574}" name="Table_Input_InorganicFertiliser_Brands" displayName="Table_Input_InorganicFertiliser_Brands" ref="D11:Z21" headerRowDxfId="149" dataDxfId="148" totalsRowDxfId="147">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021BFDEA-492E-47F7-8228-36073E6F82C3}" name="Product (select)" dataDxfId="146" totalsRowDxfId="145" dataCellStyle="Input select"/>
    <tableColumn id="23" xr3:uid="{0F5CB903-DF24-4E8E-AA74-1962AA010863}" name="Amount applied per hectare" totalsRowFunction="custom" dataDxfId="144" totalsRowDxfId="143">
      <totalsRowFormula>SUM(Table_Input_InorganicFertiliser_Brands[[#Headers],[#Data],[Amount applied per hectare]])</totalsRowFormula>
    </tableColumn>
    <tableColumn id="12" xr3:uid="{3EC589A3-1CFB-48CE-AD4E-3A883279E5A1}" name="Application unit" dataDxfId="142" totalsRowDxfId="141" dataCellStyle="Input number 2 decimal places"/>
    <tableColumn id="6" xr3:uid="{15BA3DCB-05D2-4C00-ABFD-21B912B3738C}" name="Application area (ha)" dataDxfId="140" totalsRowDxfId="139">
      <calculatedColumnFormula>X_Cell_Fertiliser_AreaUnderCropping</calculatedColumnFormula>
    </tableColumn>
    <tableColumn id="9" xr3:uid="{FDC2E9A2-B082-4255-B1A1-1B9C260CCA93}" name="Density" dataDxfId="138" totalsRowDxfId="137" dataCellStyle="Input number general calculated"/>
    <tableColumn id="1" xr3:uid="{741A850E-D7C6-4EC9-8173-C040149EB878}" name="Total applied (kg)" dataDxfId="136" totalsRowDxfId="135"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27BA6F1C-DDF6-4C92-B3E7-C06EDDDD521B}" name="Ingredient 1" dataDxfId="134" totalsRowDxfId="133" dataCellStyle="Input number general calculated"/>
    <tableColumn id="4" xr3:uid="{9957BA82-9461-4BF7-8DD6-C0F5496C0A9D}" name="Ingredient 1 percent" dataDxfId="132" dataCellStyle="Input number general calculated"/>
    <tableColumn id="7" xr3:uid="{1110F94D-59A7-40A5-A866-883DD173FE4A}" name="Ingredient 2" dataDxfId="131" dataCellStyle="Input number general calculated"/>
    <tableColumn id="8" xr3:uid="{718A510B-9C83-494E-B4C1-E9DBA04D825C}" name="Ingredient 2 percent" dataDxfId="130" totalsRowDxfId="129" dataCellStyle="Input number general calculated"/>
    <tableColumn id="10" xr3:uid="{1B046F18-B31C-4291-A2FA-4EA1FAB4DF78}" name="Ingredient 3" dataDxfId="128" totalsRowDxfId="127" dataCellStyle="Input number general calculated"/>
    <tableColumn id="11" xr3:uid="{FB84EF72-27DF-4732-851D-56346DC0B14E}" name="Ingredient 3 percent" dataDxfId="126" totalsRowDxfId="125" dataCellStyle="Input number general calculated"/>
    <tableColumn id="13" xr3:uid="{26BE566A-3FBC-4B06-B36B-45490B0288B1}" name="Ingredient 4" dataDxfId="124" totalsRowDxfId="123" dataCellStyle="Input number general calculated"/>
    <tableColumn id="14" xr3:uid="{7C22028D-0C10-406C-A279-9D001967C6AA}" name="Ingredient 4 percent" dataDxfId="122" dataCellStyle="Input number general calculated"/>
    <tableColumn id="16" xr3:uid="{8CBD9AC3-0745-4E8B-92CA-BD48E38A0278}" name="Ingredient 5" dataDxfId="121" dataCellStyle="Input number general calculated"/>
    <tableColumn id="17" xr3:uid="{75816CFD-D8E1-4254-936D-58EA7426FA71}" name="Ingredient 5 percent" dataDxfId="120" dataCellStyle="Input number general calculated"/>
    <tableColumn id="19" xr3:uid="{020174F0-BBC6-437B-9E12-06CBE4904D07}" name="Ingredient 6" dataDxfId="119" dataCellStyle="Input number general calculated"/>
    <tableColumn id="20" xr3:uid="{EEE43250-D3C5-4271-858F-7927BA93A7D8}" name="Ingredient 6 percent" dataDxfId="118" dataCellStyle="Input number general calculated"/>
    <tableColumn id="21" xr3:uid="{C45A8F4F-9169-4F9A-A9E0-704BF9C8C7AD}" name="% N (Ingredients)" dataDxfId="117" dataCellStyle="Input number general calculated"/>
    <tableColumn id="22" xr3:uid="{68D6EB52-F3BB-493F-A547-945176C6FED6}" name="% N (declared)" dataDxfId="116" dataCellStyle="Content normal"/>
    <tableColumn id="5" xr3:uid="{CE66A782-D37F-4A22-98A0-5B8108C66726}" name="N application rate (kg/ha)" dataDxfId="115" totalsRowDxfId="114"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CD6EB831-9E3C-4614-B001-F35245658A89}" name="Urea source" dataDxfId="113" totalsRowDxfId="112" dataCellStyle="Input number general calculated"/>
    <tableColumn id="18" xr3:uid="{404F4C7F-1E61-4A2D-94B5-18E6B2E12ED9}" name="Ammonia source" dataDxfId="111" totalsRowDxfId="110" dataCellStyle="Input number general calculated"/>
  </tableColumns>
  <tableStyleInfo name="Editable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9603FD8-07DF-4B27-8E2A-10AED6962942}" name="Table_Input_InorganicFertiliser_Custom" displayName="Table_Input_InorganicFertiliser_Custom" ref="D24:R34" totalsRowShown="0" headerRowDxfId="109" dataDxfId="108">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88981516-27CB-457C-A5B9-179FBB3B0401}" name="Custom blend name" dataCellStyle="Input text"/>
    <tableColumn id="2" xr3:uid="{B9E2F559-E8C5-4B41-A953-24BE08BCDD04}" name="Amount applied (kg / ha)" dataDxfId="107"/>
    <tableColumn id="3" xr3:uid="{760E3D2B-293C-41DD-8BF1-B778EAB16C00}" name="Application area (ha)" dataDxfId="106" dataCellStyle="Input number 2 decimal places">
      <calculatedColumnFormula>X_Cell_Fertiliser_AreaUnderCropping</calculatedColumnFormula>
    </tableColumn>
    <tableColumn id="4" xr3:uid="{AD588655-1D5F-464A-8606-158D860C1DC8}" name="Total applied (kg)" dataDxfId="105" dataCellStyle="Input number general calculated">
      <calculatedColumnFormula>Table_Input_InorganicFertiliser_Custom[[#This Row],[Amount applied (kg / ha)]]*Table_Input_InorganicFertiliser_Custom[[#This Row],[Application area (ha)]]</calculatedColumnFormula>
    </tableColumn>
    <tableColumn id="5" xr3:uid="{5ED0F8A1-6D5B-4F31-A5A8-AD5AE28BC277}" name="Ingredient 1 (select)" dataDxfId="104" dataCellStyle="Input select"/>
    <tableColumn id="6" xr3:uid="{3EFF393A-3197-4050-8742-EFFAFB65AD63}" name="Ingredient 1 percent" dataDxfId="103"/>
    <tableColumn id="8" xr3:uid="{F108EF54-7427-4A0E-8DB1-FD7859DFC1E8}" name="Ingredient 2" dataDxfId="102" dataCellStyle="Input select"/>
    <tableColumn id="9" xr3:uid="{A6E11F0B-C57F-431A-8528-70B0F395F352}" name="Ingredient 2 percent" dataDxfId="101"/>
    <tableColumn id="11" xr3:uid="{1B0FA175-C1B5-4B04-AC3B-403E85BA48B1}" name="Ingredient 3" dataDxfId="100" dataCellStyle="Input select"/>
    <tableColumn id="12" xr3:uid="{4611C2D0-B727-4371-9D1F-80096C215CBC}" name="Ingredient 3 percent" dataDxfId="99"/>
    <tableColumn id="14" xr3:uid="{93F6D776-1AD3-4727-A42B-27771B94FF3E}" name="Ingredient 4" dataDxfId="98" dataCellStyle="Input select"/>
    <tableColumn id="15" xr3:uid="{66E42D06-9EF4-4197-8C93-69EEEA4CC68C}" name="Ingredient 4 percent" dataCellStyle="Input percent"/>
    <tableColumn id="7" xr3:uid="{50B57160-F1B0-48D0-B6E0-4ADB5A0A0EE5}" name="N application rate (kg/ha)" dataDxfId="97" dataCellStyle="Input number general calculated"/>
    <tableColumn id="10" xr3:uid="{6F98C0C4-7B24-409F-976A-B09A5F51E83B}" name="Urea source (Select)" dataCellStyle="Input select"/>
    <tableColumn id="13" xr3:uid="{696E23C7-FCFA-43BD-B328-6DCE8A2796E9}" name="Ammonia source (select)" dataCellStyle="Input select"/>
  </tableColumns>
  <tableStyleInfo name="Editable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56CC9936-09F8-4AD4-B6D5-FF10DD0C87E6}" name="Table_Input_Lime" displayName="Table_Input_Lime" ref="D41:K44" totalsRowShown="0" headerRowDxfId="96" dataDxfId="95"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A20B240-F57A-4EB9-8356-AF6AE1D1BC41}" name="Product" dataDxfId="94"/>
    <tableColumn id="2" xr3:uid="{445FAE95-E20D-40B5-A19A-FF93A417038D}" name="Amount applied (t/hectare)" dataDxfId="93"/>
    <tableColumn id="4" xr3:uid="{9AD62D2C-6073-4955-8D99-3F55DFE5BD8F}" name="Application area (ha)" dataDxfId="92" dataCellStyle="Input number 2 decimal places">
      <calculatedColumnFormula>X_Cell_Fertiliser_AreaUnderCropping</calculatedColumnFormula>
    </tableColumn>
    <tableColumn id="3" xr3:uid="{5D8362C7-1A3E-496C-AAE7-A171D8C0D85C}" name="Total amount applied (t)" dataDxfId="91" dataCellStyle="Input number general calculated">
      <calculatedColumnFormula>IFERROR(Table_Input_Lime[[#This Row],[Amount applied (t/hectare)]]*Table_Input_Lime[[#This Row],[Application area (ha)]], 0)</calculatedColumnFormula>
    </tableColumn>
    <tableColumn id="6" xr3:uid="{AD45C15B-C345-4A8E-B4FF-98D349F79DFE}" name="Percent Lime CaCO3" dataDxfId="90"/>
    <tableColumn id="8" xr3:uid="{4CC4943D-E6D2-471D-8412-BC5B1A24326F}" name="Percent Dolomite CaMg(CO3)2" dataDxfId="89"/>
    <tableColumn id="7" xr3:uid="{19FFA23D-A340-481C-A294-A2154B15EB33}" name="Percent Gypsum" dataDxfId="88"/>
    <tableColumn id="10" xr3:uid="{B654376C-F5CA-4283-A17A-26BF56E8F8D7}" name="Total" dataDxfId="87"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AB12DD-69A9-4E5D-844B-3DF9F46ADFF6}" name="Table_Input_OrganicFertiliser" displayName="Table_Input_OrganicFertiliser" ref="D53:J56" totalsRowShown="0" headerRowDxfId="86" dataDxfId="85"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492C2BD-58FA-4AC2-911F-25628D7C3BD2}" name="Organic fertiliser type (select)" dataDxfId="84" dataCellStyle="Input select"/>
    <tableColumn id="5" xr3:uid="{75809DBE-B849-412C-9FD6-DF144A4EA478}" name="Percentage of N in fertiliser" dataDxfId="83"/>
    <tableColumn id="2" xr3:uid="{D9C02E80-C7AD-48D2-80E8-B602FA8097FB}" name="Amount applied (kg/hectare)" dataDxfId="82"/>
    <tableColumn id="11" xr3:uid="{D7BCD890-1DDD-4BE2-A119-630234AF1BB1}" name="Amount N applied (kg/hectare)" dataDxfId="81" dataCellStyle="Input number general calculated">
      <calculatedColumnFormula>Table_Input_OrganicFertiliser[[#This Row],[Amount applied (kg/hectare)]]*Table_Input_OrganicFertiliser[[#This Row],[Percentage of N in fertiliser]]</calculatedColumnFormula>
    </tableColumn>
    <tableColumn id="4" xr3:uid="{95F35549-11F5-4334-BD0A-D29A191B2088}" name="Application area (ha)" dataDxfId="80" dataCellStyle="Input number 2 decimal places">
      <calculatedColumnFormula>X_Cell_Fertiliser_AreaUnderCropping</calculatedColumnFormula>
    </tableColumn>
    <tableColumn id="7" xr3:uid="{15E42034-7F85-4D7C-BEE3-3530E3F1B03D}" name="Total organic fertliser applied" dataDxfId="79" dataCellStyle="Input number general calculated">
      <calculatedColumnFormula>Table_Input_OrganicFertiliser[[#This Row],[Amount applied (kg/hectare)]]*Table_Input_OrganicFertiliser[[#This Row],[Application area (ha)]]</calculatedColumnFormula>
    </tableColumn>
    <tableColumn id="3" xr3:uid="{0D5688D7-E867-497D-8B75-4F47C0139E4E}" name="Total nitrogen applied (kg)" dataDxfId="78"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 Id="rId4"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5" Type="http://schemas.openxmlformats.org/officeDocument/2006/relationships/table" Target="../tables/table19.xml"/><Relationship Id="rId4"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27.xml"/><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10" Type="http://schemas.openxmlformats.org/officeDocument/2006/relationships/table" Target="../tables/table29.xml"/><Relationship Id="rId4" Type="http://schemas.openxmlformats.org/officeDocument/2006/relationships/table" Target="../tables/table23.xml"/><Relationship Id="rId9"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39.xml"/><Relationship Id="rId3" Type="http://schemas.openxmlformats.org/officeDocument/2006/relationships/table" Target="../tables/table34.xml"/><Relationship Id="rId7" Type="http://schemas.openxmlformats.org/officeDocument/2006/relationships/table" Target="../tables/table38.xml"/><Relationship Id="rId12" Type="http://schemas.openxmlformats.org/officeDocument/2006/relationships/table" Target="../tables/table43.xml"/><Relationship Id="rId2" Type="http://schemas.openxmlformats.org/officeDocument/2006/relationships/table" Target="../tables/table33.xml"/><Relationship Id="rId1" Type="http://schemas.openxmlformats.org/officeDocument/2006/relationships/printerSettings" Target="../printerSettings/printerSettings17.bin"/><Relationship Id="rId6" Type="http://schemas.openxmlformats.org/officeDocument/2006/relationships/table" Target="../tables/table37.xml"/><Relationship Id="rId11" Type="http://schemas.openxmlformats.org/officeDocument/2006/relationships/table" Target="../tables/table42.xml"/><Relationship Id="rId5" Type="http://schemas.openxmlformats.org/officeDocument/2006/relationships/table" Target="../tables/table36.xml"/><Relationship Id="rId10" Type="http://schemas.openxmlformats.org/officeDocument/2006/relationships/table" Target="../tables/table41.xml"/><Relationship Id="rId4" Type="http://schemas.openxmlformats.org/officeDocument/2006/relationships/table" Target="../tables/table35.xml"/><Relationship Id="rId9" Type="http://schemas.openxmlformats.org/officeDocument/2006/relationships/table" Target="../tables/table40.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6.xml"/><Relationship Id="rId7" Type="http://schemas.openxmlformats.org/officeDocument/2006/relationships/table" Target="../tables/table50.xml"/><Relationship Id="rId2" Type="http://schemas.openxmlformats.org/officeDocument/2006/relationships/table" Target="../tables/table45.xml"/><Relationship Id="rId1" Type="http://schemas.openxmlformats.org/officeDocument/2006/relationships/table" Target="../tables/table44.xml"/><Relationship Id="rId6" Type="http://schemas.openxmlformats.org/officeDocument/2006/relationships/table" Target="../tables/table49.xml"/><Relationship Id="rId5" Type="http://schemas.openxmlformats.org/officeDocument/2006/relationships/table" Target="../tables/table48.xml"/><Relationship Id="rId4" Type="http://schemas.openxmlformats.org/officeDocument/2006/relationships/table" Target="../tables/table47.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58.xml"/><Relationship Id="rId13" Type="http://schemas.openxmlformats.org/officeDocument/2006/relationships/table" Target="../tables/table63.xml"/><Relationship Id="rId18" Type="http://schemas.openxmlformats.org/officeDocument/2006/relationships/table" Target="../tables/table68.xml"/><Relationship Id="rId26" Type="http://schemas.openxmlformats.org/officeDocument/2006/relationships/table" Target="../tables/table76.xml"/><Relationship Id="rId3" Type="http://schemas.openxmlformats.org/officeDocument/2006/relationships/table" Target="../tables/table53.xml"/><Relationship Id="rId21" Type="http://schemas.openxmlformats.org/officeDocument/2006/relationships/table" Target="../tables/table71.xml"/><Relationship Id="rId7" Type="http://schemas.openxmlformats.org/officeDocument/2006/relationships/table" Target="../tables/table57.xml"/><Relationship Id="rId12" Type="http://schemas.openxmlformats.org/officeDocument/2006/relationships/table" Target="../tables/table62.xml"/><Relationship Id="rId17" Type="http://schemas.openxmlformats.org/officeDocument/2006/relationships/table" Target="../tables/table67.xml"/><Relationship Id="rId25" Type="http://schemas.openxmlformats.org/officeDocument/2006/relationships/table" Target="../tables/table75.xml"/><Relationship Id="rId2" Type="http://schemas.openxmlformats.org/officeDocument/2006/relationships/table" Target="../tables/table52.xml"/><Relationship Id="rId16" Type="http://schemas.openxmlformats.org/officeDocument/2006/relationships/table" Target="../tables/table66.xml"/><Relationship Id="rId20" Type="http://schemas.openxmlformats.org/officeDocument/2006/relationships/table" Target="../tables/table70.xml"/><Relationship Id="rId29" Type="http://schemas.openxmlformats.org/officeDocument/2006/relationships/table" Target="../tables/table79.xml"/><Relationship Id="rId1" Type="http://schemas.openxmlformats.org/officeDocument/2006/relationships/table" Target="../tables/table51.xml"/><Relationship Id="rId6" Type="http://schemas.openxmlformats.org/officeDocument/2006/relationships/table" Target="../tables/table56.xml"/><Relationship Id="rId11" Type="http://schemas.openxmlformats.org/officeDocument/2006/relationships/table" Target="../tables/table61.xml"/><Relationship Id="rId24" Type="http://schemas.openxmlformats.org/officeDocument/2006/relationships/table" Target="../tables/table74.xml"/><Relationship Id="rId5" Type="http://schemas.openxmlformats.org/officeDocument/2006/relationships/table" Target="../tables/table55.xml"/><Relationship Id="rId15" Type="http://schemas.openxmlformats.org/officeDocument/2006/relationships/table" Target="../tables/table65.xml"/><Relationship Id="rId23" Type="http://schemas.openxmlformats.org/officeDocument/2006/relationships/table" Target="../tables/table73.xml"/><Relationship Id="rId28" Type="http://schemas.openxmlformats.org/officeDocument/2006/relationships/table" Target="../tables/table78.xml"/><Relationship Id="rId10" Type="http://schemas.openxmlformats.org/officeDocument/2006/relationships/table" Target="../tables/table60.xml"/><Relationship Id="rId19" Type="http://schemas.openxmlformats.org/officeDocument/2006/relationships/table" Target="../tables/table69.xml"/><Relationship Id="rId31" Type="http://schemas.openxmlformats.org/officeDocument/2006/relationships/table" Target="../tables/table81.xml"/><Relationship Id="rId4" Type="http://schemas.openxmlformats.org/officeDocument/2006/relationships/table" Target="../tables/table54.xml"/><Relationship Id="rId9" Type="http://schemas.openxmlformats.org/officeDocument/2006/relationships/table" Target="../tables/table59.xml"/><Relationship Id="rId14" Type="http://schemas.openxmlformats.org/officeDocument/2006/relationships/table" Target="../tables/table64.xml"/><Relationship Id="rId22" Type="http://schemas.openxmlformats.org/officeDocument/2006/relationships/table" Target="../tables/table72.xml"/><Relationship Id="rId27" Type="http://schemas.openxmlformats.org/officeDocument/2006/relationships/table" Target="../tables/table77.xml"/><Relationship Id="rId30" Type="http://schemas.openxmlformats.org/officeDocument/2006/relationships/table" Target="../tables/table80.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83.xml"/><Relationship Id="rId7" Type="http://schemas.openxmlformats.org/officeDocument/2006/relationships/table" Target="../tables/table87.xml"/><Relationship Id="rId2" Type="http://schemas.openxmlformats.org/officeDocument/2006/relationships/table" Target="../tables/table82.xml"/><Relationship Id="rId1" Type="http://schemas.openxmlformats.org/officeDocument/2006/relationships/printerSettings" Target="../printerSettings/printerSettings18.bin"/><Relationship Id="rId6" Type="http://schemas.openxmlformats.org/officeDocument/2006/relationships/table" Target="../tables/table86.xml"/><Relationship Id="rId5" Type="http://schemas.openxmlformats.org/officeDocument/2006/relationships/table" Target="../tables/table85.xml"/><Relationship Id="rId4" Type="http://schemas.openxmlformats.org/officeDocument/2006/relationships/table" Target="../tables/table84.xml"/></Relationships>
</file>

<file path=xl/worksheets/_rels/sheet35.xml.rels><?xml version="1.0" encoding="UTF-8" standalone="yes"?>
<Relationships xmlns="http://schemas.openxmlformats.org/package/2006/relationships"><Relationship Id="rId8" Type="http://schemas.openxmlformats.org/officeDocument/2006/relationships/table" Target="../tables/table94.xml"/><Relationship Id="rId13" Type="http://schemas.openxmlformats.org/officeDocument/2006/relationships/table" Target="../tables/table99.xml"/><Relationship Id="rId18" Type="http://schemas.openxmlformats.org/officeDocument/2006/relationships/table" Target="../tables/table104.xml"/><Relationship Id="rId3" Type="http://schemas.openxmlformats.org/officeDocument/2006/relationships/table" Target="../tables/table89.xml"/><Relationship Id="rId21" Type="http://schemas.openxmlformats.org/officeDocument/2006/relationships/table" Target="../tables/table107.xml"/><Relationship Id="rId7" Type="http://schemas.openxmlformats.org/officeDocument/2006/relationships/table" Target="../tables/table93.xml"/><Relationship Id="rId12" Type="http://schemas.openxmlformats.org/officeDocument/2006/relationships/table" Target="../tables/table98.xml"/><Relationship Id="rId17" Type="http://schemas.openxmlformats.org/officeDocument/2006/relationships/table" Target="../tables/table103.xml"/><Relationship Id="rId2" Type="http://schemas.openxmlformats.org/officeDocument/2006/relationships/table" Target="../tables/table88.xml"/><Relationship Id="rId16" Type="http://schemas.openxmlformats.org/officeDocument/2006/relationships/table" Target="../tables/table102.xml"/><Relationship Id="rId20" Type="http://schemas.openxmlformats.org/officeDocument/2006/relationships/table" Target="../tables/table106.xml"/><Relationship Id="rId1" Type="http://schemas.openxmlformats.org/officeDocument/2006/relationships/printerSettings" Target="../printerSettings/printerSettings19.bin"/><Relationship Id="rId6" Type="http://schemas.openxmlformats.org/officeDocument/2006/relationships/table" Target="../tables/table92.xml"/><Relationship Id="rId11" Type="http://schemas.openxmlformats.org/officeDocument/2006/relationships/table" Target="../tables/table97.xml"/><Relationship Id="rId5" Type="http://schemas.openxmlformats.org/officeDocument/2006/relationships/table" Target="../tables/table91.xml"/><Relationship Id="rId15" Type="http://schemas.openxmlformats.org/officeDocument/2006/relationships/table" Target="../tables/table101.xml"/><Relationship Id="rId10" Type="http://schemas.openxmlformats.org/officeDocument/2006/relationships/table" Target="../tables/table96.xml"/><Relationship Id="rId19" Type="http://schemas.openxmlformats.org/officeDocument/2006/relationships/table" Target="../tables/table105.xml"/><Relationship Id="rId4" Type="http://schemas.openxmlformats.org/officeDocument/2006/relationships/table" Target="../tables/table90.xml"/><Relationship Id="rId9" Type="http://schemas.openxmlformats.org/officeDocument/2006/relationships/table" Target="../tables/table95.xml"/><Relationship Id="rId14" Type="http://schemas.openxmlformats.org/officeDocument/2006/relationships/table" Target="../tables/table100.xml"/><Relationship Id="rId22" Type="http://schemas.openxmlformats.org/officeDocument/2006/relationships/table" Target="../tables/table108.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110.xml"/><Relationship Id="rId2" Type="http://schemas.openxmlformats.org/officeDocument/2006/relationships/table" Target="../tables/table109.xml"/><Relationship Id="rId1" Type="http://schemas.openxmlformats.org/officeDocument/2006/relationships/printerSettings" Target="../printerSettings/printerSettings20.bin"/><Relationship Id="rId5" Type="http://schemas.openxmlformats.org/officeDocument/2006/relationships/table" Target="../tables/table112.xml"/><Relationship Id="rId4" Type="http://schemas.openxmlformats.org/officeDocument/2006/relationships/table" Target="../tables/table111.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2.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3.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4.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5.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55"/>
  <sheetViews>
    <sheetView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53"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Feedlot'!A1", "Feedlot")</f>
        <v>Feedlot</v>
      </c>
    </row>
    <row r="12" spans="1:1" ht="20.100000000000001" customHeight="1" x14ac:dyDescent="0.2">
      <c r="A12" s="5" t="str">
        <f>HYPERLINK("#'Input - Livestock sales'!A1", "Livestock sales")</f>
        <v>Livestock sales</v>
      </c>
    </row>
    <row r="13" spans="1:1" ht="20.100000000000001" customHeight="1" x14ac:dyDescent="0.2">
      <c r="A13" s="5" t="str">
        <f>HYPERLINK("#'Input - Beef cattle purchases'!A1", "Beef cattle purchases")</f>
        <v>Beef cattle purchases</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HYPERLINK("#'3.1.1.1-2 Enteric Methane'!A1", "3.1.1.1-2 Enteric Methane")</f>
        <v>3.1.1.1-2 Enteric Methane</v>
      </c>
    </row>
    <row r="28" spans="1:1" ht="20.100000000000001" customHeight="1" x14ac:dyDescent="0.2">
      <c r="A28" s="5" t="str">
        <f>HYPERLINK("#'4.1.1.1-2 Methane'!A1", "4.1.1.1-2 Manure Methane")</f>
        <v>4.1.1.1-2 Manure Methane</v>
      </c>
    </row>
    <row r="29" spans="1:1" ht="20.100000000000001" customHeight="1" x14ac:dyDescent="0.2">
      <c r="A29" s="5" t="str">
        <f>HYPERLINK("#'4.1.1.3-4 Direct N20'!A1", "4.1.1.3-4 Manure Direct N2O")</f>
        <v>4.1.1.3-4 Manure Direct N2O</v>
      </c>
    </row>
    <row r="30" spans="1:1" ht="20.100000000000001" customHeight="1" x14ac:dyDescent="0.2">
      <c r="A30" s="5" t="str">
        <f>HYPERLINK("#'4.1.1.5-6 Atmos Deposition'!A1", "4.1.1.5-6 Manure Atmos Dep")</f>
        <v>4.1.1.5-6 Manure Atmos Dep</v>
      </c>
    </row>
    <row r="31" spans="1:1" ht="20.100000000000001" customHeight="1" x14ac:dyDescent="0.2">
      <c r="A31" s="5" t="str">
        <f>HYPERLINK("#'4.1.1.9 Manure applied to soils'!A1", "4.1.1.9 Manure applied to soils")</f>
        <v>4.1.1.9 Manure applied to soils</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56"/>
  <sheetViews>
    <sheetView showGridLines="0" tabSelected="1" zoomScaleNormal="100" workbookViewId="0">
      <pane xSplit="1" topLeftCell="B1" activePane="topRight" state="frozenSplit"/>
      <selection pane="topRight"/>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0" t="e" vm="1">
        <v>#VALUE!</v>
      </c>
      <c r="C1" s="90" t="s">
        <v>256</v>
      </c>
      <c r="D1" s="90"/>
      <c r="E1" s="90"/>
      <c r="F1" s="90"/>
      <c r="G1" s="90"/>
      <c r="H1" s="90"/>
      <c r="I1" s="90"/>
      <c r="J1" s="90"/>
      <c r="K1" s="90"/>
    </row>
    <row r="2" spans="1:11" ht="20.100000000000001" customHeight="1" x14ac:dyDescent="0.2">
      <c r="C2" s="3"/>
      <c r="D2" s="3"/>
      <c r="E2" s="3"/>
      <c r="F2" s="3"/>
      <c r="G2" s="3"/>
      <c r="H2" s="3"/>
      <c r="I2" s="3"/>
      <c r="J2" s="3"/>
      <c r="K2" s="3"/>
    </row>
    <row r="3" spans="1:11" ht="20.100000000000001" customHeight="1" x14ac:dyDescent="0.2">
      <c r="A3" s="5" t="str">
        <f>HYPERLINK("#'Home'!A1", "Home")</f>
        <v>Home</v>
      </c>
      <c r="C3" s="91"/>
      <c r="D3" s="91"/>
      <c r="E3" s="91"/>
      <c r="F3" s="91"/>
      <c r="G3" s="91"/>
      <c r="H3" s="91"/>
      <c r="I3" s="91"/>
      <c r="J3" s="91"/>
      <c r="K3" s="91"/>
    </row>
    <row r="4" spans="1:11" ht="20.100000000000001" customHeight="1" x14ac:dyDescent="0.2">
      <c r="A4" s="253" t="str">
        <f>HYPERLINK("#'Results - Activity period'!A1", "Results - Activity period")</f>
        <v>Results - Activity period</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
      <c r="A5" s="5" t="str">
        <f>HYPERLINK("#'Results - Product EI'!A1", "Results - Product Emissions Intensity")</f>
        <v>Results - Product Emissions Intensity</v>
      </c>
    </row>
    <row r="6" spans="1:11" ht="20.100000000000001" customHeight="1" x14ac:dyDescent="0.2">
      <c r="D6" s="77" t="s">
        <v>235</v>
      </c>
    </row>
    <row r="8" spans="1:11" ht="20.100000000000001" customHeight="1" x14ac:dyDescent="0.2">
      <c r="A8" s="7" t="s">
        <v>0</v>
      </c>
      <c r="D8" s="11" t="s">
        <v>3</v>
      </c>
      <c r="E8" s="11" t="s">
        <v>8</v>
      </c>
      <c r="F8" s="11" t="s">
        <v>9</v>
      </c>
      <c r="G8" s="11" t="s">
        <v>5</v>
      </c>
      <c r="H8" s="11" t="s">
        <v>10</v>
      </c>
      <c r="I8" s="11" t="s">
        <v>11</v>
      </c>
      <c r="J8" s="11"/>
    </row>
    <row r="9" spans="1:11" ht="20.100000000000001" customHeight="1" x14ac:dyDescent="0.2">
      <c r="A9" s="5" t="str">
        <f>HYPERLINK("#'Input - Enterprise'!A1", "Enterprise")</f>
        <v>Enterprise</v>
      </c>
      <c r="D9" s="1" t="s">
        <v>283</v>
      </c>
      <c r="E9" s="1" cm="1">
        <f t="array" aca="1" ref="E9" ca="1">VEERG_3_1_1_1__1_TotalAnnualMethaneFromEntericFermentation_Result_Method1</f>
        <v>37.952380000000005</v>
      </c>
      <c r="F9" s="1" cm="1">
        <f t="array" aca="1" ref="F9" ca="1">VEERG_3_1_1_1__1_TotalAnnualMethaneFromEntericFermentation_Result_Method2</f>
        <v>37.952380000000005</v>
      </c>
      <c r="G9" s="9" t="s">
        <v>6</v>
      </c>
      <c r="H9" s="1" cm="1">
        <f t="array" aca="1" ref="H9" ca="1">Common_Equations.Common_ConvertCH4ToCO2e(E9,_xlfn.XLOOKUP("CH4", Table_GWPData[Gas],Table_GWPData[CO2-e factor]))</f>
        <v>1062.6666400000001</v>
      </c>
      <c r="I9" s="1" cm="1">
        <f t="array" aca="1" ref="I9" ca="1">Common_Equations.Common_ConvertCH4ToCO2e(F9,_xlfn.XLOOKUP("CH4", Table_GWPData[Gas],Table_GWPData[CO2-e factor]))</f>
        <v>1062.6666400000001</v>
      </c>
      <c r="J9" s="9" t="s">
        <v>7</v>
      </c>
    </row>
    <row r="10" spans="1:11" ht="20.100000000000001" customHeight="1" x14ac:dyDescent="0.2">
      <c r="A10" s="5" t="str">
        <f>HYPERLINK("#'Input - Site'!A1", "Site")</f>
        <v>Site</v>
      </c>
      <c r="D10" s="1" t="s">
        <v>282</v>
      </c>
      <c r="E10" s="1" cm="1">
        <f t="array" aca="1" ref="E10" ca="1">VEERG_4_1_1_1__1_TotalAnnualMethaneEmissions_Result_Method1</f>
        <v>2.6279077661491193</v>
      </c>
      <c r="F10" s="1" cm="1">
        <f t="array" aca="1" ref="F10" ca="1">VEERG_4_1_1_1__1_TotalAnnualMethaneEmissions_Result_Method2</f>
        <v>2.6279077661491193</v>
      </c>
      <c r="G10" s="9" t="s">
        <v>6</v>
      </c>
      <c r="H10" s="1" cm="1">
        <f t="array" aca="1" ref="H10" ca="1">Common_Equations.Common_ConvertCH4ToCO2e(E10,_xlfn.XLOOKUP("CH4", Table_GWPData[Gas],Table_GWPData[CO2-e factor]))</f>
        <v>73.581417452175344</v>
      </c>
      <c r="I10" s="1" cm="1">
        <f t="array" aca="1" ref="I10" ca="1">Common_Equations.Common_ConvertCH4ToCO2e(F10,_xlfn.XLOOKUP("CH4", Table_GWPData[Gas],Table_GWPData[CO2-e factor]))</f>
        <v>73.581417452175344</v>
      </c>
      <c r="J10" s="9" t="s">
        <v>7</v>
      </c>
    </row>
    <row r="11" spans="1:11" ht="20.100000000000001" customHeight="1" x14ac:dyDescent="0.2">
      <c r="A11" s="5" t="str">
        <f>HYPERLINK("#'Input - Feedlot'!A1", "Feedlot")</f>
        <v>Feedlot</v>
      </c>
      <c r="D11" s="1" t="s">
        <v>284</v>
      </c>
      <c r="E11" s="1" cm="1">
        <f t="array" aca="1" ref="E11" ca="1">VEERG_4_1_1_3__1_TotalAnnualDirectNitrousOxideEmissions_Result_Method1</f>
        <v>0.80616789491492569</v>
      </c>
      <c r="F11" s="1" cm="1">
        <f t="array" aca="1" ref="F11" ca="1">VEERG_4_1_1_3__1_TotalAnnualDirectNitrousOxideEmissions_Result_Method2</f>
        <v>0.80616789491492569</v>
      </c>
      <c r="G11" s="9" t="s">
        <v>12</v>
      </c>
      <c r="H11" s="1" cm="1">
        <f t="array" aca="1" ref="H11" ca="1">Common_Equations.Common_ConvertN2OToCO2e(E11,_xlfn.XLOOKUP("N2O", Table_GWPData[Gas],Table_GWPData[CO2-e factor]))</f>
        <v>213.63449215245529</v>
      </c>
      <c r="I11" s="1" cm="1">
        <f t="array" aca="1" ref="I11" ca="1">Common_Equations.Common_ConvertN2OToCO2e(F11,_xlfn.XLOOKUP("N2O", Table_GWPData[Gas],Table_GWPData[CO2-e factor]))</f>
        <v>213.63449215245529</v>
      </c>
      <c r="J11" s="9" t="s">
        <v>7</v>
      </c>
    </row>
    <row r="12" spans="1:11" ht="20.100000000000001" customHeight="1" x14ac:dyDescent="0.2">
      <c r="A12" s="5" t="str">
        <f>HYPERLINK("#'Input - Livestock sales'!A1", "Livestock sales")</f>
        <v>Livestock sales</v>
      </c>
      <c r="D12" s="1" t="s">
        <v>285</v>
      </c>
      <c r="E12" s="1" cm="1">
        <f t="array" aca="1" ref="E12" ca="1">VEERG_4_1_1_5__1_TotalAnnualAtmosphericDepositionEmissions_Result_Method1</f>
        <v>0.1458482506281413</v>
      </c>
      <c r="F12" s="1" cm="1">
        <f t="array" aca="1" ref="F12" ca="1">VEERG_4_1_1_5__1_TotalAnnualAtmosphericDepositionEmissions_Result_Method1</f>
        <v>0.1458482506281413</v>
      </c>
      <c r="G12" s="9" t="s">
        <v>12</v>
      </c>
      <c r="H12" s="1" cm="1">
        <f t="array" aca="1" ref="H12" ca="1">Common_Equations.Common_ConvertN2OToCO2e(E12,_xlfn.XLOOKUP("N2O", Table_GWPData[Gas],Table_GWPData[CO2-e factor]))</f>
        <v>38.649786416457445</v>
      </c>
      <c r="I12" s="1" cm="1">
        <f t="array" aca="1" ref="I12" ca="1">Common_Equations.Common_ConvertN2OToCO2e(F12,_xlfn.XLOOKUP("N2O", Table_GWPData[Gas],Table_GWPData[CO2-e factor]))</f>
        <v>38.649786416457445</v>
      </c>
      <c r="J12" s="9" t="s">
        <v>7</v>
      </c>
    </row>
    <row r="13" spans="1:11" ht="20.100000000000001" customHeight="1" x14ac:dyDescent="0.2">
      <c r="A13" s="5" t="str">
        <f>HYPERLINK("#'Input - Beef cattle purchases'!A1", "Beef cattle purchases")</f>
        <v>Beef cattle purchases</v>
      </c>
      <c r="D13" s="1" t="s">
        <v>133</v>
      </c>
      <c r="E13" s="1" cm="1">
        <f t="array" ref="E13">VEERG_8_1_1_1__1_FuelCombustionTransport_Result_CO2</f>
        <v>83.182000000000002</v>
      </c>
      <c r="F13" s="1">
        <f>E13</f>
        <v>83.182000000000002</v>
      </c>
      <c r="G13" s="9" t="s">
        <v>127</v>
      </c>
      <c r="H13" s="1">
        <f>E13</f>
        <v>83.182000000000002</v>
      </c>
      <c r="I13" s="1">
        <f>F13</f>
        <v>83.182000000000002</v>
      </c>
      <c r="J13" s="9" t="s">
        <v>7</v>
      </c>
    </row>
    <row r="14" spans="1:11" ht="20.100000000000001" customHeight="1" x14ac:dyDescent="0.2">
      <c r="A14" s="5" t="str">
        <f>HYPERLINK("#'Input - Fuel'!A1", "Fuel")</f>
        <v>Fuel</v>
      </c>
      <c r="D14" s="1" t="s">
        <v>135</v>
      </c>
      <c r="E14" s="1" cm="1">
        <f t="array" ref="E14">VEERG_8_1_1_1__1_FuelCombustionTransport_Result_CH4</f>
        <v>0.19906000000000001</v>
      </c>
      <c r="F14" s="1">
        <f t="shared" ref="F14:F18" si="0">E14</f>
        <v>0.19906000000000001</v>
      </c>
      <c r="G14" s="9" t="s">
        <v>6</v>
      </c>
      <c r="H14" s="1" cm="1">
        <f t="array" ref="H14">Common_Equations.Common_ConvertCH4ToCO2e(E14,_xlfn.XLOOKUP("CH4", Table_GWPData[Gas],Table_GWPData[CO2-e factor]))</f>
        <v>5.5736800000000004</v>
      </c>
      <c r="I14" s="1" cm="1">
        <f t="array" ref="I14">Common_Equations.Common_ConvertCH4ToCO2e(F14,_xlfn.XLOOKUP("CH4", Table_GWPData[Gas],Table_GWPData[CO2-e factor]))</f>
        <v>5.5736800000000004</v>
      </c>
      <c r="J14" s="9" t="s">
        <v>7</v>
      </c>
    </row>
    <row r="15" spans="1:11" ht="20.100000000000001" customHeight="1" x14ac:dyDescent="0.2">
      <c r="A15" s="5" t="str">
        <f>HYPERLINK("#'Input - Electricity'!A1", "Electricity")</f>
        <v>Electricity</v>
      </c>
      <c r="D15" s="1" t="s">
        <v>134</v>
      </c>
      <c r="E15" s="1" cm="1">
        <f t="array" ref="E15">VEERG_8_1_1_1__1_FuelCombustionTransport_Result_N2O</f>
        <v>0.58450000000000002</v>
      </c>
      <c r="F15" s="1">
        <f t="shared" si="0"/>
        <v>0.58450000000000002</v>
      </c>
      <c r="G15" s="9" t="s">
        <v>12</v>
      </c>
      <c r="H15" s="1" cm="1">
        <f t="array" ref="H15">Common_Equations.Common_ConvertN2OToCO2e(E15,_xlfn.XLOOKUP("N2O", Table_GWPData[Gas],Table_GWPData[CO2-e factor]))</f>
        <v>154.89250000000001</v>
      </c>
      <c r="I15" s="1" cm="1">
        <f t="array" ref="I15">Common_Equations.Common_ConvertN2OToCO2e(F15,_xlfn.XLOOKUP("N2O", Table_GWPData[Gas],Table_GWPData[CO2-e factor]))</f>
        <v>154.89250000000001</v>
      </c>
      <c r="J15" s="9" t="s">
        <v>7</v>
      </c>
    </row>
    <row r="16" spans="1:11" ht="20.100000000000001" customHeight="1" x14ac:dyDescent="0.2">
      <c r="A16" s="5" t="str">
        <f>HYPERLINK("#'Input - Common farm inputs'!A1", "Common farm inputs")</f>
        <v>Common farm inputs</v>
      </c>
      <c r="D16" s="1" t="s">
        <v>136</v>
      </c>
      <c r="E16" s="1" cm="1">
        <f t="array" ref="E16">VEERG_8_2_1_1__1_FuelCombustionStationary_Result_CO2</f>
        <v>29.070800000000002</v>
      </c>
      <c r="F16" s="1">
        <f t="shared" si="0"/>
        <v>29.070800000000002</v>
      </c>
      <c r="G16" s="9" t="s">
        <v>127</v>
      </c>
      <c r="H16" s="1">
        <f>E16</f>
        <v>29.070800000000002</v>
      </c>
      <c r="I16" s="1">
        <f>F16</f>
        <v>29.070800000000002</v>
      </c>
      <c r="J16" s="9" t="s">
        <v>7</v>
      </c>
    </row>
    <row r="17" spans="1:10" ht="20.100000000000001" customHeight="1" x14ac:dyDescent="0.2">
      <c r="A17" s="5" t="str">
        <f>HYPERLINK("#'Input - Livestock farm Inputs'!A1", "Livestock farm Inputs")</f>
        <v>Livestock farm Inputs</v>
      </c>
      <c r="D17" s="1" t="s">
        <v>137</v>
      </c>
      <c r="E17" s="1" cm="1">
        <f t="array" ref="E17">VEERG_8_2_1_1__1_FuelCombustionStationary_Result_CH4</f>
        <v>7.2400000000000006E-2</v>
      </c>
      <c r="F17" s="1">
        <f t="shared" si="0"/>
        <v>7.2400000000000006E-2</v>
      </c>
      <c r="G17" s="9" t="s">
        <v>6</v>
      </c>
      <c r="H17" s="1" cm="1">
        <f t="array" ref="H17">Common_Equations.Common_ConvertCH4ToCO2e(E17,_xlfn.XLOOKUP("CH4", Table_GWPData[Gas],Table_GWPData[CO2-e factor]))</f>
        <v>2.0272000000000001</v>
      </c>
      <c r="I17" s="1" cm="1">
        <f t="array" ref="I17">Common_Equations.Common_ConvertCH4ToCO2e(F17,_xlfn.XLOOKUP("CH4", Table_GWPData[Gas],Table_GWPData[CO2-e factor]))</f>
        <v>2.0272000000000001</v>
      </c>
      <c r="J17" s="9" t="s">
        <v>7</v>
      </c>
    </row>
    <row r="18" spans="1:10" ht="20.100000000000001" customHeight="1" x14ac:dyDescent="0.2">
      <c r="A18" s="5" t="str">
        <f>HYPERLINK("#'Input - Freight'!A1", "Freight")</f>
        <v>Freight</v>
      </c>
      <c r="D18" s="1" t="s">
        <v>138</v>
      </c>
      <c r="E18" s="1" cm="1">
        <f t="array" ref="E18">VEERG_8_2_1_1__1_FuelCombustionStationary_Result_N2O</f>
        <v>7.1400000000000005E-2</v>
      </c>
      <c r="F18" s="1">
        <f t="shared" si="0"/>
        <v>7.1400000000000005E-2</v>
      </c>
      <c r="G18" s="9" t="s">
        <v>12</v>
      </c>
      <c r="H18" s="1" cm="1">
        <f t="array" ref="H18">Common_Equations.Common_ConvertN2OToCO2e(E18,_xlfn.XLOOKUP("N2O", Table_GWPData[Gas],Table_GWPData[CO2-e factor]))</f>
        <v>18.921000000000003</v>
      </c>
      <c r="I18" s="1" cm="1">
        <f t="array" ref="I18">Common_Equations.Common_ConvertN2OToCO2e(F18,_xlfn.XLOOKUP("N2O", Table_GWPData[Gas],Table_GWPData[CO2-e factor]))</f>
        <v>18.921000000000003</v>
      </c>
      <c r="J18" s="9" t="s">
        <v>7</v>
      </c>
    </row>
    <row r="19" spans="1:10" ht="20.100000000000001" customHeight="1" x14ac:dyDescent="0.2">
      <c r="A19" s="5" t="str">
        <f>HYPERLINK("#'Input - Solid waste'!A1", "Solid waste")</f>
        <v>Solid waste</v>
      </c>
      <c r="D19" s="1" t="s">
        <v>267</v>
      </c>
      <c r="E19" s="1" cm="1">
        <f t="array" ref="E19">VEERG_10_1_1_1__1_EmissionsFromWasteManagement_Scope1_Result_Method1</f>
        <v>438.82805000000002</v>
      </c>
      <c r="F19" s="1">
        <f>E19</f>
        <v>438.82805000000002</v>
      </c>
      <c r="G19" s="9" t="s">
        <v>251</v>
      </c>
      <c r="H19" s="1">
        <f>E19</f>
        <v>438.82805000000002</v>
      </c>
      <c r="I19" s="1">
        <f>F19</f>
        <v>438.82805000000002</v>
      </c>
      <c r="J19" s="9" t="s">
        <v>7</v>
      </c>
    </row>
    <row r="20" spans="1:10" ht="20.100000000000001" customHeight="1" x14ac:dyDescent="0.2">
      <c r="A20" s="5" t="str">
        <f>HYPERLINK("#'Input - Manure sent off-site'!A1", "Manure sent off-site")</f>
        <v>Manure sent off-site</v>
      </c>
      <c r="D20" s="85" t="s">
        <v>4</v>
      </c>
      <c r="E20" s="86"/>
      <c r="F20" s="86"/>
      <c r="G20" s="86"/>
      <c r="H20" s="85">
        <f ca="1">SUM(H9:H19)</f>
        <v>2121.0275660210882</v>
      </c>
      <c r="I20" s="85">
        <f ca="1">SUM(I9:I19)</f>
        <v>2121.0275660210882</v>
      </c>
      <c r="J20" s="95" t="s">
        <v>7</v>
      </c>
    </row>
    <row r="21" spans="1:10" ht="20.100000000000001" customHeight="1" x14ac:dyDescent="0.2">
      <c r="A21" s="5" t="str">
        <f>HYPERLINK("#'Input - Data quality'!A1", "Data quality")</f>
        <v>Data quality</v>
      </c>
    </row>
    <row r="22" spans="1:10" ht="20.100000000000001" customHeight="1" x14ac:dyDescent="0.2">
      <c r="A22" s="5" t="str">
        <f>HYPERLINK("#'Input - Fert Prod System'!A1", "Fert Prod System")</f>
        <v>Fert Prod System</v>
      </c>
    </row>
    <row r="23" spans="1:10" ht="20.100000000000001" customHeight="1" x14ac:dyDescent="0.2">
      <c r="A23" s="5" t="str">
        <f>HYPERLINK("#'Input - Fertiliser'!A1", "Fertiliser")</f>
        <v>Fertiliser</v>
      </c>
      <c r="D23" s="77" t="s">
        <v>236</v>
      </c>
    </row>
    <row r="25" spans="1:10" ht="20.100000000000001" customHeight="1" x14ac:dyDescent="0.2">
      <c r="D25" s="11" t="s">
        <v>237</v>
      </c>
      <c r="E25" s="11" t="s">
        <v>8</v>
      </c>
      <c r="F25" s="11" t="s">
        <v>9</v>
      </c>
      <c r="G25" s="11" t="s">
        <v>5</v>
      </c>
      <c r="H25" s="11" t="s">
        <v>10</v>
      </c>
      <c r="I25" s="11" t="s">
        <v>11</v>
      </c>
      <c r="J25" s="11"/>
    </row>
    <row r="26" spans="1:10" ht="20.100000000000001" customHeight="1" x14ac:dyDescent="0.2">
      <c r="A26" s="6" t="s">
        <v>2</v>
      </c>
      <c r="D26" s="1" t="str" cm="1">
        <f t="array" ref="D26">"14.1.1-2 Purchased electricity " &amp; IF(X_Cell_Electricity_CalculationMethod="Location-based (simpler)", "(Location-based)", "(Market-based)")</f>
        <v>14.1.1-2 Purchased electricity (Location-based)</v>
      </c>
      <c r="E26" s="1" cm="1">
        <f t="array" ref="E26">IF(X_Cell_Electricity_CalculationMethod="Location-based (simpler)", VEERG_14_1_1__1_LocationBasedScopeElectricityEmissions_Result_Method1, VEERG_14_1_2__1_MarketBasedScopeElectricityEmissionsVariation_Result_Method1)</f>
        <v>16.8</v>
      </c>
      <c r="F26" s="1">
        <f>E26</f>
        <v>16.8</v>
      </c>
      <c r="G26" s="9" t="s">
        <v>7</v>
      </c>
      <c r="H26" s="1">
        <f>E26</f>
        <v>16.8</v>
      </c>
      <c r="I26" s="1">
        <f>F26</f>
        <v>16.8</v>
      </c>
      <c r="J26" s="9" t="s">
        <v>7</v>
      </c>
    </row>
    <row r="27" spans="1:10" ht="20.100000000000001" customHeight="1" x14ac:dyDescent="0.2">
      <c r="A27" s="5" t="str">
        <f>HYPERLINK("#'3.1.1.1-2 Enteric Methane'!A1", "3.1.1.1-2 Enteric Methane")</f>
        <v>3.1.1.1-2 Enteric Methane</v>
      </c>
      <c r="D27" s="85" t="s">
        <v>238</v>
      </c>
      <c r="E27" s="86"/>
      <c r="F27" s="86"/>
      <c r="G27" s="86"/>
      <c r="H27" s="85">
        <f>SUM(H26:H26)</f>
        <v>16.8</v>
      </c>
      <c r="I27" s="85">
        <f>SUM(I26:I26)</f>
        <v>16.8</v>
      </c>
      <c r="J27" s="95" t="s">
        <v>7</v>
      </c>
    </row>
    <row r="28" spans="1:10" ht="20.100000000000001" customHeight="1" x14ac:dyDescent="0.2">
      <c r="A28" s="5" t="str">
        <f>HYPERLINK("#'4.1.1.1-2 Methane'!A1", "4.1.1.1-2 Manure Methane")</f>
        <v>4.1.1.1-2 Manure Methane</v>
      </c>
    </row>
    <row r="29" spans="1:10" ht="20.100000000000001" customHeight="1" x14ac:dyDescent="0.2">
      <c r="A29" s="5" t="str">
        <f>HYPERLINK("#'4.1.1.3-4 Direct N20'!A1", "4.1.1.3-4 Manure Direct N2O")</f>
        <v>4.1.1.3-4 Manure Direct N2O</v>
      </c>
    </row>
    <row r="30" spans="1:10" ht="20.100000000000001" customHeight="1" x14ac:dyDescent="0.2">
      <c r="A30" s="5" t="str">
        <f>HYPERLINK("#'4.1.1.5-6 Atmos Deposition'!A1", "4.1.1.5-6 Manure Atmos Dep")</f>
        <v>4.1.1.5-6 Manure Atmos Dep</v>
      </c>
      <c r="D30" s="77" t="s">
        <v>239</v>
      </c>
    </row>
    <row r="31" spans="1:10" ht="20.100000000000001" customHeight="1" x14ac:dyDescent="0.2">
      <c r="A31" s="5" t="str">
        <f>HYPERLINK("#'4.1.1.9 Manure applied to soils'!A1", "4.1.1.9 Manure applied to soils")</f>
        <v>4.1.1.9 Manure applied to soils</v>
      </c>
    </row>
    <row r="32" spans="1:10" ht="20.100000000000001" customHeight="1" x14ac:dyDescent="0.2">
      <c r="A32" s="5" t="str">
        <f>HYPERLINK("#'8.1.1.1-2 Transport fuel'!A1", "8.1.1.1-2 Transport fuel")</f>
        <v>8.1.1.1-2 Transport fuel</v>
      </c>
      <c r="D32" s="11" t="s">
        <v>240</v>
      </c>
      <c r="E32" s="11" t="s">
        <v>8</v>
      </c>
      <c r="F32" s="11" t="s">
        <v>9</v>
      </c>
      <c r="G32" s="11" t="s">
        <v>5</v>
      </c>
      <c r="H32" s="11" t="s">
        <v>10</v>
      </c>
      <c r="I32" s="11" t="s">
        <v>11</v>
      </c>
      <c r="J32" s="11"/>
    </row>
    <row r="33" spans="1:10" ht="20.100000000000001" customHeight="1" x14ac:dyDescent="0.2">
      <c r="A33" s="5" t="str">
        <f>HYPERLINK("#'8.2.1.1-2 Stationary fuel'!A1", "8.2.1.1-2 Stationary fuel")</f>
        <v>8.2.1.1-2 Stationary fuel</v>
      </c>
      <c r="D33" s="1" t="s">
        <v>286</v>
      </c>
      <c r="E33" s="1" cm="1">
        <f t="array" ref="E33">VEERG_15_1_1_1__1_EmissionsFromPurchasedLivestock_Pigs_Result_Method1</f>
        <v>0</v>
      </c>
      <c r="F33" s="1" cm="1">
        <f t="array" ref="F33">VEERG_15_1_1_1__1_EmissionsFromPurchasedLivestock_Pigs_Result_Method2</f>
        <v>0</v>
      </c>
      <c r="G33" s="9" t="s">
        <v>7</v>
      </c>
      <c r="H33" s="1">
        <f t="shared" ref="H33:I34" si="1">E33</f>
        <v>0</v>
      </c>
      <c r="I33" s="1">
        <f t="shared" si="1"/>
        <v>0</v>
      </c>
      <c r="J33" s="9" t="s">
        <v>7</v>
      </c>
    </row>
    <row r="34" spans="1:10" ht="20.100000000000001" customHeight="1" x14ac:dyDescent="0.2">
      <c r="A34" s="5" t="str">
        <f>HYPERLINK("#'10.1.1-2 Solid waste treatment'!A1", "10.1.1.1-2 Solid waste")</f>
        <v>10.1.1.1-2 Solid waste</v>
      </c>
      <c r="D34" s="1" t="s">
        <v>268</v>
      </c>
      <c r="E34" s="1" cm="1">
        <f t="array" ref="E34">VEERG_15_2_1_1__1_EmissionsFromPurchasedFeed_Result_Method1</f>
        <v>0.78505200000000008</v>
      </c>
      <c r="F34" s="1" cm="1">
        <f t="array" ref="F34">VEERG_15_2_1_1__1_EmissionsFromPurchasedFeed_Result_Method1</f>
        <v>0.78505200000000008</v>
      </c>
      <c r="G34" s="9" t="s">
        <v>7</v>
      </c>
      <c r="H34" s="1">
        <f t="shared" si="1"/>
        <v>0.78505200000000008</v>
      </c>
      <c r="I34" s="1">
        <f t="shared" si="1"/>
        <v>0.78505200000000008</v>
      </c>
      <c r="J34" s="9" t="s">
        <v>7</v>
      </c>
    </row>
    <row r="35" spans="1:10" ht="20.100000000000001" customHeight="1" x14ac:dyDescent="0.2">
      <c r="A35" s="5" t="str">
        <f>HYPERLINK("#'14.1.1-2 Purchased electricity'!A1", "14.1.1-2 Purchased electricity")</f>
        <v>14.1.1-2 Purchased electricity</v>
      </c>
      <c r="D35" s="1" t="s">
        <v>241</v>
      </c>
      <c r="E35" s="1" t="str" cm="1">
        <f t="array" ref="E35">VEERG_15_7_1_1__1_EmissionsFromPurchasedServices_Result_Method1</f>
        <v>No data</v>
      </c>
      <c r="F35" s="1" cm="1">
        <f t="array" ref="F35">VEERG_15_7_1_1__1_EmissionsFromPurchasedServices_Result_Method2</f>
        <v>1.1000000000000001</v>
      </c>
      <c r="G35" s="9" t="s">
        <v>7</v>
      </c>
      <c r="H35" s="1" t="str">
        <f t="shared" ref="H35:H43" si="2">E35</f>
        <v>No data</v>
      </c>
      <c r="I35" s="1">
        <f t="shared" ref="I35:I43" si="3">F35</f>
        <v>1.1000000000000001</v>
      </c>
      <c r="J35" s="9" t="s">
        <v>7</v>
      </c>
    </row>
    <row r="36" spans="1:10" ht="20.100000000000001" customHeight="1" x14ac:dyDescent="0.2">
      <c r="A36" s="5" t="str">
        <f>HYPERLINK("#'15 Scope 3'!A1", "15 Scope 3")</f>
        <v>15 Scope 3</v>
      </c>
      <c r="D36" s="1" t="s">
        <v>242</v>
      </c>
      <c r="E36" s="1" cm="1">
        <f t="array" ref="E36">VEERG_15_10_1_1__1_OtherPurchasedGoodsAndServices_CleaningChemicals_Result_Method1</f>
        <v>0.50509999999999999</v>
      </c>
      <c r="F36" s="1" cm="1">
        <f t="array" ref="F36">VEERG_15_10_1_1__1_OtherPurchasedGoodsAndServices_CleaningChemicals_Result_Method2</f>
        <v>0.5</v>
      </c>
      <c r="G36" s="9" t="s">
        <v>7</v>
      </c>
      <c r="H36" s="1">
        <f t="shared" si="2"/>
        <v>0.50509999999999999</v>
      </c>
      <c r="I36" s="1">
        <f t="shared" si="3"/>
        <v>0.5</v>
      </c>
      <c r="J36" s="9" t="s">
        <v>7</v>
      </c>
    </row>
    <row r="37" spans="1:10" ht="20.100000000000001" customHeight="1" x14ac:dyDescent="0.2">
      <c r="A37" s="5" t="str">
        <f>HYPERLINK("#'Calcs - Manure sent off-site'!A1", "Calcs - Manure sent off-site")</f>
        <v>Calcs - Manure sent off-site</v>
      </c>
      <c r="D37" s="1" t="s">
        <v>269</v>
      </c>
      <c r="E37" s="1" cm="1">
        <f t="array" ref="E37">VEERG_15_10_1_1__1_OtherPurchasedGoodsAndServices_PharmacyChemicals_Result_Method1</f>
        <v>1.5636000000000001E-2</v>
      </c>
      <c r="F37" s="1" cm="1">
        <f t="array" ref="F37">VEERG_15_10_1_1__1_OtherPurchasedGoodsAndServices_PharmacyChemicals_Result_Method1</f>
        <v>1.5636000000000001E-2</v>
      </c>
      <c r="G37" s="9" t="s">
        <v>7</v>
      </c>
      <c r="H37" s="1">
        <f t="shared" si="2"/>
        <v>1.5636000000000001E-2</v>
      </c>
      <c r="I37" s="1">
        <f t="shared" si="3"/>
        <v>1.5636000000000001E-2</v>
      </c>
      <c r="J37" s="9" t="s">
        <v>7</v>
      </c>
    </row>
    <row r="38" spans="1:10" ht="20.100000000000001" customHeight="1" x14ac:dyDescent="0.2">
      <c r="A38" s="5" t="str">
        <f>HYPERLINK("#'5.1.1.1-2 Inorganic fert N2O'!A1", "5.1.1.1-2 Inorganic fert N2O")</f>
        <v>5.1.1.1-2 Inorganic fert N2O</v>
      </c>
      <c r="D38" s="1" t="s">
        <v>243</v>
      </c>
      <c r="E38" s="1" t="str" cm="1">
        <f t="array" ref="E38">VEERG_15_10_1_1__1_OtherPurchasedGoodsAndServices_Uncategorised_Result_Method1</f>
        <v>No data</v>
      </c>
      <c r="F38" s="1" cm="1">
        <f t="array" ref="F38">VEERG_15_10_1_1__1_OtherPurchasedGoodsAndServices_Uncategorised_Result_Method2</f>
        <v>4000</v>
      </c>
      <c r="G38" s="9" t="s">
        <v>7</v>
      </c>
      <c r="H38" s="1" t="str">
        <f t="shared" si="2"/>
        <v>No data</v>
      </c>
      <c r="I38" s="1">
        <f t="shared" si="3"/>
        <v>4000</v>
      </c>
      <c r="J38" s="9" t="s">
        <v>7</v>
      </c>
    </row>
    <row r="39" spans="1:10" ht="20.100000000000001" customHeight="1" x14ac:dyDescent="0.2">
      <c r="A39" s="5" t="str">
        <f>HYPERLINK("#'5.1.1.3-4 Inorganic fert CO2'!A1", "5.1.1.3-4 Inorganic fert CO2")</f>
        <v>5.1.1.3-4 Inorganic fert CO2</v>
      </c>
      <c r="D39" s="1" t="s">
        <v>244</v>
      </c>
      <c r="E39" s="1" cm="1">
        <f t="array" ref="E39">VEERG_15_11_1_1__1_TotalUpstreamEmissionsFromFuel_Result</f>
        <v>26.794</v>
      </c>
      <c r="F39" s="1">
        <f>E39</f>
        <v>26.794</v>
      </c>
      <c r="G39" s="9" t="s">
        <v>7</v>
      </c>
      <c r="H39" s="1">
        <f t="shared" si="2"/>
        <v>26.794</v>
      </c>
      <c r="I39" s="1">
        <f t="shared" si="3"/>
        <v>26.794</v>
      </c>
      <c r="J39" s="9" t="s">
        <v>7</v>
      </c>
    </row>
    <row r="40" spans="1:10" ht="20.100000000000001" customHeight="1" x14ac:dyDescent="0.2">
      <c r="A40" s="5" t="str">
        <f>HYPERLINK("#'5.2.1.1-2 Organic Fert N2O'!A1", "5.2.1.1-2 Organic Fert N2O")</f>
        <v>5.2.1.1-2 Organic Fert N2O</v>
      </c>
      <c r="D40" s="1" t="str" cm="1">
        <f t="array" ref="D40">"15.12.1.1 Purchased electricity " &amp; IF(X_Cell_Electricity_CalculationMethod="Location-based (simpler)", "(Location-based)", "(Market-based)")</f>
        <v>15.12.1.1 Purchased electricity (Location-based)</v>
      </c>
      <c r="E40" s="1" cm="1">
        <f t="array" ref="E40">IF(X_Cell_Electricity_CalculationMethod="Location-based (simpler)", VEERG_15_12_1_1__1_UpstreamPurchasedElectricityLocationBased_Result, VEERG_15_12_1_1__1_UpstreamPurchasedElectricityMarketBased_Result)</f>
        <v>2.7</v>
      </c>
      <c r="F40" s="1">
        <f>E40</f>
        <v>2.7</v>
      </c>
      <c r="G40" s="9" t="s">
        <v>7</v>
      </c>
      <c r="H40" s="1">
        <f t="shared" si="2"/>
        <v>2.7</v>
      </c>
      <c r="I40" s="1">
        <f t="shared" si="3"/>
        <v>2.7</v>
      </c>
      <c r="J40" s="9" t="s">
        <v>7</v>
      </c>
    </row>
    <row r="41" spans="1:10" ht="20.100000000000001" customHeight="1" x14ac:dyDescent="0.2">
      <c r="A41" s="5" t="str">
        <f>HYPERLINK("#'5.3.1.1-2 Lime CO2'!A1", "5.3.1.1-2 Lime CO2")</f>
        <v>5.3.1.1-2 Lime CO2</v>
      </c>
      <c r="D41" s="1" t="s">
        <v>246</v>
      </c>
      <c r="E41" s="1" cm="1">
        <f t="array" ref="E41">VEERG_10_1_1_1__1_EmissionsFromWasteManagement_Scope3_Result_Method1</f>
        <v>441.15000000000003</v>
      </c>
      <c r="F41" s="1">
        <f>E41</f>
        <v>441.15000000000003</v>
      </c>
      <c r="G41" s="9" t="s">
        <v>7</v>
      </c>
      <c r="H41" s="1">
        <f t="shared" si="2"/>
        <v>441.15000000000003</v>
      </c>
      <c r="I41" s="1">
        <f t="shared" si="3"/>
        <v>441.15000000000003</v>
      </c>
      <c r="J41" s="9" t="s">
        <v>7</v>
      </c>
    </row>
    <row r="42" spans="1:10" ht="20.100000000000001" customHeight="1" x14ac:dyDescent="0.2">
      <c r="A42" s="5" t="str">
        <f>HYPERLINK("#'5.4.1.1-4 Atmos deposition'!A1", "5.4.1.1-4 Atmos deposition")</f>
        <v>5.4.1.1-4 Atmos deposition</v>
      </c>
      <c r="D42" s="1" t="s">
        <v>245</v>
      </c>
      <c r="E42" s="1" t="str" cm="1">
        <f t="array" ref="E42">VEERG_15_14_1_1__1_EmbeddedEmissionsFromUpstreamFreight_Incoming_Result_Method1</f>
        <v>No data</v>
      </c>
      <c r="F42" s="1" cm="1">
        <f t="array" ref="F42">VEERG_15_14_1_1__1_EmbeddedEmissionsFromUpstreamFreight_Incoming_Result_Method2</f>
        <v>5166.2</v>
      </c>
      <c r="G42" s="9" t="s">
        <v>7</v>
      </c>
      <c r="H42" s="1" t="str">
        <f t="shared" si="2"/>
        <v>No data</v>
      </c>
      <c r="I42" s="1">
        <f t="shared" si="3"/>
        <v>5166.2</v>
      </c>
      <c r="J42" s="9" t="s">
        <v>7</v>
      </c>
    </row>
    <row r="43" spans="1:10" ht="20.100000000000001" customHeight="1" x14ac:dyDescent="0.2">
      <c r="A43" s="5" t="str">
        <f>HYPERLINK("#'5.5.1.1-2 Leaching and runoff'!A1", "5.5.1.1-2 Leaching and runoff")</f>
        <v>5.5.1.1-2 Leaching and runoff</v>
      </c>
      <c r="D43" s="1" t="s">
        <v>247</v>
      </c>
      <c r="E43" s="1" t="str" cm="1">
        <f t="array" ref="E43">VEERG_15_14_1_1__1_EmbeddedEmissionsFromUpstreamFreight_Outgoing_Result_Method1</f>
        <v>No data</v>
      </c>
      <c r="F43" s="1" cm="1">
        <f t="array" ref="F43">VEERG_15_14_1_1__1_EmbeddedEmissionsFromUpstreamFreight_Outgoing_Result_Method2</f>
        <v>676</v>
      </c>
      <c r="G43" s="9" t="s">
        <v>7</v>
      </c>
      <c r="H43" s="1" t="str">
        <f t="shared" si="2"/>
        <v>No data</v>
      </c>
      <c r="I43" s="1">
        <f t="shared" si="3"/>
        <v>676</v>
      </c>
      <c r="J43" s="9" t="s">
        <v>7</v>
      </c>
    </row>
    <row r="44" spans="1:10" ht="20.100000000000001" customHeight="1" x14ac:dyDescent="0.2">
      <c r="D44" s="85" t="s">
        <v>248</v>
      </c>
      <c r="E44" s="86"/>
      <c r="F44" s="86"/>
      <c r="G44" s="86"/>
      <c r="H44" s="85">
        <f>SUM(H33:H43)</f>
        <v>471.94978800000001</v>
      </c>
      <c r="I44" s="85">
        <f>SUM(I33:I43)</f>
        <v>10315.244687999999</v>
      </c>
      <c r="J44" s="95" t="s">
        <v>7</v>
      </c>
    </row>
    <row r="46" spans="1:10" ht="20.100000000000001" customHeight="1" x14ac:dyDescent="0.2">
      <c r="A46" s="80" t="s">
        <v>1</v>
      </c>
    </row>
    <row r="47" spans="1:10" ht="20.100000000000001" customHeight="1" x14ac:dyDescent="0.2">
      <c r="A47" s="5" t="str">
        <f>HYPERLINK("#'Constants - Feedlot'!A1", "Constants - Feedlot")</f>
        <v>Constants - Feedlot</v>
      </c>
      <c r="D47" s="77" t="str">
        <f>"Carbon removals from plantings for the activity period " &amp; TEXT(X_Cell_Site_StartDate, "d mmmm yyyy") &amp; " and " &amp; TEXT(X_Cell_Site_EndDate, "d mmmm yyyy")</f>
        <v>Carbon removals from plantings for the activity period 1 January 2025 and 31 December 2025</v>
      </c>
    </row>
    <row r="48" spans="1:10" ht="20.100000000000001" customHeight="1" x14ac:dyDescent="0.2">
      <c r="A48" s="5" t="str">
        <f>HYPERLINK("#'Constants - Common livestock'!A1", "Constants - Common Livestock")</f>
        <v>Constants - Common Livestock</v>
      </c>
    </row>
    <row r="49" spans="1:7" ht="20.100000000000001" customHeight="1" x14ac:dyDescent="0.2">
      <c r="A49" s="5" t="str">
        <f>HYPERLINK("#'Constants - Electricity'!A1", "Constants - Electricity")</f>
        <v>Constants - Electricity</v>
      </c>
      <c r="D49" s="85" t="s">
        <v>249</v>
      </c>
      <c r="E49" s="86">
        <f>SUM(Table_Input_Enterprise_PlantingRemovals[Removal allocated to this enterprise])</f>
        <v>0</v>
      </c>
      <c r="F49" s="95" t="s">
        <v>127</v>
      </c>
    </row>
    <row r="50" spans="1:7" ht="20.100000000000001" customHeight="1" x14ac:dyDescent="0.2">
      <c r="A50" s="5" t="str">
        <f>HYPERLINK("#'Constants - Fertiliser'!A1", "Constants - Fertiliser")</f>
        <v>Constants - Fertiliser</v>
      </c>
    </row>
    <row r="51" spans="1:7" ht="20.100000000000001" customHeight="1" x14ac:dyDescent="0.2">
      <c r="A51" s="5" t="str">
        <f>HYPERLINK("#'Constants - Fuel'!A1", "Constants - Fuel")</f>
        <v>Constants - Fuel</v>
      </c>
    </row>
    <row r="52" spans="1:7" ht="20.100000000000001" customHeight="1" x14ac:dyDescent="0.2">
      <c r="A52" s="5" t="str">
        <f>HYPERLINK("#'Constants - Scope 3'!A1", "Constants - Scope 3")</f>
        <v>Constants - Scope 3</v>
      </c>
      <c r="D52" s="77" t="str">
        <f>"Net emissions for the activity period " &amp; TEXT(X_Cell_Site_StartDate, "d mmmm yyyy") &amp; " and " &amp; TEXT(X_Cell_Site_EndDate, "d mmmm yyyy")</f>
        <v>Net emissions for the activity period 1 January 2025 and 31 December 2025</v>
      </c>
    </row>
    <row r="53" spans="1:7" ht="20.100000000000001" customHeight="1" x14ac:dyDescent="0.2">
      <c r="A53" s="5" t="str">
        <f>HYPERLINK("#'Constants - Solid Waste'!A1", "Constants - Solid Waste")</f>
        <v>Constants - Solid Waste</v>
      </c>
    </row>
    <row r="54" spans="1:7" ht="20.100000000000001" customHeight="1" x14ac:dyDescent="0.2">
      <c r="A54" s="5" t="str">
        <f>HYPERLINK("#'Constants - Common'!A1", "Constants - Common")</f>
        <v>Constants - Common</v>
      </c>
      <c r="D54" s="11"/>
      <c r="E54" s="11" t="s">
        <v>130</v>
      </c>
      <c r="F54" s="11" t="s">
        <v>131</v>
      </c>
      <c r="G54" s="11"/>
    </row>
    <row r="55" spans="1:7" ht="20.100000000000001" customHeight="1" x14ac:dyDescent="0.2">
      <c r="A55" s="5" t="str">
        <f>HYPERLINK("#'Acknowledgements'!A1", "Acknowledgements")</f>
        <v>Acknowledgements</v>
      </c>
      <c r="D55" s="94" t="s">
        <v>250</v>
      </c>
      <c r="E55" s="92">
        <f ca="1">Result_Enterprise_Scope1_Method1+Result_Enterprise_Scope2_Method1+Result_Enterprise_Scope3_Method1</f>
        <v>2609.7773540210883</v>
      </c>
      <c r="F55" s="92">
        <f ca="1">Result_Enterprise_Scope1_Method2+Result_Enterprise_Scope2_Method2+Result_Enterprise_Scope3_Method2</f>
        <v>12453.072254021088</v>
      </c>
      <c r="G55" s="93" t="s">
        <v>251</v>
      </c>
    </row>
    <row r="56" spans="1:7" ht="20.100000000000001" customHeight="1" x14ac:dyDescent="0.2">
      <c r="D56" s="94" t="s">
        <v>252</v>
      </c>
      <c r="E56" s="92">
        <f ca="1">Result_Enterprise_Gross_Method1-Result_Enterprise_Removals</f>
        <v>2609.7773540210883</v>
      </c>
      <c r="F56" s="92">
        <f ca="1">Result_Enterprise_Gross_Method2-Result_Enterprise_Removals</f>
        <v>12453.072254021088</v>
      </c>
      <c r="G56" s="93" t="s">
        <v>251</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P56"/>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51.7109375" style="1" customWidth="1"/>
    <col min="5" max="13" width="30.7109375" style="1" customWidth="1"/>
    <col min="14" max="16" width="9.140625" style="1"/>
  </cols>
  <sheetData>
    <row r="1" spans="1:16" s="90" customFormat="1" ht="30" customHeight="1" x14ac:dyDescent="0.35">
      <c r="A1" s="10" t="e" vm="1">
        <v>#VALUE!</v>
      </c>
      <c r="C1" s="90" t="s">
        <v>255</v>
      </c>
    </row>
    <row r="2" spans="1:16" s="3" customFormat="1" ht="20.100000000000001" customHeight="1" x14ac:dyDescent="0.2">
      <c r="A2"/>
    </row>
    <row r="3" spans="1:16" ht="20.100000000000001" customHeight="1" x14ac:dyDescent="0.2">
      <c r="A3" s="5" t="str">
        <f>HYPERLINK("#'Home'!A1", "Home")</f>
        <v>Home</v>
      </c>
      <c r="C3" s="91"/>
      <c r="D3" s="91"/>
      <c r="E3" s="91"/>
      <c r="F3" s="91"/>
      <c r="G3" s="91"/>
      <c r="H3" s="91"/>
      <c r="I3" s="91"/>
      <c r="J3" s="91"/>
      <c r="K3" s="91"/>
      <c r="L3" s="91"/>
      <c r="M3" s="91"/>
      <c r="N3" s="91"/>
      <c r="O3" s="91"/>
      <c r="P3" s="91"/>
    </row>
    <row r="4" spans="1:16" ht="20.100000000000001" customHeight="1" x14ac:dyDescent="0.2">
      <c r="A4" s="5" t="str">
        <f>HYPERLINK("#'Results - Activity period'!A1", "Results - Activity period")</f>
        <v>Results - Activity period</v>
      </c>
    </row>
    <row r="5" spans="1:16" ht="20.100000000000001" customHeight="1" x14ac:dyDescent="0.2">
      <c r="A5" s="253" t="str">
        <f>HYPERLINK("#'Results - Product EI'!A1", "Results - Product Emissions Intensity")</f>
        <v>Results - Product Emissions Intensity</v>
      </c>
    </row>
    <row r="8" spans="1:16" ht="20.100000000000001" customHeight="1" x14ac:dyDescent="0.2">
      <c r="A8" s="7" t="s">
        <v>0</v>
      </c>
    </row>
    <row r="9" spans="1:16" ht="20.100000000000001" customHeight="1" x14ac:dyDescent="0.2">
      <c r="A9" s="5" t="str">
        <f>HYPERLINK("#'Input - Enterprise'!A1", "Enterprise")</f>
        <v>Enterprise</v>
      </c>
    </row>
    <row r="10" spans="1:16" ht="20.100000000000001" customHeight="1" x14ac:dyDescent="0.2">
      <c r="A10" s="5" t="str">
        <f>HYPERLINK("#'Input - Site'!A1", "Site")</f>
        <v>Site</v>
      </c>
    </row>
    <row r="11" spans="1:16" ht="20.100000000000001" customHeight="1" x14ac:dyDescent="0.2">
      <c r="A11" s="5" t="str">
        <f>HYPERLINK("#'Input - Feedlot'!A1", "Feedlot")</f>
        <v>Feedlot</v>
      </c>
    </row>
    <row r="12" spans="1:16" ht="20.100000000000001" customHeight="1" x14ac:dyDescent="0.2">
      <c r="A12" s="5" t="str">
        <f>HYPERLINK("#'Input - Livestock sales'!A1", "Livestock sales")</f>
        <v>Livestock sales</v>
      </c>
    </row>
    <row r="13" spans="1:16" ht="20.100000000000001" customHeight="1" x14ac:dyDescent="0.2">
      <c r="A13" s="5" t="str">
        <f>HYPERLINK("#'Input - Beef cattle purchases'!A1", "Beef cattle purchases")</f>
        <v>Beef cattle purchases</v>
      </c>
    </row>
    <row r="14" spans="1:16" ht="20.100000000000001" customHeight="1" x14ac:dyDescent="0.2">
      <c r="A14" s="5" t="str">
        <f>HYPERLINK("#'Input - Fuel'!A1", "Fuel")</f>
        <v>Fuel</v>
      </c>
    </row>
    <row r="15" spans="1:16" ht="20.100000000000001" customHeight="1" x14ac:dyDescent="0.2">
      <c r="A15" s="5" t="str">
        <f>HYPERLINK("#'Input - Electricity'!A1", "Electricity")</f>
        <v>Electricity</v>
      </c>
    </row>
    <row r="16" spans="1:16"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row>
    <row r="19" spans="1:4" ht="20.100000000000001" customHeight="1" x14ac:dyDescent="0.2">
      <c r="A19" s="5" t="str">
        <f>HYPERLINK("#'Input - Solid waste'!A1", "Solid waste")</f>
        <v>Solid waste</v>
      </c>
    </row>
    <row r="20" spans="1:4" ht="20.100000000000001" customHeight="1" x14ac:dyDescent="0.2">
      <c r="A20" s="5" t="str">
        <f>HYPERLINK("#'Input - Manure sent off-site'!A1", "Manure sent off-site")</f>
        <v>Manure sent off-site</v>
      </c>
    </row>
    <row r="21" spans="1:4" ht="20.100000000000001" customHeight="1" x14ac:dyDescent="0.2">
      <c r="A21" s="5" t="str">
        <f>HYPERLINK("#'Input - Data quality'!A1", "Data quality")</f>
        <v>Data quality</v>
      </c>
    </row>
    <row r="22" spans="1:4" ht="20.100000000000001" customHeight="1" x14ac:dyDescent="0.2">
      <c r="A22" s="5" t="str">
        <f>HYPERLINK("#'Input - Fert Prod System'!A1", "Fert Prod System")</f>
        <v>Fert Prod System</v>
      </c>
    </row>
    <row r="23" spans="1:4" ht="20.100000000000001" customHeight="1" x14ac:dyDescent="0.2">
      <c r="A23" s="5" t="str">
        <f>HYPERLINK("#'Input - Fertiliser'!A1", "Fertiliser")</f>
        <v>Fertiliser</v>
      </c>
    </row>
    <row r="26" spans="1:4" ht="20.100000000000001" customHeight="1" x14ac:dyDescent="0.2">
      <c r="A26" s="6" t="s">
        <v>2</v>
      </c>
    </row>
    <row r="27" spans="1:4" ht="20.100000000000001" customHeight="1" x14ac:dyDescent="0.2">
      <c r="A27" s="5" t="str">
        <f>HYPERLINK("#'3.1.1.1-2 Enteric Methane'!A1", "3.1.1.1-2 Enteric Methane")</f>
        <v>3.1.1.1-2 Enteric Methane</v>
      </c>
    </row>
    <row r="28" spans="1:4" ht="20.100000000000001" customHeight="1" x14ac:dyDescent="0.2">
      <c r="A28" s="5" t="str">
        <f>HYPERLINK("#'4.1.1.1-2 Methane'!A1", "4.1.1.1-2 Manure Methane")</f>
        <v>4.1.1.1-2 Manure Methane</v>
      </c>
    </row>
    <row r="29" spans="1:4" ht="20.100000000000001" customHeight="1" x14ac:dyDescent="0.2">
      <c r="A29" s="5" t="str">
        <f>HYPERLINK("#'4.1.1.3-4 Direct N20'!A1", "4.1.1.3-4 Manure Direct N2O")</f>
        <v>4.1.1.3-4 Manure Direct N2O</v>
      </c>
    </row>
    <row r="30" spans="1:4" ht="20.100000000000001" customHeight="1" x14ac:dyDescent="0.2">
      <c r="A30" s="5" t="str">
        <f>HYPERLINK("#'4.1.1.5-6 Atmos Deposition'!A1", "4.1.1.5-6 Manure Atmos Dep")</f>
        <v>4.1.1.5-6 Manure Atmos Dep</v>
      </c>
    </row>
    <row r="31" spans="1:4" ht="20.100000000000001" customHeight="1" x14ac:dyDescent="0.2">
      <c r="A31" s="5" t="str">
        <f>HYPERLINK("#'4.1.1.9 Manure applied to soils'!A1", "4.1.1.9 Manure applied to soils")</f>
        <v>4.1.1.9 Manure applied to soils</v>
      </c>
    </row>
    <row r="32" spans="1:4" ht="20.100000000000001" customHeight="1" x14ac:dyDescent="0.2">
      <c r="A32" s="5" t="str">
        <f>HYPERLINK("#'8.1.1.1-2 Transport fuel'!A1", "8.1.1.1-2 Transport fuel")</f>
        <v>8.1.1.1-2 Transport fuel</v>
      </c>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3" spans="1:10" ht="20.100000000000001" customHeight="1" x14ac:dyDescent="0.2">
      <c r="A33" s="5" t="str">
        <f>HYPERLINK("#'8.2.1.1-2 Stationary fuel'!A1", "8.2.1.1-2 Stationary fuel")</f>
        <v>8.2.1.1-2 Stationary fuel</v>
      </c>
    </row>
    <row r="34" spans="1:10" ht="20.100000000000001" customHeight="1" x14ac:dyDescent="0.2">
      <c r="A34" s="5" t="str">
        <f>HYPERLINK("#'10.1.1-2 Solid waste treatment'!A1", "10.1.1.1-2 Solid waste")</f>
        <v>10.1.1.1-2 Solid waste</v>
      </c>
    </row>
    <row r="35" spans="1:10" ht="20.100000000000001" customHeight="1" x14ac:dyDescent="0.2">
      <c r="A35" s="5" t="str">
        <f>HYPERLINK("#'14.1.1-2 Purchased electricity'!A1", "14.1.1-2 Purchased electricity")</f>
        <v>14.1.1-2 Purchased electricity</v>
      </c>
      <c r="D35" s="11"/>
      <c r="E35" s="11" t="s">
        <v>130</v>
      </c>
      <c r="F35" s="11" t="s">
        <v>131</v>
      </c>
      <c r="G35" s="11"/>
    </row>
    <row r="36" spans="1:10" ht="20.100000000000001" customHeight="1" x14ac:dyDescent="0.2">
      <c r="A36" s="5" t="str">
        <f>HYPERLINK("#'15 Scope 3'!A1", "15 Scope 3")</f>
        <v>15 Scope 3</v>
      </c>
      <c r="D36" s="75" t="s">
        <v>253</v>
      </c>
      <c r="E36" s="1">
        <f ca="1">Result_EmissionsForWholeProductionCycle_Gross_Method1</f>
        <v>2609.7773540210883</v>
      </c>
      <c r="F36" s="1">
        <f ca="1">Result_EmissionsForWholeProductionCycle_Gross_Method2</f>
        <v>12453.072254021088</v>
      </c>
      <c r="G36" s="9" t="s">
        <v>7</v>
      </c>
    </row>
    <row r="37" spans="1:10" ht="20.100000000000001" customHeight="1" x14ac:dyDescent="0.2">
      <c r="A37" s="5" t="str">
        <f>HYPERLINK("#'Calcs - Manure sent off-site'!A1", "Calcs - Manure sent off-site")</f>
        <v>Calcs - Manure sent off-site</v>
      </c>
      <c r="D37" s="75" t="s">
        <v>254</v>
      </c>
      <c r="E37" s="1">
        <f ca="1">Result_EmissionsForWholeProductionCycle_Net_Method1</f>
        <v>2609.7773540210883</v>
      </c>
      <c r="F37" s="1">
        <f ca="1">Result_EmissionsForWholeProductionCycle_Net_Method2</f>
        <v>12453.072254021088</v>
      </c>
      <c r="G37" s="9" t="s">
        <v>7</v>
      </c>
    </row>
    <row r="38" spans="1:10" ht="20.100000000000001" customHeight="1" x14ac:dyDescent="0.2">
      <c r="A38" s="5" t="str">
        <f>HYPERLINK("#'5.1.1.1-2 Inorganic fert N2O'!A1", "5.1.1.1-2 Inorganic fert N2O")</f>
        <v>5.1.1.1-2 Inorganic fert N2O</v>
      </c>
    </row>
    <row r="39" spans="1:10" ht="20.100000000000001" customHeight="1" x14ac:dyDescent="0.2">
      <c r="A39" s="5" t="str">
        <f>HYPERLINK("#'5.1.1.3-4 Inorganic fert CO2'!A1", "5.1.1.3-4 Inorganic fert CO2")</f>
        <v>5.1.1.3-4 Inorganic fert CO2</v>
      </c>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0" spans="1:10" ht="20.100000000000001" customHeight="1" x14ac:dyDescent="0.2">
      <c r="A40" s="5" t="str">
        <f>HYPERLINK("#'5.2.1.1-2 Organic Fert N2O'!A1", "5.2.1.1-2 Organic Fert N2O")</f>
        <v>5.2.1.1-2 Organic Fert N2O</v>
      </c>
    </row>
    <row r="41" spans="1:10" ht="20.100000000000001" customHeight="1" x14ac:dyDescent="0.2">
      <c r="A41" s="5" t="str">
        <f>HYPERLINK("#'5.3.1.1-2 Lime CO2'!A1", "5.3.1.1-2 Lime CO2")</f>
        <v>5.3.1.1-2 Lime CO2</v>
      </c>
    </row>
    <row r="42" spans="1:10" ht="20.100000000000001" customHeight="1" x14ac:dyDescent="0.2">
      <c r="A42" s="5" t="str">
        <f>HYPERLINK("#'5.4.1.1-4 Atmos deposition'!A1", "5.4.1.1-4 Atmos deposition")</f>
        <v>5.4.1.1-4 Atmos deposition</v>
      </c>
      <c r="D42" s="77" t="s">
        <v>145</v>
      </c>
    </row>
    <row r="43" spans="1:10" ht="20.100000000000001" customHeight="1" x14ac:dyDescent="0.2">
      <c r="A43" s="5" t="str">
        <f>HYPERLINK("#'5.5.1.1-2 Leaching and runoff'!A1", "5.5.1.1-2 Leaching and runoff")</f>
        <v>5.5.1.1-2 Leaching and runoff</v>
      </c>
      <c r="D43" s="11" t="s">
        <v>132</v>
      </c>
      <c r="E43" s="11" t="s">
        <v>121</v>
      </c>
      <c r="F43" s="11" t="s">
        <v>117</v>
      </c>
      <c r="G43" s="11" t="s">
        <v>142</v>
      </c>
      <c r="H43" s="11" t="s">
        <v>119</v>
      </c>
      <c r="I43" s="11" t="s">
        <v>120</v>
      </c>
      <c r="J43" s="11" t="s">
        <v>118</v>
      </c>
    </row>
    <row r="44" spans="1:10" ht="20.100000000000001" customHeight="1" x14ac:dyDescent="0.2">
      <c r="D44" s="1" t="s">
        <v>274</v>
      </c>
      <c r="E44" s="1" t="s">
        <v>122</v>
      </c>
      <c r="F44" s="1">
        <f>X_Cell_Enterprise_LiveweightSold</f>
        <v>5</v>
      </c>
      <c r="G44" s="1">
        <f>F44/(F44+F46)</f>
        <v>0.83333333333333337</v>
      </c>
      <c r="H44" s="1">
        <f ca="1">(E36/F44)*G44</f>
        <v>434.96289233684803</v>
      </c>
      <c r="I44" s="1">
        <f ca="1">(F36/F44)*G44</f>
        <v>2075.512042336848</v>
      </c>
      <c r="J44" s="9" t="s">
        <v>279</v>
      </c>
    </row>
    <row r="45" spans="1:10" ht="20.100000000000001" customHeight="1" x14ac:dyDescent="0.2">
      <c r="D45" s="1" t="s">
        <v>275</v>
      </c>
      <c r="E45" s="1" t="s">
        <v>122</v>
      </c>
      <c r="F45" s="1">
        <f>F44</f>
        <v>5</v>
      </c>
      <c r="G45" s="1">
        <f>G44</f>
        <v>0.83333333333333337</v>
      </c>
      <c r="H45" s="1">
        <f ca="1">(E37/F45)*G45</f>
        <v>434.96289233684803</v>
      </c>
      <c r="I45" s="1">
        <f ca="1">(F37/F45)*G45</f>
        <v>2075.512042336848</v>
      </c>
      <c r="J45" s="9" t="s">
        <v>279</v>
      </c>
    </row>
    <row r="46" spans="1:10" ht="20.100000000000001" customHeight="1" x14ac:dyDescent="0.2">
      <c r="A46" s="80" t="s">
        <v>1</v>
      </c>
      <c r="D46" s="1" t="s">
        <v>276</v>
      </c>
      <c r="E46" s="1" t="s">
        <v>123</v>
      </c>
      <c r="F46" s="1">
        <f>X_Cell_Enterprise_ManureProduced*X_Cell_Enterprise_PercentManureSold</f>
        <v>1</v>
      </c>
      <c r="G46" s="1">
        <f>F46/(F44+F46)</f>
        <v>0.16666666666666666</v>
      </c>
      <c r="H46" s="1">
        <f ca="1">(E36/F46)*G46</f>
        <v>434.96289233684803</v>
      </c>
      <c r="I46" s="1">
        <f ca="1">(F36/F46)*G46</f>
        <v>2075.512042336848</v>
      </c>
      <c r="J46" s="9" t="s">
        <v>280</v>
      </c>
    </row>
    <row r="47" spans="1:10" ht="20.100000000000001" customHeight="1" x14ac:dyDescent="0.2">
      <c r="A47" s="5" t="str">
        <f>HYPERLINK("#'Constants - Feedlot'!A1", "Constants - Feedlot")</f>
        <v>Constants - Feedlot</v>
      </c>
      <c r="D47" s="1" t="s">
        <v>277</v>
      </c>
      <c r="E47" s="1" t="s">
        <v>123</v>
      </c>
      <c r="F47" s="1">
        <f>F46</f>
        <v>1</v>
      </c>
      <c r="G47" s="1">
        <f>G46</f>
        <v>0.16666666666666666</v>
      </c>
      <c r="H47" s="96">
        <f ca="1">(E37/F47)*G47</f>
        <v>434.96289233684803</v>
      </c>
      <c r="I47" s="96">
        <f ca="1">(F37/F47)*G47</f>
        <v>2075.512042336848</v>
      </c>
      <c r="J47" s="9" t="s">
        <v>280</v>
      </c>
    </row>
    <row r="48" spans="1:10" ht="20.100000000000001" customHeight="1" x14ac:dyDescent="0.2">
      <c r="A48" s="5" t="str">
        <f>HYPERLINK("#'Constants - Common livestock'!A1", "Constants - Common Livestock")</f>
        <v>Constants - Common Livestock</v>
      </c>
      <c r="D48" s="1" t="s">
        <v>278</v>
      </c>
      <c r="E48" s="1" t="s">
        <v>125</v>
      </c>
      <c r="F48" s="1">
        <f>X_Cell_Enterprise_ManureProduced*X_Cell_Enterprise_PercentManureFertiliserOwnFarm</f>
        <v>1</v>
      </c>
      <c r="G48" s="1" t="s">
        <v>124</v>
      </c>
      <c r="H48" s="1" t="s">
        <v>124</v>
      </c>
      <c r="I48" s="1" t="s">
        <v>124</v>
      </c>
      <c r="J48" s="9"/>
    </row>
    <row r="49" spans="1:10" ht="20.100000000000001" customHeight="1" x14ac:dyDescent="0.2">
      <c r="A49" s="5" t="str">
        <f>HYPERLINK("#'Constants - Electricity'!A1", "Constants - Electricity")</f>
        <v>Constants - Electricity</v>
      </c>
    </row>
    <row r="50" spans="1:10" ht="20.100000000000001" customHeight="1" x14ac:dyDescent="0.2">
      <c r="A50" s="5" t="str">
        <f>HYPERLINK("#'Constants - Fertiliser'!A1", "Constants - Fertiliser")</f>
        <v>Constants - Fertiliser</v>
      </c>
      <c r="D50" s="77" t="s">
        <v>146</v>
      </c>
    </row>
    <row r="51" spans="1:10" ht="20.100000000000001" customHeight="1" x14ac:dyDescent="0.2">
      <c r="A51" s="5" t="str">
        <f>HYPERLINK("#'Constants - Fuel'!A1", "Constants - Fuel")</f>
        <v>Constants - Fuel</v>
      </c>
      <c r="D51" s="11" t="s">
        <v>132</v>
      </c>
      <c r="E51" s="11" t="s">
        <v>121</v>
      </c>
      <c r="F51" s="11" t="s">
        <v>117</v>
      </c>
      <c r="G51" s="11" t="s">
        <v>141</v>
      </c>
      <c r="H51" s="11" t="s">
        <v>143</v>
      </c>
      <c r="I51" s="11" t="s">
        <v>144</v>
      </c>
      <c r="J51" s="11" t="s">
        <v>118</v>
      </c>
    </row>
    <row r="52" spans="1:10" ht="20.100000000000001" customHeight="1" x14ac:dyDescent="0.2">
      <c r="A52" s="5" t="str">
        <f>HYPERLINK("#'Constants - Scope 3'!A1", "Constants - Scope 3")</f>
        <v>Constants - Scope 3</v>
      </c>
      <c r="D52" s="1" t="s">
        <v>274</v>
      </c>
      <c r="E52" s="1" t="s">
        <v>122</v>
      </c>
      <c r="F52" s="1">
        <f>X_Cell_Enterprise_LiveweightSold</f>
        <v>5</v>
      </c>
      <c r="G52" s="1">
        <f>X_Cell_Enterprise_PercentIncomeFromLiveweightSold</f>
        <v>0.8</v>
      </c>
      <c r="H52" s="1">
        <f ca="1">E36*G52/F52</f>
        <v>417.5643766433742</v>
      </c>
      <c r="I52" s="1">
        <f ca="1">F36*G52/F52</f>
        <v>1992.4915606433744</v>
      </c>
      <c r="J52" s="9" t="s">
        <v>279</v>
      </c>
    </row>
    <row r="53" spans="1:10" ht="20.100000000000001" customHeight="1" x14ac:dyDescent="0.2">
      <c r="A53" s="5" t="str">
        <f>HYPERLINK("#'Constants - Solid Waste'!A1", "Constants - Solid Waste")</f>
        <v>Constants - Solid Waste</v>
      </c>
      <c r="D53" s="1" t="s">
        <v>275</v>
      </c>
      <c r="E53" s="1" t="s">
        <v>122</v>
      </c>
      <c r="F53" s="1">
        <f>F52</f>
        <v>5</v>
      </c>
      <c r="G53" s="1">
        <f>G52</f>
        <v>0.8</v>
      </c>
      <c r="H53" s="1">
        <f ca="1">E37*G53/F53</f>
        <v>417.5643766433742</v>
      </c>
      <c r="I53" s="1">
        <f ca="1">F37*G53/F53</f>
        <v>1992.4915606433744</v>
      </c>
      <c r="J53" s="9" t="s">
        <v>279</v>
      </c>
    </row>
    <row r="54" spans="1:10" ht="20.100000000000001" customHeight="1" x14ac:dyDescent="0.2">
      <c r="A54" s="5" t="str">
        <f>HYPERLINK("#'Constants - Common'!A1", "Constants - Common")</f>
        <v>Constants - Common</v>
      </c>
      <c r="D54" s="1" t="s">
        <v>276</v>
      </c>
      <c r="E54" s="1" t="s">
        <v>123</v>
      </c>
      <c r="F54" s="1">
        <f>X_Cell_Enterprise_ManureProduced*X_Cell_Enterprise_PercentManureSold</f>
        <v>1</v>
      </c>
      <c r="G54" s="1">
        <f>X_Cell_Enterprise_PercentIncomeFromManureSold</f>
        <v>0.2</v>
      </c>
      <c r="H54" s="1">
        <f ca="1">E36*G54/F54</f>
        <v>521.95547080421773</v>
      </c>
      <c r="I54" s="1">
        <f ca="1">F36*G54/F54</f>
        <v>2490.614450804218</v>
      </c>
      <c r="J54" s="9" t="s">
        <v>280</v>
      </c>
    </row>
    <row r="55" spans="1:10" ht="20.100000000000001" customHeight="1" x14ac:dyDescent="0.2">
      <c r="A55" s="5" t="str">
        <f>HYPERLINK("#'Acknowledgements'!A1", "Acknowledgements")</f>
        <v>Acknowledgements</v>
      </c>
      <c r="D55" s="1" t="s">
        <v>277</v>
      </c>
      <c r="E55" s="1" t="s">
        <v>123</v>
      </c>
      <c r="F55" s="1">
        <f>F54</f>
        <v>1</v>
      </c>
      <c r="G55" s="1">
        <f>G54</f>
        <v>0.2</v>
      </c>
      <c r="H55" s="1">
        <f ca="1">E37*G55/F55</f>
        <v>521.95547080421773</v>
      </c>
      <c r="I55" s="1">
        <f ca="1">F37*G55/F55</f>
        <v>2490.614450804218</v>
      </c>
      <c r="J55" s="9" t="s">
        <v>280</v>
      </c>
    </row>
    <row r="56" spans="1:10" ht="20.100000000000001" customHeight="1" x14ac:dyDescent="0.2">
      <c r="D56" s="1" t="s">
        <v>278</v>
      </c>
      <c r="E56" s="1" t="s">
        <v>125</v>
      </c>
      <c r="F56" s="1">
        <f>X_Cell_Enterprise_ManureProduced*X_Cell_Enterprise_PercentManureFertiliserOwnFarm</f>
        <v>1</v>
      </c>
      <c r="G56" s="1" t="s">
        <v>124</v>
      </c>
      <c r="H56" s="1" t="s">
        <v>124</v>
      </c>
      <c r="I56" s="1" t="s">
        <v>124</v>
      </c>
      <c r="J56"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78"/>
  <sheetViews>
    <sheetView showGridLines="0" zoomScaleNormal="100" workbookViewId="0">
      <pane xSplit="1" topLeftCell="B1" activePane="topRight" state="frozenSplit"/>
      <selection pane="topRight" activeCell="A54" sqref="A54"/>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30" customHeight="1" x14ac:dyDescent="0.35">
      <c r="A1" s="10" t="e" vm="1">
        <v>#VALUE!</v>
      </c>
      <c r="C1" s="27" t="s">
        <v>139</v>
      </c>
      <c r="D1" s="21"/>
      <c r="E1" s="21"/>
      <c r="F1" s="21"/>
      <c r="G1" s="21"/>
      <c r="H1" s="21"/>
      <c r="I1" s="21"/>
      <c r="J1" s="21"/>
    </row>
    <row r="2" spans="1:10" ht="20.100000000000001" customHeight="1" x14ac:dyDescent="0.2">
      <c r="C2" s="3"/>
      <c r="D2" s="3"/>
      <c r="E2" s="3"/>
      <c r="F2" s="3"/>
      <c r="G2" s="3"/>
      <c r="H2" s="3"/>
      <c r="I2" s="3"/>
      <c r="J2" s="3"/>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87</v>
      </c>
      <c r="E5" s="24"/>
      <c r="F5" s="24"/>
      <c r="G5" s="24"/>
    </row>
    <row r="6" spans="1:10" ht="20.100000000000001" customHeight="1" x14ac:dyDescent="0.2">
      <c r="D6" s="31"/>
      <c r="E6" s="24"/>
      <c r="F6" s="24"/>
      <c r="G6" s="24"/>
    </row>
    <row r="7" spans="1:10" ht="20.100000000000001" customHeight="1" x14ac:dyDescent="0.2">
      <c r="D7" s="1" t="s">
        <v>88</v>
      </c>
      <c r="E7" s="33" t="s">
        <v>89</v>
      </c>
      <c r="F7" s="16"/>
      <c r="G7" s="24"/>
    </row>
    <row r="8" spans="1:10" ht="20.100000000000001" customHeight="1" x14ac:dyDescent="0.2">
      <c r="A8" s="7" t="s">
        <v>0</v>
      </c>
      <c r="D8" s="12" t="s">
        <v>90</v>
      </c>
      <c r="E8" s="33" t="s">
        <v>91</v>
      </c>
      <c r="F8" s="24"/>
      <c r="G8" s="24"/>
    </row>
    <row r="9" spans="1:10" ht="20.100000000000001" customHeight="1" x14ac:dyDescent="0.2">
      <c r="A9" s="101" t="str">
        <f>HYPERLINK("#'Input - Enterprise'!A1", "Enterprise")</f>
        <v>Enterprise</v>
      </c>
      <c r="D9" s="24"/>
      <c r="E9" s="24"/>
      <c r="F9" s="24"/>
      <c r="G9" s="24"/>
    </row>
    <row r="10" spans="1:10" ht="20.100000000000001" customHeight="1" x14ac:dyDescent="0.2">
      <c r="A10" s="5" t="str">
        <f>HYPERLINK("#'Input - Site'!A1", "Site")</f>
        <v>Site</v>
      </c>
      <c r="D10" s="35" t="s">
        <v>92</v>
      </c>
      <c r="E10" s="36"/>
      <c r="F10" s="37"/>
      <c r="G10" s="38"/>
    </row>
    <row r="11" spans="1:10" ht="20.100000000000001" customHeight="1" x14ac:dyDescent="0.2">
      <c r="A11" s="5" t="str">
        <f>HYPERLINK("#'Input - Feedlot'!A1", "Feedlot")</f>
        <v>Feedlot</v>
      </c>
      <c r="D11" s="24"/>
      <c r="E11" s="24"/>
      <c r="F11" s="24"/>
      <c r="G11" s="24"/>
    </row>
    <row r="12" spans="1:10" ht="20.100000000000001" customHeight="1" x14ac:dyDescent="0.2">
      <c r="A12" s="5" t="str">
        <f>HYPERLINK("#'Input - Livestock sales'!A1", "Livestock sales")</f>
        <v>Livestock sales</v>
      </c>
      <c r="D12" s="12" t="s">
        <v>16</v>
      </c>
      <c r="E12" s="14">
        <v>45658</v>
      </c>
      <c r="F12" s="16" t="s">
        <v>93</v>
      </c>
      <c r="G12" s="24"/>
    </row>
    <row r="13" spans="1:10" ht="20.100000000000001" customHeight="1" x14ac:dyDescent="0.2">
      <c r="A13" s="5" t="str">
        <f>HYPERLINK("#'Input - Beef cattle purchases'!A1", "Beef cattle purchases")</f>
        <v>Beef cattle purchases</v>
      </c>
      <c r="D13" s="12" t="s">
        <v>17</v>
      </c>
      <c r="E13" s="40">
        <f>DATE(YEAR(E12)+1,MONTH(E12),DAY(E12))-1</f>
        <v>46022</v>
      </c>
      <c r="F13" s="16" t="s">
        <v>94</v>
      </c>
      <c r="G13" s="24"/>
    </row>
    <row r="14" spans="1:10" ht="20.100000000000001" customHeight="1" x14ac:dyDescent="0.2">
      <c r="A14" s="5" t="str">
        <f>HYPERLINK("#'Input - Fuel'!A1", "Fuel")</f>
        <v>Fuel</v>
      </c>
      <c r="F14" s="24"/>
      <c r="G14" s="24"/>
    </row>
    <row r="15" spans="1:10" ht="20.100000000000001" customHeight="1" x14ac:dyDescent="0.2">
      <c r="A15" s="5" t="str">
        <f>HYPERLINK("#'Input - Electricity'!A1", "Electricity")</f>
        <v>Electricity</v>
      </c>
    </row>
    <row r="16" spans="1:10" ht="20.100000000000001" customHeight="1" x14ac:dyDescent="0.2">
      <c r="A16" s="5" t="str">
        <f>HYPERLINK("#'Input - Common farm inputs'!A1", "Common farm inputs")</f>
        <v>Common farm inputs</v>
      </c>
      <c r="D16" s="2" t="s">
        <v>18</v>
      </c>
    </row>
    <row r="17" spans="1:6" ht="20.100000000000001" customHeight="1" x14ac:dyDescent="0.2">
      <c r="A17" s="5" t="str">
        <f>HYPERLINK("#'Input - Livestock farm Inputs'!A1", "Livestock farm Inputs")</f>
        <v>Livestock farm Inputs</v>
      </c>
    </row>
    <row r="18" spans="1:6" ht="20.100000000000001" customHeight="1" x14ac:dyDescent="0.2">
      <c r="A18" s="5" t="str">
        <f>HYPERLINK("#'Input - Freight'!A1", "Freight")</f>
        <v>Freight</v>
      </c>
      <c r="D18" s="1" t="s">
        <v>13</v>
      </c>
      <c r="E18" s="14">
        <v>45962</v>
      </c>
      <c r="F18" s="16" t="s">
        <v>93</v>
      </c>
    </row>
    <row r="19" spans="1:6" ht="20.100000000000001" customHeight="1" x14ac:dyDescent="0.2">
      <c r="A19" s="5" t="str">
        <f>HYPERLINK("#'Input - Solid waste'!A1", "Solid waste")</f>
        <v>Solid waste</v>
      </c>
      <c r="D19" s="1" t="s">
        <v>14</v>
      </c>
      <c r="E19" s="14">
        <v>46112</v>
      </c>
      <c r="F19" s="16" t="s">
        <v>93</v>
      </c>
    </row>
    <row r="20" spans="1:6" ht="20.100000000000001" customHeight="1" x14ac:dyDescent="0.2">
      <c r="A20" s="5" t="str">
        <f>HYPERLINK("#'Input - Manure sent off-site'!A1", "Manure sent off-site")</f>
        <v>Manure sent off-site</v>
      </c>
      <c r="D20" s="1" t="s">
        <v>15</v>
      </c>
      <c r="E20" s="15">
        <f>DATEDIF(E18,E19+1,"m")</f>
        <v>5</v>
      </c>
      <c r="F20" s="16" t="s">
        <v>116</v>
      </c>
    </row>
    <row r="21" spans="1:6" ht="20.100000000000001" customHeight="1" x14ac:dyDescent="0.2">
      <c r="A21" s="5" t="str">
        <f>HYPERLINK("#'Input - Data quality'!A1", "Data quality")</f>
        <v>Data quality</v>
      </c>
    </row>
    <row r="22" spans="1:6" ht="20.100000000000001" customHeight="1" x14ac:dyDescent="0.2">
      <c r="A22" s="5" t="str">
        <f>HYPERLINK("#'Input - Fert Prod System'!A1", "Fert Prod System")</f>
        <v>Fert Prod System</v>
      </c>
      <c r="D22" s="1" t="s">
        <v>265</v>
      </c>
      <c r="E22" s="76">
        <f>SUM(Table_Input_LivestockSales[Total liveweight sold])*10^-3</f>
        <v>5</v>
      </c>
      <c r="F22" s="16" t="s">
        <v>19</v>
      </c>
    </row>
    <row r="23" spans="1:6" ht="20.100000000000001" customHeight="1" x14ac:dyDescent="0.2">
      <c r="A23" s="5" t="str">
        <f>HYPERLINK("#'Input - Fertiliser'!A1", "Fertiliser")</f>
        <v>Fertiliser</v>
      </c>
      <c r="D23" s="1" t="s">
        <v>266</v>
      </c>
      <c r="E23" s="74">
        <v>10</v>
      </c>
      <c r="F23" s="16" t="s">
        <v>19</v>
      </c>
    </row>
    <row r="24" spans="1:6" ht="20.100000000000001" customHeight="1" x14ac:dyDescent="0.2">
      <c r="D24" s="1" t="s">
        <v>272</v>
      </c>
      <c r="E24" s="18">
        <v>0.1</v>
      </c>
      <c r="F24" s="16" t="s">
        <v>140</v>
      </c>
    </row>
    <row r="25" spans="1:6" ht="20.100000000000001" customHeight="1" x14ac:dyDescent="0.2">
      <c r="D25" s="1" t="s">
        <v>273</v>
      </c>
      <c r="E25" s="18">
        <v>0.1</v>
      </c>
      <c r="F25" s="16" t="s">
        <v>140</v>
      </c>
    </row>
    <row r="26" spans="1:6" ht="20.100000000000001" customHeight="1" x14ac:dyDescent="0.2">
      <c r="A26" s="6" t="s">
        <v>2</v>
      </c>
    </row>
    <row r="27" spans="1:6" ht="20.100000000000001" customHeight="1" x14ac:dyDescent="0.2">
      <c r="A27" s="5" t="str">
        <f>HYPERLINK("#'3.1.1.1-2 Enteric Methane'!A1", "3.1.1.1-2 Enteric Methane")</f>
        <v>3.1.1.1-2 Enteric Methane</v>
      </c>
      <c r="D27" s="1" t="s">
        <v>270</v>
      </c>
      <c r="E27" s="18">
        <v>0.8</v>
      </c>
      <c r="F27" s="16" t="s">
        <v>140</v>
      </c>
    </row>
    <row r="28" spans="1:6" ht="20.100000000000001" customHeight="1" x14ac:dyDescent="0.2">
      <c r="A28" s="5" t="str">
        <f>HYPERLINK("#'4.1.1.1-2 Methane'!A1", "4.1.1.1-2 Manure Methane")</f>
        <v>4.1.1.1-2 Manure Methane</v>
      </c>
      <c r="D28" s="1" t="s">
        <v>271</v>
      </c>
      <c r="E28" s="18">
        <v>0.2</v>
      </c>
      <c r="F28" s="16" t="s">
        <v>140</v>
      </c>
    </row>
    <row r="29" spans="1:6" ht="20.100000000000001" customHeight="1" x14ac:dyDescent="0.2">
      <c r="A29" s="5" t="str">
        <f>HYPERLINK("#'4.1.1.3-4 Direct N20'!A1", "4.1.1.3-4 Manure Direct N2O")</f>
        <v>4.1.1.3-4 Manure Direct N2O</v>
      </c>
    </row>
    <row r="30" spans="1:6" ht="20.100000000000001" customHeight="1" x14ac:dyDescent="0.2">
      <c r="A30" s="5" t="str">
        <f>HYPERLINK("#'4.1.1.5-6 Atmos Deposition'!A1", "4.1.1.5-6 Manure Atmos Dep")</f>
        <v>4.1.1.5-6 Manure Atmos Dep</v>
      </c>
    </row>
    <row r="31" spans="1:6" ht="20.100000000000001" customHeight="1" x14ac:dyDescent="0.2">
      <c r="A31" s="5" t="str">
        <f>HYPERLINK("#'4.1.1.9 Manure applied to soils'!A1", "4.1.1.9 Manure applied to soils")</f>
        <v>4.1.1.9 Manure applied to soils</v>
      </c>
      <c r="D31" s="2" t="s">
        <v>228</v>
      </c>
    </row>
    <row r="32" spans="1:6" ht="20.100000000000001" customHeight="1" x14ac:dyDescent="0.2">
      <c r="A32" s="5" t="str">
        <f>HYPERLINK("#'8.1.1.1-2 Transport fuel'!A1", "8.1.1.1-2 Transport fuel")</f>
        <v>8.1.1.1-2 Transport fuel</v>
      </c>
    </row>
    <row r="33" spans="1:7" ht="20.100000000000001" customHeight="1" x14ac:dyDescent="0.2">
      <c r="A33" s="5" t="str">
        <f>HYPERLINK("#'8.2.1.1-2 Stationary fuel'!A1", "8.2.1.1-2 Stationary fuel")</f>
        <v>8.2.1.1-2 Stationary fuel</v>
      </c>
    </row>
    <row r="34" spans="1:7" ht="20.100000000000001" customHeight="1" x14ac:dyDescent="0.2">
      <c r="A34" s="5" t="str">
        <f>HYPERLINK("#'10.1.1-2 Solid waste treatment'!A1", "10.1.1.1-2 Solid waste")</f>
        <v>10.1.1.1-2 Solid waste</v>
      </c>
      <c r="D34" s="77" t="str">
        <f>"Carbon captured from " &amp; TEXT(X_Cell_Site_StartDate, "d mmmm yyyy") &amp; " to " &amp; TEXT(X_Cell_Site_EndDate, "d, mmmm, yyyy") &amp; " from environmental plantings"</f>
        <v>Carbon captured from 1 January 2025 to 31, December, 2025 from environmental plantings</v>
      </c>
    </row>
    <row r="35" spans="1:7" ht="20.100000000000001" customHeight="1" x14ac:dyDescent="0.2">
      <c r="A35" s="5" t="str">
        <f>HYPERLINK("#'14.1.1-2 Purchased electricity'!A1", "14.1.1-2 Purchased electricity")</f>
        <v>14.1.1-2 Purchased electricity</v>
      </c>
    </row>
    <row r="36" spans="1:7" ht="20.100000000000001" customHeight="1" x14ac:dyDescent="0.2">
      <c r="A36" s="5" t="str">
        <f>HYPERLINK("#'15 Scope 3'!A1", "15 Scope 3")</f>
        <v>15 Scope 3</v>
      </c>
      <c r="D36" s="19" t="s">
        <v>229</v>
      </c>
      <c r="E36" s="19" t="s">
        <v>230</v>
      </c>
      <c r="F36" s="19" t="s">
        <v>231</v>
      </c>
      <c r="G36" s="78" t="s">
        <v>232</v>
      </c>
    </row>
    <row r="37" spans="1:7" ht="20.100000000000001" customHeight="1" x14ac:dyDescent="0.2">
      <c r="A37" s="5" t="str">
        <f>HYPERLINK("#'Calcs - Manure sent off-site'!A1", "Calcs - Manure sent off-site")</f>
        <v>Calcs - Manure sent off-site</v>
      </c>
      <c r="D37" s="33"/>
      <c r="E37" s="74"/>
      <c r="F37" s="18"/>
      <c r="G37" s="1">
        <f>Table_Input_Enterprise_PlantingRemovals[[#This Row],[Total removed CO2]]*Table_Input_Enterprise_PlantingRemovals[[#This Row],[Percent allocated to this enterprise]]</f>
        <v>0</v>
      </c>
    </row>
    <row r="38" spans="1:7" ht="20.100000000000001" customHeight="1" x14ac:dyDescent="0.2">
      <c r="A38" s="5" t="str">
        <f>HYPERLINK("#'5.1.1.1-2 Inorganic fert N2O'!A1", "5.1.1.1-2 Inorganic fert N2O")</f>
        <v>5.1.1.1-2 Inorganic fert N2O</v>
      </c>
    </row>
    <row r="39" spans="1:7" ht="20.100000000000001" customHeight="1" x14ac:dyDescent="0.2">
      <c r="A39" s="5" t="str">
        <f>HYPERLINK("#'5.1.1.3-4 Inorganic fert CO2'!A1", "5.1.1.3-4 Inorganic fert CO2")</f>
        <v>5.1.1.3-4 Inorganic fert CO2</v>
      </c>
    </row>
    <row r="40" spans="1:7" ht="20.100000000000001" customHeight="1" x14ac:dyDescent="0.2">
      <c r="A40" s="5" t="str">
        <f>HYPERLINK("#'5.2.1.1-2 Organic Fert N2O'!A1", "5.2.1.1-2 Organic Fert N2O")</f>
        <v>5.2.1.1-2 Organic Fert N2O</v>
      </c>
    </row>
    <row r="41" spans="1:7" ht="20.100000000000001" customHeight="1" x14ac:dyDescent="0.2">
      <c r="A41" s="5" t="str">
        <f>HYPERLINK("#'5.3.1.1-2 Lime CO2'!A1", "5.3.1.1-2 Lime CO2")</f>
        <v>5.3.1.1-2 Lime CO2</v>
      </c>
      <c r="D41" s="2" t="s">
        <v>233</v>
      </c>
    </row>
    <row r="42" spans="1:7" ht="20.100000000000001" customHeight="1" x14ac:dyDescent="0.2">
      <c r="A42" s="5" t="str">
        <f>HYPERLINK("#'5.4.1.1-4 Atmos deposition'!A1", "5.4.1.1-4 Atmos deposition")</f>
        <v>5.4.1.1-4 Atmos deposition</v>
      </c>
    </row>
    <row r="43" spans="1:7" ht="20.100000000000001" customHeight="1" x14ac:dyDescent="0.2">
      <c r="A43" s="5" t="str">
        <f>HYPERLINK("#'5.5.1.1-2 Leaching and runoff'!A1", "5.5.1.1-2 Leaching and runoff")</f>
        <v>5.5.1.1-2 Leaching and runoff</v>
      </c>
      <c r="D43" s="77"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5" spans="1:7" ht="20.100000000000001" customHeight="1" x14ac:dyDescent="0.2">
      <c r="D45" s="87" t="str" cm="1">
        <f t="array" ref="D45">"There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6" spans="1:7" ht="20.100000000000001" customHeight="1" x14ac:dyDescent="0.2">
      <c r="A46" s="80" t="s">
        <v>1</v>
      </c>
      <c r="D46" s="1" t="s">
        <v>234</v>
      </c>
    </row>
    <row r="47" spans="1:7" ht="20.100000000000001" customHeight="1" x14ac:dyDescent="0.2">
      <c r="A47" s="5" t="str">
        <f>HYPERLINK("#'Constants - Feedlot'!A1", "Constants - Feedlot")</f>
        <v>Constants - Feedlot</v>
      </c>
    </row>
    <row r="48" spans="1:7" ht="20.100000000000001" customHeight="1" x14ac:dyDescent="0.2">
      <c r="A48" s="5" t="str">
        <f>HYPERLINK("#'Constants - Common livestock'!A1", "Constants - Common Livestock")</f>
        <v>Constants - Common Livestock</v>
      </c>
      <c r="D48" s="78" t="s">
        <v>115</v>
      </c>
      <c r="E48" s="78" t="s">
        <v>10</v>
      </c>
      <c r="F48" s="78" t="s">
        <v>11</v>
      </c>
    </row>
    <row r="49" spans="1:7" ht="20.100000000000001" customHeight="1" x14ac:dyDescent="0.2">
      <c r="A49" s="5" t="str">
        <f>HYPERLINK("#'Constants - Electricity'!A1", "Constants - Electricity")</f>
        <v>Constants - Electricity</v>
      </c>
      <c r="D49" s="1" t="str" cm="1">
        <f t="array" ref="D49:D50">Common_InputFunctions.getOverlappingReportingPeriods(X_Cell_Enterprise_ProductionTimeframeStart,X_Cell_Enterprise_ProductionTimeframeEnd,X_Cell_Site_StartDate)</f>
        <v>01 Jan 2025 to 31 Dec 2025 (This reporting cycle)</v>
      </c>
      <c r="E49" s="74">
        <f ca="1">IF(ISBLANK($D49), 0, IF(ISNUMBER(SEARCH("reporting", $D49)), Result_Enterprise_Gross_Method1, "Enter value"))</f>
        <v>2609.7773540210883</v>
      </c>
      <c r="F49" s="74">
        <f ca="1">IF(ISBLANK($D49), 0, IF(ISNUMBER(SEARCH("reporting", $D49)), Result_Enterprise_Gross_Method2, "Enter value"))</f>
        <v>12453.072254021088</v>
      </c>
      <c r="G49" s="9" t="s">
        <v>7</v>
      </c>
    </row>
    <row r="50" spans="1:7" ht="20.100000000000001" customHeight="1" x14ac:dyDescent="0.2">
      <c r="A50" s="5" t="str">
        <f>HYPERLINK("#'Constants - Fertiliser'!A1", "Constants - Fertiliser")</f>
        <v>Constants - Fertiliser</v>
      </c>
      <c r="D50" s="1" t="str">
        <v>01 Jan 2026 to 31 Dec 2026</v>
      </c>
      <c r="E50" s="74" t="str">
        <f>IF(ISBLANK($D50), 0, IF(ISNUMBER(SEARCH("reporting", $D50)), Result_Enterprise_Gross_Method1, "Enter value"))</f>
        <v>Enter value</v>
      </c>
      <c r="F50" s="74" t="str">
        <f>IF(ISBLANK($D50), 0, IF(ISNUMBER(SEARCH("reporting", $D50)), Result_Enterprise_Gross_Method2, "Enter value"))</f>
        <v>Enter value</v>
      </c>
      <c r="G50" s="9" t="s">
        <v>7</v>
      </c>
    </row>
    <row r="51" spans="1:7" ht="20.100000000000001" customHeight="1" x14ac:dyDescent="0.2">
      <c r="A51" s="5" t="str">
        <f>HYPERLINK("#'Constants - Fuel'!A1", "Constants - Fuel")</f>
        <v>Constants - Fuel</v>
      </c>
      <c r="E51" s="74">
        <f>IF(ISBLANK($D51), 0, IF(ISNUMBER(SEARCH("reporting", $D51)), Result_Enterprise_Gross_Method1, "Enter value"))</f>
        <v>0</v>
      </c>
      <c r="F51" s="74">
        <f>IF(ISBLANK($D51), 0, IF(ISNUMBER(SEARCH("reporting", $D51)), Result_Enterprise_Gross_Method2, "Enter value"))</f>
        <v>0</v>
      </c>
      <c r="G51" s="9" t="s">
        <v>7</v>
      </c>
    </row>
    <row r="52" spans="1:7" ht="20.100000000000001" customHeight="1" x14ac:dyDescent="0.2">
      <c r="A52" s="5" t="str">
        <f>HYPERLINK("#'Constants - Scope 3'!A1", "Constants - Scope 3")</f>
        <v>Constants - Scope 3</v>
      </c>
      <c r="E52" s="74">
        <f>IF(ISBLANK($D52), 0, IF(ISNUMBER(SEARCH("reporting", $D52)), Result_Enterprise_Gross_Method1, "Enter value"))</f>
        <v>0</v>
      </c>
      <c r="F52" s="74">
        <f>IF(ISBLANK($D52), 0, IF(ISNUMBER(SEARCH("reporting", $D52)), Result_Enterprise_Gross_Method2, "Enter value"))</f>
        <v>0</v>
      </c>
      <c r="G52" s="9" t="s">
        <v>7</v>
      </c>
    </row>
    <row r="53" spans="1:7" ht="20.100000000000001" customHeight="1" x14ac:dyDescent="0.2">
      <c r="A53" s="5" t="str">
        <f>HYPERLINK("#'Constants - Solid Waste'!A1", "Constants - Solid Waste")</f>
        <v>Constants - Solid Waste</v>
      </c>
      <c r="E53" s="74">
        <f>IF(ISBLANK($D53), 0, IF(ISNUMBER(SEARCH("reporting", $D53)), Result_Enterprise_Gross_Method1, "Enter value"))</f>
        <v>0</v>
      </c>
      <c r="F53" s="74">
        <f>IF(ISBLANK($D53), 0, IF(ISNUMBER(SEARCH("reporting", $D53)), Result_Enterprise_Gross_Method2, "Enter value"))</f>
        <v>0</v>
      </c>
      <c r="G53" s="9" t="s">
        <v>7</v>
      </c>
    </row>
    <row r="54" spans="1:7" ht="20.100000000000001" customHeight="1" x14ac:dyDescent="0.2">
      <c r="A54" s="5" t="str">
        <f>HYPERLINK("#'Constants - Common'!A1", "Constants - Common")</f>
        <v>Constants - Common</v>
      </c>
      <c r="D54" s="88" t="s">
        <v>128</v>
      </c>
      <c r="E54" s="83">
        <f ca="1">SUM(E49:E53)</f>
        <v>2609.7773540210883</v>
      </c>
      <c r="F54" s="83">
        <f ca="1">SUM(F49:F53)</f>
        <v>12453.072254021088</v>
      </c>
      <c r="G54" s="89" t="s">
        <v>7</v>
      </c>
    </row>
    <row r="55" spans="1:7" ht="20.100000000000001" customHeight="1" x14ac:dyDescent="0.2">
      <c r="A55" s="5" t="str">
        <f>HYPERLINK("#'Acknowledgements'!A1", "Acknowledgements")</f>
        <v>Acknowledgements</v>
      </c>
    </row>
    <row r="59" spans="1:7" ht="20.100000000000001" customHeight="1" x14ac:dyDescent="0.2">
      <c r="D59" s="77"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1" spans="1:7" ht="20.100000000000001" customHeight="1" x14ac:dyDescent="0.2">
      <c r="D61" s="78" t="s">
        <v>115</v>
      </c>
      <c r="E61" s="78" t="s">
        <v>126</v>
      </c>
      <c r="F61" s="78"/>
    </row>
    <row r="62" spans="1:7" ht="20.100000000000001" customHeight="1" x14ac:dyDescent="0.2">
      <c r="D62" s="1" t="str" cm="1">
        <f t="array" ref="D62:D63">Common_InputFunctions.getOverlappingReportingPeriods(X_Cell_Enterprise_ProductionTimeframeStart,X_Cell_Enterprise_ProductionTimeframeEnd,X_Cell_Site_StartDate)</f>
        <v>01 Jan 2025 to 31 Dec 2025 (This reporting cycle)</v>
      </c>
      <c r="E62" s="74">
        <f>IF(ISBLANK($D62), 0, IF(ISNUMBER(SEARCH("reporting", $D62)), SUM(Table_Input_Enterprise_PlantingRemovals[Removal allocated to this enterprise]), "Enter value"))</f>
        <v>0</v>
      </c>
      <c r="F62" s="9" t="s">
        <v>127</v>
      </c>
    </row>
    <row r="63" spans="1:7" ht="20.100000000000001" customHeight="1" x14ac:dyDescent="0.2">
      <c r="D63" s="1" t="str">
        <v>01 Jan 2026 to 31 Dec 2026</v>
      </c>
      <c r="E63" s="74" t="str">
        <f>IF(ISBLANK($D63), 0, IF(ISNUMBER(SEARCH("reporting", $D63)), SUM(Table_Input_Enterprise_PlantingRemovals[Removal allocated to this enterprise]), "Enter value"))</f>
        <v>Enter value</v>
      </c>
      <c r="F63" s="9" t="s">
        <v>127</v>
      </c>
    </row>
    <row r="64" spans="1:7" ht="20.100000000000001" customHeight="1" x14ac:dyDescent="0.2">
      <c r="E64" s="74">
        <f>IF(ISBLANK($D64), 0, IF(ISNUMBER(SEARCH("reporting", $D64)), SUM(Table_Input_Enterprise_PlantingRemovals[Removal allocated to this enterprise]), "Enter value"))</f>
        <v>0</v>
      </c>
      <c r="F64" s="9" t="s">
        <v>127</v>
      </c>
    </row>
    <row r="65" spans="1:7" ht="20.100000000000001" customHeight="1" x14ac:dyDescent="0.2">
      <c r="E65" s="74">
        <f>IF(ISBLANK($D65), 0, IF(ISNUMBER(SEARCH("reporting", $D65)), SUM(Table_Input_Enterprise_PlantingRemovals[Removal allocated to this enterprise]), "Enter value"))</f>
        <v>0</v>
      </c>
      <c r="F65" s="9" t="s">
        <v>127</v>
      </c>
    </row>
    <row r="66" spans="1:7" ht="20.100000000000001" customHeight="1" x14ac:dyDescent="0.2">
      <c r="A66" s="79" t="str">
        <f>HYPERLINK("#A1", "▲ Back to top")</f>
        <v>▲ Back to top</v>
      </c>
      <c r="E66" s="74">
        <f>IF(ISBLANK($D66), 0, IF(ISNUMBER(SEARCH("reporting", $D66)), SUM(Table_Input_Enterprise_PlantingRemovals[Removal allocated to this enterprise]), "Enter value"))</f>
        <v>0</v>
      </c>
      <c r="F66" s="9" t="s">
        <v>127</v>
      </c>
    </row>
    <row r="67" spans="1:7" ht="20.100000000000001" customHeight="1" x14ac:dyDescent="0.2">
      <c r="D67" s="88" t="s">
        <v>129</v>
      </c>
      <c r="E67" s="83">
        <f>SUM(E62:E66)</f>
        <v>0</v>
      </c>
      <c r="F67" s="89" t="s">
        <v>127</v>
      </c>
    </row>
    <row r="70" spans="1:7" ht="20.100000000000001" customHeight="1" x14ac:dyDescent="0.2">
      <c r="D70" s="77"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2" spans="1:7" ht="20.100000000000001" customHeight="1" x14ac:dyDescent="0.2">
      <c r="D72" s="78" t="s">
        <v>115</v>
      </c>
      <c r="E72" s="78" t="s">
        <v>10</v>
      </c>
      <c r="F72" s="78" t="s">
        <v>11</v>
      </c>
    </row>
    <row r="73" spans="1:7" ht="20.100000000000001" customHeight="1" x14ac:dyDescent="0.2">
      <c r="D73" s="1" t="str" cm="1">
        <f t="array" ref="D73:D74">Common_InputFunctions.getOverlappingReportingPeriods(X_Cell_Enterprise_ProductionTimeframeStart,X_Cell_Enterprise_ProductionTimeframeEnd,X_Cell_Site_StartDate)</f>
        <v>01 Jan 2025 to 31 Dec 2025 (This reporting cycle)</v>
      </c>
      <c r="E73" s="74">
        <f t="shared" ref="E73" ca="1" si="0">IF(ISBLANK($D73), 0, IF(ISNUMBER(SEARCH("reporting", $D73)), E49-$E$62, "Enter value"))</f>
        <v>2609.7773540210883</v>
      </c>
      <c r="F73" s="74">
        <f ca="1">IF(ISBLANK($D73), 0, IF(ISNUMBER(SEARCH("reporting", $D73)), F49-$E$62, "Enter value"))</f>
        <v>12453.072254021088</v>
      </c>
      <c r="G73" s="9" t="s">
        <v>7</v>
      </c>
    </row>
    <row r="74" spans="1:7" ht="20.100000000000001" customHeight="1" x14ac:dyDescent="0.2">
      <c r="D74" s="1" t="str">
        <v>01 Jan 2026 to 31 Dec 2026</v>
      </c>
      <c r="E74" s="74" t="str">
        <f>IF(ISBLANK($D74), 0, IF(ISNUMBER(SEARCH("reporting", $D74)), E50-$E$63, "Enter value"))</f>
        <v>Enter value</v>
      </c>
      <c r="F74" s="74" t="str">
        <f>IF(ISBLANK($D74), 0, IF(ISNUMBER(SEARCH("reporting", $D74)), F50-$E$63, "Enter value"))</f>
        <v>Enter value</v>
      </c>
      <c r="G74" s="9" t="s">
        <v>7</v>
      </c>
    </row>
    <row r="75" spans="1:7" ht="20.100000000000001" customHeight="1" x14ac:dyDescent="0.2">
      <c r="E75" s="74">
        <f>IF(ISBLANK($D75), 0, IF(ISNUMBER(SEARCH("reporting", $D75)), E51-$E$64, "Enter value"))</f>
        <v>0</v>
      </c>
      <c r="F75" s="74">
        <f>IF(ISBLANK($D75), 0, IF(ISNUMBER(SEARCH("reporting", $D75)), F51-$E$64, "Enter value"))</f>
        <v>0</v>
      </c>
      <c r="G75" s="9" t="s">
        <v>7</v>
      </c>
    </row>
    <row r="76" spans="1:7" ht="20.100000000000001" customHeight="1" x14ac:dyDescent="0.2">
      <c r="E76" s="74">
        <f>IF(ISBLANK($D76), 0, IF(ISNUMBER(SEARCH("reporting", $D76)), E52-$E$65, "Enter value"))</f>
        <v>0</v>
      </c>
      <c r="F76" s="74">
        <f>IF(ISBLANK($D76), 0, IF(ISNUMBER(SEARCH("reporting", $D76)), F52-$E$65, "Enter value"))</f>
        <v>0</v>
      </c>
      <c r="G76" s="9" t="s">
        <v>7</v>
      </c>
    </row>
    <row r="77" spans="1:7" ht="20.100000000000001" customHeight="1" x14ac:dyDescent="0.2">
      <c r="E77" s="74">
        <f>IF(ISBLANK($D77), 0, IF(ISNUMBER(SEARCH("reporting", $D77)), E53-$E$66, "Enter value"))</f>
        <v>0</v>
      </c>
      <c r="F77" s="74">
        <f>IF(ISBLANK($D77), 0, IF(ISNUMBER(SEARCH("reporting", $D77)), F53-$E$66, "Enter value"))</f>
        <v>0</v>
      </c>
      <c r="G77" s="9" t="s">
        <v>7</v>
      </c>
    </row>
    <row r="78" spans="1:7" ht="20.100000000000001" customHeight="1" x14ac:dyDescent="0.2">
      <c r="D78" s="88" t="s">
        <v>128</v>
      </c>
      <c r="E78" s="83">
        <f ca="1">SUM(E73:E77)</f>
        <v>2609.7773540210883</v>
      </c>
      <c r="F78" s="83">
        <f ca="1">SUM(F73:F77)</f>
        <v>12453.072254021088</v>
      </c>
      <c r="G78" s="89"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zoomScaleNormal="100" workbookViewId="0">
      <pane xSplit="1" topLeftCell="B1" activePane="topRight" state="frozenSplit"/>
      <selection pane="topRight" activeCell="A54" sqref="A54"/>
    </sheetView>
  </sheetViews>
  <sheetFormatPr defaultColWidth="9.140625" defaultRowHeight="20.100000000000001" customHeight="1" x14ac:dyDescent="0.2"/>
  <cols>
    <col min="1" max="1" width="36.7109375" style="4" customWidth="1"/>
    <col min="2" max="2" width="4.7109375" style="21" customWidth="1"/>
    <col min="3" max="3" width="4.7109375" style="24" customWidth="1"/>
    <col min="4" max="4" width="60.7109375" style="24" customWidth="1"/>
    <col min="5" max="5" width="50.7109375" style="24" customWidth="1"/>
    <col min="6" max="11" width="28.7109375" style="24" customWidth="1"/>
    <col min="12" max="25" width="28.7109375" style="21" customWidth="1"/>
    <col min="26" max="27" width="9.140625" style="21"/>
    <col min="28" max="16384" width="9.140625" style="24"/>
  </cols>
  <sheetData>
    <row r="1" spans="1:24" s="21" customFormat="1" ht="30" customHeight="1" x14ac:dyDescent="0.35">
      <c r="A1" s="10" t="e" vm="1">
        <v>#VALUE!</v>
      </c>
      <c r="C1" s="27" t="s">
        <v>86</v>
      </c>
    </row>
    <row r="2" spans="1:24" s="21" customFormat="1" ht="20.100000000000001" customHeight="1" x14ac:dyDescent="0.2">
      <c r="A2"/>
      <c r="C2" s="3"/>
      <c r="D2" s="3"/>
      <c r="E2" s="3"/>
      <c r="F2" s="3"/>
      <c r="G2" s="3"/>
      <c r="H2" s="3"/>
      <c r="I2" s="3"/>
      <c r="J2" s="3"/>
    </row>
    <row r="3" spans="1:24" ht="20.100000000000001" customHeight="1" x14ac:dyDescent="0.2">
      <c r="A3" s="5" t="str">
        <f>HYPERLINK("#'Home'!A1", "Home")</f>
        <v>Home</v>
      </c>
      <c r="C3" s="28"/>
      <c r="D3" s="28"/>
      <c r="E3" s="28"/>
      <c r="F3" s="28"/>
      <c r="G3" s="28"/>
      <c r="H3" s="28"/>
      <c r="I3" s="28"/>
      <c r="J3" s="28"/>
      <c r="K3" s="28"/>
      <c r="M3" s="23"/>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c r="C4" s="29"/>
      <c r="D4" s="29"/>
      <c r="E4" s="29"/>
      <c r="F4" s="29"/>
      <c r="G4" s="29"/>
      <c r="H4" s="29"/>
      <c r="I4" s="29"/>
      <c r="J4" s="29"/>
      <c r="K4" s="29"/>
    </row>
    <row r="5" spans="1:24" ht="20.100000000000001" customHeight="1" x14ac:dyDescent="0.2">
      <c r="A5" s="5" t="str">
        <f>HYPERLINK("#'Results - Product EI'!A1", "Results - Product Emissions Intensity")</f>
        <v>Results - Product Emissions Intensity</v>
      </c>
      <c r="D5" s="2" t="s">
        <v>95</v>
      </c>
      <c r="N5" s="30"/>
    </row>
    <row r="6" spans="1:24" ht="20.100000000000001" customHeight="1" x14ac:dyDescent="0.2">
      <c r="A6"/>
      <c r="N6" s="32"/>
    </row>
    <row r="7" spans="1:24" ht="20.100000000000001" customHeight="1" x14ac:dyDescent="0.2">
      <c r="A7"/>
      <c r="D7" s="42" t="s">
        <v>96</v>
      </c>
      <c r="E7" s="43"/>
      <c r="F7" s="43"/>
      <c r="G7" s="44"/>
    </row>
    <row r="8" spans="1:24" ht="20.100000000000001" customHeight="1" x14ac:dyDescent="0.2">
      <c r="A8" s="7" t="s">
        <v>0</v>
      </c>
      <c r="D8" s="45" t="s">
        <v>97</v>
      </c>
      <c r="E8" s="46"/>
      <c r="F8" s="46"/>
      <c r="G8" s="47"/>
    </row>
    <row r="9" spans="1:24" ht="20.100000000000001" customHeight="1" x14ac:dyDescent="0.2">
      <c r="A9" s="5" t="str">
        <f>HYPERLINK("#'Input - Enterprise'!A1", "Enterprise")</f>
        <v>Enterprise</v>
      </c>
      <c r="D9" s="1"/>
      <c r="E9" s="48"/>
      <c r="F9" s="16"/>
      <c r="N9" s="34"/>
    </row>
    <row r="10" spans="1:24" ht="20.100000000000001" customHeight="1" x14ac:dyDescent="0.2">
      <c r="A10" s="101" t="str">
        <f>HYPERLINK("#'Input - Site'!A1", "Site")</f>
        <v>Site</v>
      </c>
      <c r="D10" s="1" t="s">
        <v>98</v>
      </c>
      <c r="E10" s="13" t="s">
        <v>99</v>
      </c>
      <c r="F10" s="16" t="s">
        <v>100</v>
      </c>
      <c r="N10" s="34"/>
    </row>
    <row r="11" spans="1:24" ht="20.100000000000001" customHeight="1" x14ac:dyDescent="0.2">
      <c r="A11" s="5" t="str">
        <f>HYPERLINK("#'Input - Feedlot'!A1", "Feedlot")</f>
        <v>Feedlot</v>
      </c>
      <c r="D11" s="1" t="s">
        <v>101</v>
      </c>
      <c r="E11" s="13" t="s">
        <v>102</v>
      </c>
      <c r="F11" s="16" t="s">
        <v>100</v>
      </c>
      <c r="G11" s="1"/>
      <c r="N11" s="39"/>
    </row>
    <row r="12" spans="1:24" ht="20.100000000000001" customHeight="1" x14ac:dyDescent="0.2">
      <c r="A12" s="5" t="str">
        <f>HYPERLINK("#'Input - Livestock sales'!A1", "Livestock sales")</f>
        <v>Livestock sales</v>
      </c>
      <c r="D12" s="1" t="s">
        <v>103</v>
      </c>
      <c r="E12" s="13" t="s">
        <v>104</v>
      </c>
      <c r="F12" s="16" t="s">
        <v>100</v>
      </c>
    </row>
    <row r="13" spans="1:24" ht="20.100000000000001" customHeight="1" x14ac:dyDescent="0.2">
      <c r="A13" s="5" t="str">
        <f>HYPERLINK("#'Input - Beef cattle purchases'!A1", "Beef cattle purchases")</f>
        <v>Beef cattle purchases</v>
      </c>
      <c r="D13" s="1" t="s">
        <v>36</v>
      </c>
      <c r="E13" s="33">
        <v>307.7</v>
      </c>
      <c r="F13" s="16" t="s">
        <v>105</v>
      </c>
      <c r="N13" s="41"/>
      <c r="O13" s="41"/>
    </row>
    <row r="14" spans="1:24" ht="20.100000000000001" customHeight="1" x14ac:dyDescent="0.2">
      <c r="A14" s="5" t="str">
        <f>HYPERLINK("#'Input - Fuel'!A1", "Fuel")</f>
        <v>Fuel</v>
      </c>
      <c r="D14" s="1" t="s">
        <v>106</v>
      </c>
      <c r="E14" s="33">
        <v>18</v>
      </c>
      <c r="F14" s="16" t="s">
        <v>107</v>
      </c>
      <c r="N14" s="41"/>
      <c r="O14" s="41"/>
    </row>
    <row r="15" spans="1:24" ht="20.100000000000001" customHeight="1" x14ac:dyDescent="0.2">
      <c r="A15" s="5" t="str">
        <f>HYPERLINK("#'Input - Electricity'!A1", "Electricity")</f>
        <v>Electricity</v>
      </c>
      <c r="D15" s="1" t="s">
        <v>108</v>
      </c>
      <c r="E15" s="33">
        <v>601</v>
      </c>
      <c r="F15" s="16" t="s">
        <v>109</v>
      </c>
      <c r="N15" s="41"/>
      <c r="O15" s="41"/>
    </row>
    <row r="16" spans="1:24" ht="20.100000000000001" customHeight="1" x14ac:dyDescent="0.2">
      <c r="A16" s="5" t="str">
        <f>HYPERLINK("#'Input - Common farm inputs'!A1", "Common farm inputs")</f>
        <v>Common farm inputs</v>
      </c>
      <c r="D16" s="12" t="s">
        <v>110</v>
      </c>
      <c r="E16" s="33">
        <v>1326</v>
      </c>
      <c r="F16" s="16" t="s">
        <v>109</v>
      </c>
      <c r="N16" s="41"/>
      <c r="O16" s="41"/>
    </row>
    <row r="17" spans="1:25" ht="20.100000000000001" customHeight="1" x14ac:dyDescent="0.2">
      <c r="A17" s="5" t="str">
        <f>HYPERLINK("#'Input - Livestock farm Inputs'!A1", "Livestock farm Inputs")</f>
        <v>Livestock farm Inputs</v>
      </c>
      <c r="D17" s="1" t="s">
        <v>111</v>
      </c>
      <c r="E17" s="33">
        <v>7</v>
      </c>
      <c r="F17" s="16" t="s">
        <v>112</v>
      </c>
    </row>
    <row r="18" spans="1:25" ht="20.100000000000001" customHeight="1" x14ac:dyDescent="0.2">
      <c r="A18" s="5" t="str">
        <f>HYPERLINK("#'Input - Freight'!A1", "Freight")</f>
        <v>Freight</v>
      </c>
      <c r="D18" s="12" t="s">
        <v>113</v>
      </c>
      <c r="E18" s="15">
        <f>E15/E16</f>
        <v>0.45324283559577677</v>
      </c>
      <c r="F18" s="16"/>
    </row>
    <row r="19" spans="1:25" ht="20.100000000000001" customHeight="1" x14ac:dyDescent="0.2">
      <c r="A19" s="5" t="str">
        <f>HYPERLINK("#'Input - Solid waste'!A1", "Solid waste")</f>
        <v>Solid waste</v>
      </c>
      <c r="D19" s="12" t="s">
        <v>64</v>
      </c>
      <c r="E19" s="15" t="str">
        <f>Common_InputFunctions.Utility_LookupItemFromMinMax(E15,Table_SourceData_RainfallZones[Min rainfall],Table_SourceData_RainfallZones[Max rainfall],Table_SourceData_RainfallZones[Rainfall Zone])</f>
        <v>High rainfall</v>
      </c>
      <c r="G19" s="49"/>
      <c r="N19" s="30"/>
    </row>
    <row r="20" spans="1:25" ht="20.100000000000001" customHeight="1" x14ac:dyDescent="0.2">
      <c r="A20" s="5" t="str">
        <f>HYPERLINK("#'Input - Manure sent off-site'!A1", "Manure sent off-site")</f>
        <v>Manure sent off-site</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8"/>
      <c r="N20" s="32"/>
    </row>
    <row r="21" spans="1:25" ht="20.100000000000001" customHeight="1" x14ac:dyDescent="0.2">
      <c r="A21" s="5" t="str">
        <f>HYPERLINK("#'Input - Data quality'!A1", "Data quality")</f>
        <v>Data quality</v>
      </c>
      <c r="D21" s="1" t="s">
        <v>114</v>
      </c>
      <c r="E21" s="15" t="str">
        <f>Common_InputFunctions.Utility_LookupValueInTable($E$20,Table_SourceData_WetDryZones[Climate zone],Table_SourceData_WetDryZones[Wet or Dry Zone])</f>
        <v>Dry climate zone</v>
      </c>
      <c r="F21" s="1"/>
      <c r="G21" s="48"/>
    </row>
    <row r="22" spans="1:25" ht="20.100000000000001" customHeight="1" x14ac:dyDescent="0.2">
      <c r="A22" s="5" t="str">
        <f>HYPERLINK("#'Input - Fert Prod System'!A1", "Fert Prod System")</f>
        <v>Fert Prod System</v>
      </c>
      <c r="D22" s="1" t="s">
        <v>68</v>
      </c>
      <c r="E22" s="15" t="str">
        <f>Common_InputFunctions.Utility_LookupItemFromMinMax(E14,Table_SourceData_TemperatureZones[Min MAT],Table_SourceData_TemperatureZones[Max MAT],Table_SourceData_TemperatureZones[Temperature Zone])</f>
        <v>Temperate</v>
      </c>
      <c r="G22" s="52"/>
    </row>
    <row r="23" spans="1:25" ht="20.100000000000001" customHeight="1" x14ac:dyDescent="0.2">
      <c r="A23" s="5" t="str">
        <f>HYPERLINK("#'Input - Fertiliser'!A1", "Fertiliser")</f>
        <v>Fertiliser</v>
      </c>
    </row>
    <row r="24" spans="1:25" ht="20.100000000000001" customHeight="1" x14ac:dyDescent="0.2">
      <c r="A24"/>
    </row>
    <row r="25" spans="1:25" ht="20.100000000000001" customHeight="1" x14ac:dyDescent="0.2">
      <c r="A25"/>
      <c r="N25" s="32"/>
    </row>
    <row r="26" spans="1:25" ht="20.100000000000001" customHeight="1" x14ac:dyDescent="0.2">
      <c r="A26" s="6" t="s">
        <v>2</v>
      </c>
    </row>
    <row r="27" spans="1:25" ht="20.100000000000001" customHeight="1" x14ac:dyDescent="0.2">
      <c r="A27" s="5" t="str">
        <f>HYPERLINK("#'3.1.1.1-2 Enteric Methane'!A1", "3.1.1.1-2 Enteric Methane")</f>
        <v>3.1.1.1-2 Enteric Methane</v>
      </c>
    </row>
    <row r="28" spans="1:25" ht="20.100000000000001" customHeight="1" x14ac:dyDescent="0.2">
      <c r="A28" s="5" t="str">
        <f>HYPERLINK("#'4.1.1.1-2 Methane'!A1", "4.1.1.1-2 Manure Methane")</f>
        <v>4.1.1.1-2 Manure Methane</v>
      </c>
    </row>
    <row r="29" spans="1:25" ht="20.100000000000001" customHeight="1" x14ac:dyDescent="0.2">
      <c r="A29" s="5" t="str">
        <f>HYPERLINK("#'4.1.1.3-4 Direct N20'!A1", "4.1.1.3-4 Manure Direct N2O")</f>
        <v>4.1.1.3-4 Manure Direct N2O</v>
      </c>
    </row>
    <row r="30" spans="1:25" ht="20.100000000000001" customHeight="1" x14ac:dyDescent="0.2">
      <c r="A30" s="5" t="str">
        <f>HYPERLINK("#'4.1.1.5-6 Atmos Deposition'!A1", "4.1.1.5-6 Manure Atmos Dep")</f>
        <v>4.1.1.5-6 Manure Atmos Dep</v>
      </c>
      <c r="L30" s="50"/>
      <c r="M30" s="50"/>
      <c r="N30" s="50"/>
      <c r="O30" s="50"/>
      <c r="P30" s="50"/>
      <c r="Q30" s="50"/>
      <c r="R30" s="50"/>
      <c r="S30" s="50"/>
      <c r="T30" s="50"/>
      <c r="U30" s="50"/>
      <c r="V30" s="50"/>
      <c r="W30" s="50"/>
      <c r="X30" s="50"/>
      <c r="Y30" s="50"/>
    </row>
    <row r="31" spans="1:25" ht="20.100000000000001" customHeight="1" x14ac:dyDescent="0.2">
      <c r="A31" s="5" t="str">
        <f>HYPERLINK("#'4.1.1.9 Manure applied to soils'!A1", "4.1.1.9 Manure applied to soils")</f>
        <v>4.1.1.9 Manure applied to soils</v>
      </c>
      <c r="L31" s="51"/>
      <c r="M31" s="51"/>
      <c r="N31" s="51"/>
      <c r="O31" s="51"/>
      <c r="P31" s="51"/>
      <c r="Q31" s="51"/>
      <c r="R31" s="51"/>
      <c r="S31" s="51"/>
      <c r="T31" s="51"/>
      <c r="U31" s="51"/>
      <c r="V31" s="51"/>
      <c r="W31" s="51"/>
      <c r="X31" s="51"/>
      <c r="Y31" s="51"/>
    </row>
    <row r="32" spans="1:25" ht="20.100000000000001" customHeight="1" x14ac:dyDescent="0.2">
      <c r="A32" s="5" t="str">
        <f>HYPERLINK("#'8.1.1.1-2 Transport fuel'!A1", "8.1.1.1-2 Transport fuel")</f>
        <v>8.1.1.1-2 Transport fuel</v>
      </c>
      <c r="L32" s="51"/>
      <c r="M32" s="51"/>
      <c r="N32" s="51"/>
      <c r="O32" s="51"/>
      <c r="P32" s="51"/>
      <c r="Q32" s="51"/>
      <c r="R32" s="51"/>
      <c r="S32" s="51"/>
      <c r="T32" s="51"/>
      <c r="U32" s="51"/>
      <c r="V32" s="51"/>
      <c r="W32" s="51"/>
      <c r="X32" s="51"/>
      <c r="Y32" s="51"/>
    </row>
    <row r="33" spans="1:25" ht="20.100000000000001" customHeight="1" x14ac:dyDescent="0.2">
      <c r="A33" s="5" t="str">
        <f>HYPERLINK("#'8.2.1.1-2 Stationary fuel'!A1", "8.2.1.1-2 Stationary fuel")</f>
        <v>8.2.1.1-2 Stationary fuel</v>
      </c>
      <c r="L33" s="51"/>
      <c r="M33" s="51"/>
      <c r="N33" s="51"/>
      <c r="O33" s="51"/>
      <c r="P33" s="51"/>
      <c r="Q33" s="51"/>
      <c r="R33" s="51"/>
      <c r="S33" s="51"/>
      <c r="T33" s="51"/>
      <c r="U33" s="51"/>
      <c r="V33" s="51"/>
      <c r="W33" s="51"/>
      <c r="X33" s="51"/>
      <c r="Y33" s="51"/>
    </row>
    <row r="34" spans="1:25" ht="20.100000000000001" customHeight="1" x14ac:dyDescent="0.2">
      <c r="A34" s="5" t="str">
        <f>HYPERLINK("#'10.1.1-2 Solid waste treatment'!A1", "10.1.1.1-2 Solid waste")</f>
        <v>10.1.1.1-2 Solid waste</v>
      </c>
      <c r="J34" s="53"/>
      <c r="K34" s="54"/>
      <c r="L34" s="51"/>
      <c r="M34" s="51"/>
      <c r="N34" s="51"/>
      <c r="O34" s="51"/>
      <c r="P34" s="51"/>
      <c r="Q34" s="51"/>
      <c r="R34" s="51"/>
      <c r="S34" s="51"/>
      <c r="T34" s="51"/>
      <c r="U34" s="51"/>
      <c r="V34" s="51"/>
      <c r="W34" s="51"/>
      <c r="X34" s="51"/>
      <c r="Y34" s="51"/>
    </row>
    <row r="35" spans="1:25" ht="20.100000000000001" customHeight="1" x14ac:dyDescent="0.2">
      <c r="A35" s="5" t="str">
        <f>HYPERLINK("#'14.1.1-2 Purchased electricity'!A1", "14.1.1-2 Purchased electricity")</f>
        <v>14.1.1-2 Purchased electricity</v>
      </c>
      <c r="J35" s="53"/>
      <c r="K35" s="54"/>
      <c r="L35" s="51"/>
      <c r="M35" s="51"/>
      <c r="N35" s="51"/>
      <c r="O35" s="51"/>
      <c r="P35" s="51"/>
      <c r="Q35" s="51"/>
      <c r="R35" s="51"/>
      <c r="S35" s="51"/>
      <c r="T35" s="51"/>
      <c r="U35" s="51"/>
      <c r="V35" s="51"/>
      <c r="W35" s="51"/>
      <c r="X35" s="51"/>
      <c r="Y35" s="51"/>
    </row>
    <row r="36" spans="1:25" ht="20.100000000000001" customHeight="1" x14ac:dyDescent="0.2">
      <c r="A36" s="5" t="str">
        <f>HYPERLINK("#'15 Scope 3'!A1", "15 Scope 3")</f>
        <v>15 Scope 3</v>
      </c>
      <c r="D36" s="55"/>
      <c r="E36" s="55"/>
      <c r="F36" s="56"/>
      <c r="G36" s="53"/>
      <c r="H36" s="53"/>
      <c r="I36" s="57"/>
      <c r="J36" s="53"/>
      <c r="K36" s="54"/>
      <c r="L36" s="51"/>
      <c r="M36" s="51"/>
      <c r="N36" s="51"/>
      <c r="O36" s="51"/>
      <c r="P36" s="51"/>
      <c r="Q36" s="51"/>
      <c r="R36" s="51"/>
      <c r="S36" s="51"/>
      <c r="T36" s="51"/>
      <c r="U36" s="51"/>
      <c r="V36" s="51"/>
      <c r="W36" s="51"/>
      <c r="X36" s="51"/>
      <c r="Y36" s="51"/>
    </row>
    <row r="37" spans="1:25" ht="20.100000000000001" customHeight="1" x14ac:dyDescent="0.2">
      <c r="A37" s="5" t="str">
        <f>HYPERLINK("#'Calcs - Manure sent off-site'!A1", "Calcs - Manure sent off-site")</f>
        <v>Calcs - Manure sent off-site</v>
      </c>
      <c r="D37" s="55"/>
      <c r="E37" s="55"/>
      <c r="F37" s="56"/>
      <c r="G37" s="53"/>
      <c r="H37" s="53"/>
      <c r="I37" s="57"/>
      <c r="J37" s="53"/>
      <c r="K37" s="54"/>
      <c r="L37" s="51"/>
      <c r="M37" s="51"/>
      <c r="N37" s="51"/>
      <c r="O37" s="51"/>
      <c r="P37" s="51"/>
      <c r="Q37" s="51"/>
      <c r="R37" s="51"/>
      <c r="S37" s="51"/>
      <c r="T37" s="51"/>
      <c r="U37" s="51"/>
      <c r="V37" s="51"/>
      <c r="W37" s="51"/>
      <c r="X37" s="51"/>
      <c r="Y37" s="51"/>
    </row>
    <row r="38" spans="1:25" ht="20.100000000000001" customHeight="1" x14ac:dyDescent="0.2">
      <c r="A38" s="5" t="str">
        <f>HYPERLINK("#'5.1.1.1-2 Inorganic fert N2O'!A1", "5.1.1.1-2 Inorganic fert N2O")</f>
        <v>5.1.1.1-2 Inorganic fert N2O</v>
      </c>
      <c r="D38" s="55"/>
      <c r="E38" s="55"/>
      <c r="F38" s="56"/>
      <c r="G38" s="53"/>
      <c r="H38" s="53"/>
      <c r="I38" s="57"/>
      <c r="J38" s="53"/>
      <c r="K38" s="54"/>
      <c r="L38" s="51"/>
      <c r="M38" s="51"/>
      <c r="N38" s="51"/>
      <c r="O38" s="51"/>
      <c r="P38" s="51"/>
      <c r="Q38" s="51"/>
      <c r="R38" s="51"/>
      <c r="S38" s="51"/>
      <c r="T38" s="51"/>
      <c r="U38" s="51"/>
      <c r="V38" s="51"/>
      <c r="W38" s="51"/>
      <c r="X38" s="51"/>
      <c r="Y38" s="51"/>
    </row>
    <row r="39" spans="1:25" ht="20.100000000000001" customHeight="1" x14ac:dyDescent="0.2">
      <c r="A39" s="5" t="str">
        <f>HYPERLINK("#'5.1.1.3-4 Inorganic fert CO2'!A1", "5.1.1.3-4 Inorganic fert CO2")</f>
        <v>5.1.1.3-4 Inorganic fert CO2</v>
      </c>
      <c r="D39" s="55"/>
      <c r="E39" s="55"/>
      <c r="F39" s="56"/>
      <c r="G39" s="53"/>
      <c r="H39" s="53"/>
      <c r="I39" s="57"/>
      <c r="J39" s="53"/>
      <c r="K39" s="54"/>
      <c r="L39" s="51"/>
      <c r="M39" s="51"/>
      <c r="N39" s="51"/>
      <c r="O39" s="51"/>
      <c r="P39" s="51"/>
      <c r="Q39" s="51"/>
      <c r="R39" s="51"/>
      <c r="S39" s="51"/>
      <c r="T39" s="51"/>
      <c r="U39" s="51"/>
      <c r="V39" s="51"/>
      <c r="W39" s="51"/>
      <c r="X39" s="51"/>
      <c r="Y39" s="51"/>
    </row>
    <row r="40" spans="1:25" ht="20.100000000000001" customHeight="1" x14ac:dyDescent="0.2">
      <c r="A40" s="5" t="str">
        <f>HYPERLINK("#'5.2.1.1-2 Organic Fert N2O'!A1", "5.2.1.1-2 Organic Fert N2O")</f>
        <v>5.2.1.1-2 Organic Fert N2O</v>
      </c>
      <c r="D40" s="58"/>
      <c r="E40" s="58"/>
      <c r="F40" s="58"/>
      <c r="G40" s="59"/>
      <c r="H40" s="60"/>
      <c r="I40" s="60"/>
      <c r="J40" s="60"/>
      <c r="K40" s="60"/>
      <c r="L40" s="61"/>
      <c r="M40" s="61"/>
      <c r="N40" s="61"/>
      <c r="O40" s="61"/>
      <c r="P40" s="61"/>
      <c r="Q40" s="61"/>
      <c r="R40" s="61"/>
      <c r="S40" s="61"/>
      <c r="T40" s="61"/>
      <c r="U40" s="61"/>
      <c r="V40" s="61"/>
      <c r="W40" s="61"/>
      <c r="X40" s="61"/>
      <c r="Y40" s="61"/>
    </row>
    <row r="41" spans="1:25" ht="20.100000000000001" customHeight="1" x14ac:dyDescent="0.2">
      <c r="A41" s="5" t="str">
        <f>HYPERLINK("#'5.3.1.1-2 Lime CO2'!A1", "5.3.1.1-2 Lime CO2")</f>
        <v>5.3.1.1-2 Lime CO2</v>
      </c>
    </row>
    <row r="42" spans="1:25" ht="20.100000000000001" customHeight="1" x14ac:dyDescent="0.2">
      <c r="A42" s="5" t="str">
        <f>HYPERLINK("#'5.4.1.1-4 Atmos deposition'!A1", "5.4.1.1-4 Atmos deposition")</f>
        <v>5.4.1.1-4 Atmos deposition</v>
      </c>
    </row>
    <row r="43" spans="1:25" ht="20.100000000000001" customHeight="1" x14ac:dyDescent="0.2">
      <c r="A43" s="5" t="str">
        <f>HYPERLINK("#'5.5.1.1-2 Leaching and runoff'!A1", "5.5.1.1-2 Leaching and runoff")</f>
        <v>5.5.1.1-2 Leaching and runoff</v>
      </c>
    </row>
    <row r="44" spans="1:25" ht="20.100000000000001" customHeight="1" x14ac:dyDescent="0.2">
      <c r="A44"/>
    </row>
    <row r="45" spans="1:25" ht="20.100000000000001" customHeight="1" x14ac:dyDescent="0.2">
      <c r="A45"/>
      <c r="D45" s="2"/>
    </row>
    <row r="46" spans="1:25" ht="20.100000000000001" customHeight="1" x14ac:dyDescent="0.2">
      <c r="A46" s="80" t="s">
        <v>1</v>
      </c>
      <c r="D46" s="2"/>
    </row>
    <row r="47" spans="1:25" ht="20.100000000000001" customHeight="1" x14ac:dyDescent="0.2">
      <c r="A47" s="5" t="str">
        <f>HYPERLINK("#'Constants - Feedlot'!A1", "Constants - Feedlot")</f>
        <v>Constants - Feedlot</v>
      </c>
      <c r="D47" s="62"/>
      <c r="E47" s="62"/>
      <c r="F47" s="62"/>
      <c r="G47" s="62"/>
      <c r="H47" s="62"/>
    </row>
    <row r="48" spans="1:25" ht="20.100000000000001" customHeight="1" x14ac:dyDescent="0.2">
      <c r="A48" s="5" t="str">
        <f>HYPERLINK("#'Constants - Common livestock'!A1", "Constants - Common Livestock")</f>
        <v>Constants - Common Livestock</v>
      </c>
      <c r="D48" s="63"/>
      <c r="E48" s="63"/>
      <c r="F48" s="64"/>
      <c r="G48" s="64"/>
      <c r="H48" s="63"/>
    </row>
    <row r="49" spans="1:8" ht="20.100000000000001" customHeight="1" x14ac:dyDescent="0.2">
      <c r="A49" s="5" t="str">
        <f>HYPERLINK("#'Constants - Electricity'!A1", "Constants - Electricity")</f>
        <v>Constants - Electricity</v>
      </c>
      <c r="D49" s="63"/>
      <c r="E49" s="63"/>
      <c r="F49" s="64"/>
      <c r="G49" s="64"/>
      <c r="H49" s="63"/>
    </row>
    <row r="50" spans="1:8" ht="20.100000000000001" customHeight="1" x14ac:dyDescent="0.2">
      <c r="A50" s="5" t="str">
        <f>HYPERLINK("#'Constants - Fertiliser'!A1", "Constants - Fertiliser")</f>
        <v>Constants - Fertiliser</v>
      </c>
      <c r="D50" s="63"/>
      <c r="E50" s="63"/>
      <c r="F50" s="64"/>
      <c r="G50" s="64"/>
      <c r="H50" s="63"/>
    </row>
    <row r="51" spans="1:8" ht="20.100000000000001" customHeight="1" x14ac:dyDescent="0.2">
      <c r="A51" s="5" t="str">
        <f>HYPERLINK("#'Constants - Fuel'!A1", "Constants - Fuel")</f>
        <v>Constants - Fuel</v>
      </c>
      <c r="D51" s="65"/>
      <c r="E51" s="66"/>
      <c r="F51" s="66"/>
      <c r="G51" s="66"/>
      <c r="H51" s="67"/>
    </row>
    <row r="52" spans="1:8" ht="20.100000000000001" customHeight="1" x14ac:dyDescent="0.2">
      <c r="A52" s="5" t="str">
        <f>HYPERLINK("#'Constants - Scope 3'!A1", "Constants - Scope 3")</f>
        <v>Constants - Scope 3</v>
      </c>
    </row>
    <row r="53" spans="1:8" ht="20.100000000000001" customHeight="1" x14ac:dyDescent="0.2">
      <c r="A53" s="5" t="str">
        <f>HYPERLINK("#'Constants - Solid Waste'!A1", "Constants - Solid Waste")</f>
        <v>Constants - Solid Waste</v>
      </c>
    </row>
    <row r="54" spans="1:8" ht="20.100000000000001" customHeight="1" x14ac:dyDescent="0.2">
      <c r="A54" s="5" t="str">
        <f>HYPERLINK("#'Constants - Common'!A1", "Constants - Common")</f>
        <v>Constants - Common</v>
      </c>
      <c r="G54" s="68"/>
    </row>
    <row r="55" spans="1:8" ht="20.100000000000001" customHeight="1" x14ac:dyDescent="0.2">
      <c r="A55" s="5" t="str">
        <f>HYPERLINK("#'Acknowledgements'!A1", "Acknowledgements")</f>
        <v>Acknowledgements</v>
      </c>
      <c r="D55" s="2"/>
    </row>
    <row r="56" spans="1:8" ht="20.100000000000001" customHeight="1" x14ac:dyDescent="0.2">
      <c r="A56"/>
    </row>
    <row r="57" spans="1:8" ht="20.100000000000001" customHeight="1" x14ac:dyDescent="0.2">
      <c r="A57"/>
      <c r="F57" s="69"/>
    </row>
    <row r="58" spans="1:8" ht="20.100000000000001" customHeight="1" x14ac:dyDescent="0.2">
      <c r="A58"/>
      <c r="E58" s="70"/>
    </row>
    <row r="59" spans="1:8" ht="20.100000000000001" customHeight="1" x14ac:dyDescent="0.2">
      <c r="A59"/>
      <c r="E59" s="70"/>
    </row>
    <row r="60" spans="1:8" ht="20.100000000000001" customHeight="1" x14ac:dyDescent="0.2">
      <c r="A60"/>
      <c r="E60" s="71"/>
    </row>
    <row r="61" spans="1:8" ht="20.100000000000001" customHeight="1" x14ac:dyDescent="0.2">
      <c r="A61"/>
    </row>
    <row r="62" spans="1:8" ht="20.100000000000001" customHeight="1" x14ac:dyDescent="0.2">
      <c r="A62"/>
    </row>
    <row r="63" spans="1:8" ht="20.100000000000001" customHeight="1" x14ac:dyDescent="0.2">
      <c r="A63"/>
    </row>
    <row r="64" spans="1:8" ht="20.100000000000001" customHeight="1" x14ac:dyDescent="0.2">
      <c r="A64"/>
      <c r="D64" s="1"/>
      <c r="E64" s="70"/>
    </row>
    <row r="65" spans="1:9" ht="20.100000000000001" customHeight="1" x14ac:dyDescent="0.2">
      <c r="A65"/>
      <c r="D65" s="1"/>
      <c r="E65" s="70"/>
    </row>
    <row r="66" spans="1:9" ht="20.100000000000001" customHeight="1" x14ac:dyDescent="0.2">
      <c r="A66"/>
      <c r="D66" s="1"/>
      <c r="E66" s="71"/>
    </row>
    <row r="67" spans="1:9" ht="20.100000000000001" customHeight="1" x14ac:dyDescent="0.2">
      <c r="A67"/>
    </row>
    <row r="68" spans="1:9" ht="20.100000000000001" customHeight="1" x14ac:dyDescent="0.2">
      <c r="A68"/>
    </row>
    <row r="69" spans="1:9" ht="20.100000000000001" customHeight="1" x14ac:dyDescent="0.2">
      <c r="A69"/>
      <c r="D69" s="72"/>
      <c r="E69" s="72"/>
      <c r="F69" s="72"/>
      <c r="G69" s="72"/>
      <c r="H69" s="72"/>
      <c r="I69" s="72"/>
    </row>
    <row r="70" spans="1:9" ht="20.100000000000001" customHeight="1" x14ac:dyDescent="0.2">
      <c r="A70"/>
      <c r="D70" s="72"/>
      <c r="E70" s="72"/>
      <c r="F70" s="72"/>
      <c r="G70" s="72"/>
      <c r="H70" s="72"/>
      <c r="I70" s="72"/>
    </row>
    <row r="71" spans="1:9" ht="20.100000000000001" customHeight="1" x14ac:dyDescent="0.2">
      <c r="A71"/>
      <c r="D71" s="72"/>
      <c r="E71" s="72"/>
      <c r="F71" s="72"/>
      <c r="G71" s="72"/>
      <c r="H71" s="72"/>
      <c r="I71" s="72"/>
    </row>
    <row r="72" spans="1:9" ht="20.100000000000001" customHeight="1" x14ac:dyDescent="0.2">
      <c r="A72"/>
      <c r="D72" s="72"/>
      <c r="E72" s="72"/>
      <c r="F72" s="72"/>
      <c r="G72" s="72"/>
      <c r="H72" s="72"/>
      <c r="I72" s="72"/>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3"/>
    </row>
    <row r="79" spans="1:9" ht="20.100000000000001" customHeight="1" x14ac:dyDescent="0.2">
      <c r="A79"/>
      <c r="D79" s="73"/>
    </row>
    <row r="80" spans="1:9" ht="20.100000000000001" customHeight="1" x14ac:dyDescent="0.2">
      <c r="A80"/>
      <c r="D80" s="73"/>
    </row>
    <row r="81" spans="1:4" ht="20.100000000000001" customHeight="1" x14ac:dyDescent="0.2">
      <c r="A81"/>
      <c r="D81" s="73"/>
    </row>
    <row r="82" spans="1:4" ht="20.100000000000001" customHeight="1" x14ac:dyDescent="0.2">
      <c r="A82"/>
      <c r="D82" s="73"/>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9AB04-2E10-40CE-B846-BF8EC39C1EC7}">
  <sheetPr>
    <tabColor theme="5" tint="-0.249977111117893"/>
  </sheetPr>
  <dimension ref="A1:U57"/>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98" customWidth="1"/>
    <col min="15" max="20" width="30.7109375" style="98" customWidth="1"/>
    <col min="21" max="21" width="4.7109375" style="98" customWidth="1"/>
  </cols>
  <sheetData>
    <row r="1" spans="1:21" s="10" customFormat="1" ht="30" customHeight="1" x14ac:dyDescent="0.35">
      <c r="A1" s="10" t="e" vm="1">
        <v>#VALUE!</v>
      </c>
      <c r="C1" s="10" t="s">
        <v>287</v>
      </c>
      <c r="N1" s="98"/>
      <c r="O1" s="98"/>
      <c r="P1" s="98"/>
      <c r="Q1" s="98"/>
      <c r="R1" s="98"/>
      <c r="S1" s="98"/>
      <c r="T1" s="98"/>
      <c r="U1" s="98"/>
    </row>
    <row r="2" spans="1:21" s="3" customFormat="1" ht="20.100000000000001" customHeight="1" x14ac:dyDescent="0.2">
      <c r="A2"/>
      <c r="N2" s="98"/>
      <c r="O2" s="98"/>
      <c r="P2" s="98"/>
      <c r="Q2" s="98"/>
      <c r="R2" s="98"/>
      <c r="S2" s="98"/>
      <c r="T2" s="98"/>
      <c r="U2" s="98"/>
    </row>
    <row r="3" spans="1:21" ht="20.100000000000001" customHeight="1" x14ac:dyDescent="0.2">
      <c r="A3" s="5" t="str">
        <f>HYPERLINK("#'Home'!A1", "Home")</f>
        <v>Home</v>
      </c>
      <c r="C3" s="28"/>
      <c r="D3" s="28"/>
      <c r="E3" s="28"/>
      <c r="F3" s="28"/>
      <c r="G3" s="28"/>
      <c r="H3" s="28"/>
      <c r="I3" s="28"/>
      <c r="J3" s="28"/>
      <c r="K3" s="28"/>
      <c r="L3" s="28"/>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288</v>
      </c>
    </row>
    <row r="7" spans="1:21" ht="20.100000000000001" customHeight="1" x14ac:dyDescent="0.2">
      <c r="D7" s="99"/>
      <c r="E7" s="78" t="s">
        <v>289</v>
      </c>
      <c r="F7" s="78" t="s">
        <v>290</v>
      </c>
      <c r="G7" s="78" t="s">
        <v>291</v>
      </c>
    </row>
    <row r="8" spans="1:21" ht="20.100000000000001" customHeight="1" x14ac:dyDescent="0.2">
      <c r="A8" s="7" t="s">
        <v>0</v>
      </c>
      <c r="D8" s="1" t="str">
        <f>"Average number of head between " &amp; TEXT(X_Cell_Site_StartDate, "dd mmm yy") &amp; " and " &amp; TEXT(X_Cell_Site_EndDate, "dd mmm yy")</f>
        <v>Average number of head between 01 Jan 25 and 31 Dec 25</v>
      </c>
      <c r="E8" s="100">
        <v>1000</v>
      </c>
      <c r="F8" s="100">
        <v>1000</v>
      </c>
      <c r="G8" s="100">
        <v>1000</v>
      </c>
      <c r="H8" s="16" t="s">
        <v>292</v>
      </c>
      <c r="I8" s="16"/>
      <c r="J8" s="16"/>
      <c r="K8" s="16"/>
    </row>
    <row r="9" spans="1:21" ht="20.100000000000001" customHeight="1" x14ac:dyDescent="0.2">
      <c r="A9" s="5" t="str">
        <f>HYPERLINK("#'Input - Enterprise'!A1", "Enterprise")</f>
        <v>Enterprise</v>
      </c>
      <c r="D9" s="1" t="str">
        <f>"Average duration of stay between " &amp; TEXT(X_Cell_Site_StartDate, "dd mmm yy") &amp; " and " &amp; TEXT(X_Cell_Site_EndDate, "dd mmm yy")</f>
        <v>Average duration of stay between 01 Jan 25 and 31 Dec 25</v>
      </c>
      <c r="E9" s="100">
        <v>90</v>
      </c>
      <c r="F9" s="100">
        <v>140</v>
      </c>
      <c r="G9" s="100">
        <v>250</v>
      </c>
      <c r="H9" s="16" t="s">
        <v>293</v>
      </c>
      <c r="I9" s="16"/>
      <c r="J9" s="16"/>
      <c r="K9" s="16"/>
    </row>
    <row r="10" spans="1:21" ht="20.100000000000001" customHeight="1" x14ac:dyDescent="0.2">
      <c r="A10" s="5" t="str">
        <f>HYPERLINK("#'Input - Site'!A1", "Site")</f>
        <v>Site</v>
      </c>
    </row>
    <row r="11" spans="1:21" ht="20.100000000000001" customHeight="1" x14ac:dyDescent="0.2">
      <c r="A11" s="101" t="str">
        <f>HYPERLINK("#'Input - Feedlot'!A1", "Feedlot")</f>
        <v>Feedlot</v>
      </c>
      <c r="D11" s="2" t="s">
        <v>294</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99" t="s">
        <v>295</v>
      </c>
      <c r="E13" s="78" t="s">
        <v>289</v>
      </c>
      <c r="F13" s="78" t="s">
        <v>290</v>
      </c>
      <c r="G13" s="78" t="s">
        <v>291</v>
      </c>
    </row>
    <row r="14" spans="1:21" ht="20.100000000000001" customHeight="1" x14ac:dyDescent="0.2">
      <c r="A14" s="5" t="str">
        <f>HYPERLINK("#'Input - Fuel'!A1", "Fuel")</f>
        <v>Fuel</v>
      </c>
      <c r="D14" s="1" t="s">
        <v>296</v>
      </c>
      <c r="E14" s="15" cm="1">
        <f t="array" ref="E14">_xlfn.XLOOKUP(1, (Table_SourceData_Feedlot_AnimalCharacteristics[Feedlot type] = E$13) * (Table_SourceData_Feedlot_AnimalCharacteristics[Characteristic] = $D$14), Table_SourceData_Feedlot_AnimalCharacteristics[2020-2023], "Not Found")</f>
        <v>10.4</v>
      </c>
      <c r="F14" s="15" cm="1">
        <f t="array" ref="F14">_xlfn.XLOOKUP(1, (Table_SourceData_Feedlot_AnimalCharacteristics[Feedlot type] = F$13) * (Table_SourceData_Feedlot_AnimalCharacteristics[Characteristic] = $D$14), Table_SourceData_Feedlot_AnimalCharacteristics[2020-2023], "Not Found")</f>
        <v>10.8</v>
      </c>
      <c r="G14" s="15" cm="1">
        <f t="array" ref="G14">_xlfn.XLOOKUP(1, (Table_SourceData_Feedlot_AnimalCharacteristics[Feedlot type] = G$13) * (Table_SourceData_Feedlot_AnimalCharacteristics[Characteristic] = $D$14), Table_SourceData_Feedlot_AnimalCharacteristics[2020-2023], "Not Found")</f>
        <v>8.1999999999999993</v>
      </c>
      <c r="H14" s="16" t="s">
        <v>297</v>
      </c>
      <c r="I14" s="16"/>
      <c r="J14" s="16"/>
      <c r="K14" s="16"/>
    </row>
    <row r="15" spans="1:21" ht="20.100000000000001" customHeight="1" x14ac:dyDescent="0.2">
      <c r="A15" s="5" t="str">
        <f>HYPERLINK("#'Input - Electricity'!A1", "Electricity")</f>
        <v>Electricity</v>
      </c>
      <c r="D15" s="1" t="s">
        <v>298</v>
      </c>
      <c r="E15" s="15" cm="1">
        <f t="array" ref="E15">_xlfn.XLOOKUP(1, (Table_SourceData_Feedlot_DietProperties[Feedlot type] = E$13) * (Table_SourceData_Feedlot_DietProperties[Nutrient analysis] = $D$15), Table_SourceData_Feedlot_DietProperties[2020-2023 Converted to fraction], "Not Found")</f>
        <v>4.8</v>
      </c>
      <c r="F15" s="15" cm="1">
        <f t="array" ref="F15">_xlfn.XLOOKUP(1, (Table_SourceData_Feedlot_DietProperties[Feedlot type] = F$13) * (Table_SourceData_Feedlot_DietProperties[Nutrient analysis] = $D$15), Table_SourceData_Feedlot_DietProperties[2020-2023 Converted to fraction], "Not Found")</f>
        <v>5</v>
      </c>
      <c r="G15" s="15" cm="1">
        <f t="array" ref="G15">_xlfn.XLOOKUP(1, (Table_SourceData_Feedlot_DietProperties[Feedlot type] = G$13) * (Table_SourceData_Feedlot_DietProperties[Nutrient analysis] = $D$15), Table_SourceData_Feedlot_DietProperties[2020-2023 Converted to fraction], "Not Found")</f>
        <v>5.5</v>
      </c>
      <c r="H15" s="16" t="s">
        <v>299</v>
      </c>
    </row>
    <row r="16" spans="1:21" ht="20.100000000000001" customHeight="1" x14ac:dyDescent="0.2">
      <c r="A16" s="5" t="str">
        <f>HYPERLINK("#'Input - Common farm inputs'!A1", "Common farm inputs")</f>
        <v>Common farm inputs</v>
      </c>
      <c r="D16" s="1" t="s">
        <v>300</v>
      </c>
      <c r="E16" s="15" cm="1">
        <f t="array" ref="E16">_xlfn.XLOOKUP(1, (Table_SourceData_Feedlot_DietProperties[Feedlot type] = E$13) * (Table_SourceData_Feedlot_DietProperties[Nutrient analysis] = $D$16), Table_SourceData_Feedlot_DietProperties[2020-2023 Converted to fraction], "Not Found")</f>
        <v>22</v>
      </c>
      <c r="F16" s="15" cm="1">
        <f t="array" ref="F16">_xlfn.XLOOKUP(1, (Table_SourceData_Feedlot_DietProperties[Feedlot type] = F$13) * (Table_SourceData_Feedlot_DietProperties[Nutrient analysis] = $D$16), Table_SourceData_Feedlot_DietProperties[2020-2023 Converted to fraction], "Not Found")</f>
        <v>22</v>
      </c>
      <c r="G16" s="15" cm="1">
        <f t="array" ref="G16">_xlfn.XLOOKUP(1, (Table_SourceData_Feedlot_DietProperties[Feedlot type] = G$13) * (Table_SourceData_Feedlot_DietProperties[Nutrient analysis] = $D$16), Table_SourceData_Feedlot_DietProperties[2020-2023 Converted to fraction], "Not Found")</f>
        <v>24</v>
      </c>
      <c r="H16" s="16" t="s">
        <v>299</v>
      </c>
    </row>
    <row r="17" spans="1:11" ht="20.100000000000001" customHeight="1" x14ac:dyDescent="0.2">
      <c r="A17" s="5" t="str">
        <f>HYPERLINK("#'Input - Livestock farm Inputs'!A1", "Livestock farm Inputs")</f>
        <v>Livestock farm Inputs</v>
      </c>
      <c r="D17" s="1" t="s">
        <v>301</v>
      </c>
      <c r="E17" s="15" cm="1">
        <f t="array" ref="E17">_xlfn.XLOOKUP(1, (Table_SourceData_Feedlot_DietProperties[Feedlot type] = E$13) * (Table_SourceData_Feedlot_DietProperties[Nutrient analysis] = $D$17), Table_SourceData_Feedlot_DietProperties[2020-2023 Converted to fraction], "Not Found")</f>
        <v>0.81</v>
      </c>
      <c r="F17" s="15" cm="1">
        <f t="array" ref="F17">_xlfn.XLOOKUP(1, (Table_SourceData_Feedlot_DietProperties[Feedlot type] = F$13) * (Table_SourceData_Feedlot_DietProperties[Nutrient analysis] = $D$17), Table_SourceData_Feedlot_DietProperties[2020-2023 Converted to fraction], "Not Found")</f>
        <v>0.81</v>
      </c>
      <c r="G17" s="15" cm="1">
        <f t="array" ref="G17">_xlfn.XLOOKUP(1, (Table_SourceData_Feedlot_DietProperties[Feedlot type] = G$13) * (Table_SourceData_Feedlot_DietProperties[Nutrient analysis] = $D$17), Table_SourceData_Feedlot_DietProperties[2020-2023 Converted to fraction], "Not Found")</f>
        <v>0.81</v>
      </c>
      <c r="H17" s="16" t="s">
        <v>299</v>
      </c>
      <c r="I17" s="16"/>
      <c r="J17" s="16"/>
      <c r="K17" s="16"/>
    </row>
    <row r="18" spans="1:11" ht="20.100000000000001" customHeight="1" x14ac:dyDescent="0.2">
      <c r="A18" s="5" t="str">
        <f>HYPERLINK("#'Input - Freight'!A1", "Freight")</f>
        <v>Freight</v>
      </c>
      <c r="D18" s="1" t="s">
        <v>302</v>
      </c>
      <c r="E18" s="15" cm="1">
        <f t="array" ref="E18">_xlfn.XLOOKUP(1, (Table_SourceData_Feedlot_DietProperties[Feedlot type] = E$13) * (Table_SourceData_Feedlot_DietProperties[Nutrient analysis] = $D$18), Table_SourceData_Feedlot_DietProperties[2020-2023 Converted to fraction], "Not Found")</f>
        <v>0.14000000000000001</v>
      </c>
      <c r="F18" s="15" cm="1">
        <f t="array" ref="F18">_xlfn.XLOOKUP(1, (Table_SourceData_Feedlot_DietProperties[Feedlot type] = F$13) * (Table_SourceData_Feedlot_DietProperties[Nutrient analysis] = $D$18), Table_SourceData_Feedlot_DietProperties[2020-2023 Converted to fraction], "Not Found")</f>
        <v>0.12</v>
      </c>
      <c r="G18" s="15" cm="1">
        <f t="array" ref="G18">_xlfn.XLOOKUP(1, (Table_SourceData_Feedlot_DietProperties[Feedlot type] = G$13) * (Table_SourceData_Feedlot_DietProperties[Nutrient analysis] = $D$18), Table_SourceData_Feedlot_DietProperties[2020-2023 Converted to fraction], "Not Found")</f>
        <v>0.12</v>
      </c>
      <c r="H18" s="16" t="s">
        <v>299</v>
      </c>
      <c r="I18" s="16"/>
      <c r="J18" s="16"/>
      <c r="K18" s="16"/>
    </row>
    <row r="19" spans="1:11" ht="20.100000000000001" customHeight="1" x14ac:dyDescent="0.2">
      <c r="A19" s="5" t="str">
        <f>HYPERLINK("#'Input - Solid waste'!A1", "Solid waste")</f>
        <v>Solid waste</v>
      </c>
      <c r="D19" s="1" t="s">
        <v>303</v>
      </c>
      <c r="E19" s="15" cm="1">
        <f t="array" ref="E19">_xlfn.XLOOKUP(1, (Table_SourceData_Feedlot_AnimalCharacteristics[Feedlot type] = E$13) * (Table_SourceData_Feedlot_AnimalCharacteristics[Characteristic] = $D$19), Table_SourceData_Feedlot_AnimalCharacteristics[2020-2023], "Not Found")</f>
        <v>20.399999999999999</v>
      </c>
      <c r="F19" s="15" cm="1">
        <f t="array" ref="F19">_xlfn.XLOOKUP(1, (Table_SourceData_Feedlot_AnimalCharacteristics[Feedlot type] = F$13) * (Table_SourceData_Feedlot_AnimalCharacteristics[Characteristic] = $D$19), Table_SourceData_Feedlot_AnimalCharacteristics[2020-2023], "Not Found")</f>
        <v>12.7</v>
      </c>
      <c r="G19" s="15" cm="1">
        <f t="array" ref="G19">_xlfn.XLOOKUP(1, (Table_SourceData_Feedlot_AnimalCharacteristics[Feedlot type] = G$13) * (Table_SourceData_Feedlot_AnimalCharacteristics[Characteristic] = $D$19), Table_SourceData_Feedlot_AnimalCharacteristics[2020-2023], "Not Found")</f>
        <v>7</v>
      </c>
      <c r="H19" s="16" t="s">
        <v>304</v>
      </c>
      <c r="I19" s="16"/>
      <c r="J19" s="16"/>
      <c r="K19" s="16"/>
    </row>
    <row r="20" spans="1:11" ht="20.100000000000001" customHeight="1" x14ac:dyDescent="0.2">
      <c r="A20" s="5" t="str">
        <f>HYPERLINK("#'Input - Manure sent off-site'!A1", "Manure sent off-site")</f>
        <v>Manure sent off-site</v>
      </c>
    </row>
    <row r="21" spans="1:11" ht="20.100000000000001" customHeight="1" x14ac:dyDescent="0.2">
      <c r="A21" s="5" t="str">
        <f>HYPERLINK("#'Input - Data quality'!A1", "Data quality")</f>
        <v>Data quality</v>
      </c>
      <c r="D21" s="99" t="s">
        <v>305</v>
      </c>
      <c r="E21" s="78" t="s">
        <v>289</v>
      </c>
      <c r="F21" s="78" t="s">
        <v>290</v>
      </c>
      <c r="G21" s="78" t="s">
        <v>291</v>
      </c>
    </row>
    <row r="22" spans="1:11" ht="20.100000000000001" customHeight="1" x14ac:dyDescent="0.2">
      <c r="A22" s="5" t="str">
        <f>HYPERLINK("#'Input - Fert Prod System'!A1", "Fert Prod System")</f>
        <v>Fert Prod System</v>
      </c>
      <c r="D22" s="1" t="s">
        <v>296</v>
      </c>
      <c r="E22" s="74" cm="1">
        <f t="array" ref="E22">_xlfn.XLOOKUP(1, (Table_SourceData_Feedlot_AnimalCharacteristics[Feedlot type] = E$21) * (Table_SourceData_Feedlot_AnimalCharacteristics[Characteristic] = $D$22), Table_SourceData_Feedlot_AnimalCharacteristics[2020-2023], "Not Found")</f>
        <v>10.4</v>
      </c>
      <c r="F22" s="74" cm="1">
        <f t="array" ref="F22">_xlfn.XLOOKUP(1, (Table_SourceData_Feedlot_AnimalCharacteristics[Feedlot type] = F$21) * (Table_SourceData_Feedlot_AnimalCharacteristics[Characteristic] = $D$22), Table_SourceData_Feedlot_AnimalCharacteristics[2020-2023], "Not Found")</f>
        <v>10.8</v>
      </c>
      <c r="G22" s="74" cm="1">
        <f t="array" ref="G22">_xlfn.XLOOKUP(1, (Table_SourceData_Feedlot_AnimalCharacteristics[Feedlot type] = G$21) * (Table_SourceData_Feedlot_AnimalCharacteristics[Characteristic] = $D$22), Table_SourceData_Feedlot_AnimalCharacteristics[2020-2023], "Not Found")</f>
        <v>8.1999999999999993</v>
      </c>
      <c r="H22" s="16" t="s">
        <v>297</v>
      </c>
      <c r="I22" s="16"/>
      <c r="J22" s="16"/>
      <c r="K22" s="16"/>
    </row>
    <row r="23" spans="1:11" ht="20.100000000000001" customHeight="1" x14ac:dyDescent="0.2">
      <c r="A23" s="5" t="str">
        <f>HYPERLINK("#'Input - Fertiliser'!A1", "Fertiliser")</f>
        <v>Fertiliser</v>
      </c>
      <c r="D23" s="1" t="s">
        <v>298</v>
      </c>
      <c r="E23" s="74" cm="1">
        <f t="array" ref="E23">_xlfn.XLOOKUP(1, (Table_SourceData_Feedlot_DietProperties[Feedlot type] = E$21) * (Table_SourceData_Feedlot_DietProperties[Nutrient analysis] = $D$23), Table_SourceData_Feedlot_DietProperties[2020-2023 Converted to fraction], "Not Found")</f>
        <v>4.8</v>
      </c>
      <c r="F23" s="74" cm="1">
        <f t="array" ref="F23">_xlfn.XLOOKUP(1, (Table_SourceData_Feedlot_DietProperties[Feedlot type] = F$21) * (Table_SourceData_Feedlot_DietProperties[Nutrient analysis] = $D$23), Table_SourceData_Feedlot_DietProperties[2020-2023 Converted to fraction], "Not Found")</f>
        <v>5</v>
      </c>
      <c r="G23" s="74" cm="1">
        <f t="array" ref="G23">_xlfn.XLOOKUP(1, (Table_SourceData_Feedlot_DietProperties[Feedlot type] = G$21) * (Table_SourceData_Feedlot_DietProperties[Nutrient analysis] = $D$23), Table_SourceData_Feedlot_DietProperties[2020-2023 Converted to fraction], "Not Found")</f>
        <v>5.5</v>
      </c>
      <c r="H23" s="16" t="s">
        <v>299</v>
      </c>
    </row>
    <row r="24" spans="1:11" ht="20.100000000000001" customHeight="1" x14ac:dyDescent="0.2">
      <c r="D24" s="1" t="s">
        <v>300</v>
      </c>
      <c r="E24" s="74" cm="1">
        <f t="array" ref="E24">_xlfn.XLOOKUP(1, (Table_SourceData_Feedlot_DietProperties[Feedlot type] = E$21) * (Table_SourceData_Feedlot_DietProperties[Nutrient analysis] = $D$24), Table_SourceData_Feedlot_DietProperties[2020-2023 Converted to fraction], "Not Found")</f>
        <v>22</v>
      </c>
      <c r="F24" s="74" cm="1">
        <f t="array" ref="F24">_xlfn.XLOOKUP(1, (Table_SourceData_Feedlot_DietProperties[Feedlot type] = F$21) * (Table_SourceData_Feedlot_DietProperties[Nutrient analysis] = $D$24), Table_SourceData_Feedlot_DietProperties[2020-2023 Converted to fraction], "Not Found")</f>
        <v>22</v>
      </c>
      <c r="G24" s="74" cm="1">
        <f t="array" ref="G24">_xlfn.XLOOKUP(1, (Table_SourceData_Feedlot_DietProperties[Feedlot type] = G$21) * (Table_SourceData_Feedlot_DietProperties[Nutrient analysis] = $D$24), Table_SourceData_Feedlot_DietProperties[2020-2023 Converted to fraction], "Not Found")</f>
        <v>24</v>
      </c>
      <c r="H24" s="16" t="s">
        <v>299</v>
      </c>
    </row>
    <row r="25" spans="1:11" ht="20.100000000000001" customHeight="1" x14ac:dyDescent="0.2">
      <c r="D25" s="1" t="s">
        <v>301</v>
      </c>
      <c r="E25" s="74" cm="1">
        <f t="array" ref="E25">_xlfn.XLOOKUP(1, (Table_SourceData_Feedlot_DietProperties[Feedlot type] = E$21) * (Table_SourceData_Feedlot_DietProperties[Nutrient analysis] = $D$25), Table_SourceData_Feedlot_DietProperties[2020-2023 Converted to fraction], "Not Found")</f>
        <v>0.81</v>
      </c>
      <c r="F25" s="74" cm="1">
        <f t="array" ref="F25">_xlfn.XLOOKUP(1, (Table_SourceData_Feedlot_DietProperties[Feedlot type] = F$21) * (Table_SourceData_Feedlot_DietProperties[Nutrient analysis] = $D$25), Table_SourceData_Feedlot_DietProperties[2020-2023 Converted to fraction], "Not Found")</f>
        <v>0.81</v>
      </c>
      <c r="G25" s="74" cm="1">
        <f t="array" ref="G25">_xlfn.XLOOKUP(1, (Table_SourceData_Feedlot_DietProperties[Feedlot type] = G$21) * (Table_SourceData_Feedlot_DietProperties[Nutrient analysis] = $D$25), Table_SourceData_Feedlot_DietProperties[2020-2023 Converted to fraction], "Not Found")</f>
        <v>0.81</v>
      </c>
      <c r="H25" s="16" t="s">
        <v>299</v>
      </c>
      <c r="I25" s="16"/>
      <c r="J25" s="16"/>
      <c r="K25" s="16"/>
    </row>
    <row r="26" spans="1:11" ht="20.100000000000001" customHeight="1" x14ac:dyDescent="0.2">
      <c r="A26" s="6" t="s">
        <v>2</v>
      </c>
      <c r="D26" s="1" t="s">
        <v>302</v>
      </c>
      <c r="E26" s="74" cm="1">
        <f t="array" ref="E26">_xlfn.XLOOKUP(1, (Table_SourceData_Feedlot_DietProperties[Feedlot type] = E$21) * (Table_SourceData_Feedlot_DietProperties[Nutrient analysis] = $D$26), Table_SourceData_Feedlot_DietProperties[2020-2023 Converted to fraction], "Not Found")</f>
        <v>0.14000000000000001</v>
      </c>
      <c r="F26" s="74" cm="1">
        <f t="array" ref="F26">_xlfn.XLOOKUP(1, (Table_SourceData_Feedlot_DietProperties[Feedlot type] = F$21) * (Table_SourceData_Feedlot_DietProperties[Nutrient analysis] = $D$26), Table_SourceData_Feedlot_DietProperties[2020-2023 Converted to fraction], "Not Found")</f>
        <v>0.12</v>
      </c>
      <c r="G26" s="74" cm="1">
        <f t="array" ref="G26">_xlfn.XLOOKUP(1, (Table_SourceData_Feedlot_DietProperties[Feedlot type] = G$21) * (Table_SourceData_Feedlot_DietProperties[Nutrient analysis] = $D$26), Table_SourceData_Feedlot_DietProperties[2020-2023 Converted to fraction], "Not Found")</f>
        <v>0.12</v>
      </c>
      <c r="H26" s="16" t="s">
        <v>299</v>
      </c>
      <c r="I26" s="16"/>
      <c r="J26" s="16"/>
      <c r="K26" s="16"/>
    </row>
    <row r="27" spans="1:11" ht="20.100000000000001" customHeight="1" x14ac:dyDescent="0.2">
      <c r="A27" s="5" t="str">
        <f>HYPERLINK("#'3.1.1.1-2 Enteric Methane'!A1", "3.1.1.1-2 Enteric Methane")</f>
        <v>3.1.1.1-2 Enteric Methane</v>
      </c>
      <c r="D27" s="1" t="s">
        <v>303</v>
      </c>
      <c r="E27" s="74" cm="1">
        <f t="array" ref="E27">_xlfn.XLOOKUP(1, (Table_SourceData_Feedlot_AnimalCharacteristics[Feedlot type] = E$21) * (Table_SourceData_Feedlot_AnimalCharacteristics[Characteristic] = $D$27), Table_SourceData_Feedlot_AnimalCharacteristics[2020-2023], "Not Found")</f>
        <v>20.399999999999999</v>
      </c>
      <c r="F27" s="74" cm="1">
        <f t="array" ref="F27">_xlfn.XLOOKUP(1, (Table_SourceData_Feedlot_AnimalCharacteristics[Feedlot type] = F$21) * (Table_SourceData_Feedlot_AnimalCharacteristics[Characteristic] = $D$27), Table_SourceData_Feedlot_AnimalCharacteristics[2020-2023], "Not Found")</f>
        <v>12.7</v>
      </c>
      <c r="G27" s="74" cm="1">
        <f t="array" ref="G27">_xlfn.XLOOKUP(1, (Table_SourceData_Feedlot_AnimalCharacteristics[Feedlot type] = G$21) * (Table_SourceData_Feedlot_AnimalCharacteristics[Characteristic] = $D$27), Table_SourceData_Feedlot_AnimalCharacteristics[2020-2023], "Not Found")</f>
        <v>7</v>
      </c>
      <c r="H27" s="16" t="s">
        <v>304</v>
      </c>
      <c r="I27" s="16"/>
      <c r="J27" s="16"/>
      <c r="K27" s="16"/>
    </row>
    <row r="28" spans="1:11" ht="20.100000000000001" customHeight="1" x14ac:dyDescent="0.2">
      <c r="A28" s="5" t="str">
        <f>HYPERLINK("#'4.1.1.1-2 Methane'!A1", "4.1.1.1-2 Manure Methane")</f>
        <v>4.1.1.1-2 Manure Methane</v>
      </c>
    </row>
    <row r="29" spans="1:11" ht="20.100000000000001" customHeight="1" x14ac:dyDescent="0.2">
      <c r="A29" s="5" t="str">
        <f>HYPERLINK("#'4.1.1.3-4 Direct N20'!A1", "4.1.1.3-4 Manure Direct N2O")</f>
        <v>4.1.1.3-4 Manure Direct N2O</v>
      </c>
      <c r="D29" s="2" t="s">
        <v>306</v>
      </c>
    </row>
    <row r="30" spans="1:11" ht="20.100000000000001" customHeight="1" x14ac:dyDescent="0.2">
      <c r="A30" s="5" t="str">
        <f>HYPERLINK("#'4.1.1.5-6 Atmos Deposition'!A1", "4.1.1.5-6 Manure Atmos Dep")</f>
        <v>4.1.1.5-6 Manure Atmos Dep</v>
      </c>
    </row>
    <row r="31" spans="1:11" ht="20.100000000000001" customHeight="1" x14ac:dyDescent="0.2">
      <c r="A31" s="5" t="str">
        <f>HYPERLINK("#'4.1.1.9 Manure applied to soils'!A1", "4.1.1.9 Manure applied to soils")</f>
        <v>4.1.1.9 Manure applied to soils</v>
      </c>
      <c r="D31" s="99" t="s">
        <v>307</v>
      </c>
      <c r="E31" s="102" t="s">
        <v>289</v>
      </c>
      <c r="F31" s="102" t="s">
        <v>290</v>
      </c>
      <c r="G31" s="102" t="s">
        <v>291</v>
      </c>
    </row>
    <row r="32" spans="1:11" ht="20.100000000000001" customHeight="1" x14ac:dyDescent="0.2">
      <c r="A32" s="5" t="str">
        <f>HYPERLINK("#'8.1.1.1-2 Transport fuel'!A1", "8.1.1.1-2 Transport fuel")</f>
        <v>8.1.1.1-2 Transport fuel</v>
      </c>
      <c r="D32" s="103" t="s">
        <v>308</v>
      </c>
      <c r="E32" s="104">
        <v>1</v>
      </c>
      <c r="F32" s="104">
        <v>1</v>
      </c>
      <c r="G32" s="104">
        <v>1</v>
      </c>
      <c r="H32" s="16" t="s">
        <v>140</v>
      </c>
      <c r="I32" s="16"/>
      <c r="J32" s="16"/>
      <c r="K32" s="16"/>
    </row>
    <row r="33" spans="1:11" ht="20.100000000000001" customHeight="1" x14ac:dyDescent="0.2">
      <c r="A33" s="5" t="str">
        <f>HYPERLINK("#'8.2.1.1-2 Stationary fuel'!A1", "8.2.1.1-2 Stationary fuel")</f>
        <v>8.2.1.1-2 Stationary fuel</v>
      </c>
      <c r="D33" s="105" t="s">
        <v>309</v>
      </c>
    </row>
    <row r="34" spans="1:11" ht="20.100000000000001" customHeight="1" x14ac:dyDescent="0.2">
      <c r="A34" s="5" t="str">
        <f>HYPERLINK("#'10.1.1-2 Solid waste treatment'!A1", "10.1.1.1-2 Solid waste")</f>
        <v>10.1.1.1-2 Solid waste</v>
      </c>
      <c r="D34" s="106" t="s">
        <v>310</v>
      </c>
      <c r="E34" s="102" t="s">
        <v>289</v>
      </c>
      <c r="F34" s="102" t="s">
        <v>290</v>
      </c>
      <c r="G34" s="102" t="s">
        <v>291</v>
      </c>
      <c r="H34" s="107" t="s">
        <v>311</v>
      </c>
      <c r="I34" s="99" t="s">
        <v>312</v>
      </c>
      <c r="J34" s="99"/>
      <c r="K34" s="99"/>
    </row>
    <row r="35" spans="1:11" ht="20.100000000000001" customHeight="1" x14ac:dyDescent="0.2">
      <c r="A35" s="5" t="str">
        <f>HYPERLINK("#'14.1.1-2 Purchased electricity'!A1", "14.1.1-2 Purchased electricity")</f>
        <v>14.1.1-2 Purchased electricity</v>
      </c>
      <c r="D35" s="108" t="str">
        <f>"From Stage 1: " &amp; $D$32 &amp; " to:"</f>
        <v>From Stage 1: Drylot (feed pad) to:</v>
      </c>
      <c r="E35" s="25"/>
      <c r="I35" s="109" t="s">
        <v>313</v>
      </c>
      <c r="J35" s="109" t="s">
        <v>314</v>
      </c>
      <c r="K35" s="109" t="s">
        <v>315</v>
      </c>
    </row>
    <row r="36" spans="1:11" ht="20.100000000000001" customHeight="1" x14ac:dyDescent="0.2">
      <c r="A36" s="5" t="str">
        <f>HYPERLINK("#'15 Scope 3'!A1", "15 Scope 3")</f>
        <v>15 Scope 3</v>
      </c>
      <c r="D36" s="110" t="str">
        <f>'Constants - Feedlot'!D29</f>
        <v>Solid storage</v>
      </c>
      <c r="E36" s="18">
        <v>0.2</v>
      </c>
      <c r="F36" s="18">
        <v>0.2</v>
      </c>
      <c r="G36" s="18">
        <v>0.2</v>
      </c>
      <c r="H36" s="16" t="s">
        <v>140</v>
      </c>
      <c r="I36" s="18">
        <v>0.25</v>
      </c>
      <c r="J36" s="18">
        <v>0.25</v>
      </c>
      <c r="K36" s="104">
        <f t="shared" ref="K36:K38" si="0">1-SUM(I36:J36)</f>
        <v>0.5</v>
      </c>
    </row>
    <row r="37" spans="1:11" ht="20.100000000000001" customHeight="1" x14ac:dyDescent="0.2">
      <c r="A37" s="5" t="str">
        <f>HYPERLINK("#'Calcs - Manure sent off-site'!A1", "Calcs - Manure sent off-site")</f>
        <v>Calcs - Manure sent off-site</v>
      </c>
      <c r="D37" s="110" t="str">
        <f>'Constants - Feedlot'!D30</f>
        <v>Composting (passive windrow)</v>
      </c>
      <c r="E37" s="18">
        <v>0.2</v>
      </c>
      <c r="F37" s="18">
        <v>0.2</v>
      </c>
      <c r="G37" s="18">
        <v>0.2</v>
      </c>
      <c r="H37" s="16" t="s">
        <v>140</v>
      </c>
      <c r="I37" s="18">
        <v>0.25</v>
      </c>
      <c r="J37" s="18">
        <v>0.25</v>
      </c>
      <c r="K37" s="104">
        <f t="shared" si="0"/>
        <v>0.5</v>
      </c>
    </row>
    <row r="38" spans="1:11" ht="20.100000000000001" customHeight="1" x14ac:dyDescent="0.2">
      <c r="A38" s="5" t="str">
        <f>HYPERLINK("#'5.1.1.1-2 Inorganic fert N2O'!A1", "5.1.1.1-2 Inorganic fert N2O")</f>
        <v>5.1.1.1-2 Inorganic fert N2O</v>
      </c>
      <c r="D38" s="110" t="s">
        <v>81</v>
      </c>
      <c r="E38" s="104">
        <f>1-SUM(E36, E37)</f>
        <v>0.6</v>
      </c>
      <c r="F38" s="104">
        <f t="shared" ref="F38:G38" si="1">1-SUM(F36, F37)</f>
        <v>0.6</v>
      </c>
      <c r="G38" s="104">
        <f t="shared" si="1"/>
        <v>0.6</v>
      </c>
      <c r="H38" s="16" t="s">
        <v>140</v>
      </c>
      <c r="I38" s="104">
        <v>0</v>
      </c>
      <c r="J38" s="104">
        <v>0</v>
      </c>
      <c r="K38" s="104">
        <f t="shared" si="0"/>
        <v>1</v>
      </c>
    </row>
    <row r="39" spans="1:11" ht="20.100000000000001" customHeight="1" x14ac:dyDescent="0.2">
      <c r="A39" s="5" t="str">
        <f>HYPERLINK("#'5.1.1.3-4 Inorganic fert CO2'!A1", "5.1.1.3-4 Inorganic fert CO2")</f>
        <v>5.1.1.3-4 Inorganic fert CO2</v>
      </c>
    </row>
    <row r="40" spans="1:11" ht="20.100000000000001" customHeight="1" x14ac:dyDescent="0.2">
      <c r="A40" s="5" t="str">
        <f>HYPERLINK("#'5.2.1.1-2 Organic Fert N2O'!A1", "5.2.1.1-2 Organic Fert N2O")</f>
        <v>5.2.1.1-2 Organic Fert N2O</v>
      </c>
      <c r="D40" s="111" t="s">
        <v>316</v>
      </c>
      <c r="E40" s="102" t="s">
        <v>289</v>
      </c>
      <c r="F40" s="102" t="s">
        <v>290</v>
      </c>
      <c r="G40" s="102" t="s">
        <v>291</v>
      </c>
      <c r="H40" s="107" t="s">
        <v>311</v>
      </c>
      <c r="I40" s="99" t="s">
        <v>317</v>
      </c>
      <c r="J40" s="99"/>
      <c r="K40" s="99"/>
    </row>
    <row r="41" spans="1:11" ht="20.100000000000001" customHeight="1" x14ac:dyDescent="0.2">
      <c r="A41" s="5" t="str">
        <f>HYPERLINK("#'5.3.1.1-2 Lime CO2'!A1", "5.3.1.1-2 Lime CO2")</f>
        <v>5.3.1.1-2 Lime CO2</v>
      </c>
      <c r="D41" s="108" t="str">
        <f>"From Stage 1: " &amp; $D$32 &amp; " to:"</f>
        <v>From Stage 1: Drylot (feed pad) to:</v>
      </c>
      <c r="I41" s="109" t="s">
        <v>313</v>
      </c>
      <c r="J41" s="109" t="s">
        <v>314</v>
      </c>
      <c r="K41" s="109" t="s">
        <v>315</v>
      </c>
    </row>
    <row r="42" spans="1:11" ht="20.100000000000001" customHeight="1" x14ac:dyDescent="0.2">
      <c r="A42" s="5" t="str">
        <f>HYPERLINK("#'5.4.1.1-4 Atmos deposition'!A1", "5.4.1.1-4 Atmos deposition")</f>
        <v>5.4.1.1-4 Atmos deposition</v>
      </c>
      <c r="D42" s="110" t="str">
        <f>'Constants - Feedlot'!$D$32</f>
        <v>Anaerobic lagoon</v>
      </c>
      <c r="E42" s="104">
        <f>SourceData_Feedlot_MMSm1T3_Data</f>
        <v>0.02</v>
      </c>
      <c r="F42" s="104">
        <f>SourceData_Feedlot_MMSm1T3_Data</f>
        <v>0.02</v>
      </c>
      <c r="G42" s="104">
        <f>SourceData_Feedlot_MMSm1T3_Data</f>
        <v>0.02</v>
      </c>
      <c r="H42" s="16" t="s">
        <v>140</v>
      </c>
      <c r="I42" s="18">
        <v>0.25</v>
      </c>
      <c r="J42" s="18">
        <v>0.25</v>
      </c>
      <c r="K42" s="104">
        <f>1-SUM(I42:J42)</f>
        <v>0.5</v>
      </c>
    </row>
    <row r="43" spans="1:11" ht="20.100000000000001" customHeight="1" x14ac:dyDescent="0.2">
      <c r="A43" s="5" t="str">
        <f>HYPERLINK("#'5.5.1.1-2 Leaching and runoff'!A1", "5.5.1.1-2 Leaching and runoff")</f>
        <v>5.5.1.1-2 Leaching and runoff</v>
      </c>
    </row>
    <row r="45" spans="1:11" ht="20.100000000000001" customHeight="1" x14ac:dyDescent="0.2">
      <c r="D45" s="1" t="s">
        <v>318</v>
      </c>
      <c r="E45" s="13" t="s">
        <v>319</v>
      </c>
      <c r="F45" s="16" t="s">
        <v>100</v>
      </c>
    </row>
    <row r="46" spans="1:11" ht="20.100000000000001" customHeight="1" x14ac:dyDescent="0.2">
      <c r="A46" s="80" t="s">
        <v>1</v>
      </c>
      <c r="E46" s="13" t="s">
        <v>320</v>
      </c>
      <c r="F46" s="16" t="s">
        <v>100</v>
      </c>
    </row>
    <row r="47" spans="1:11" ht="20.100000000000001" customHeight="1" x14ac:dyDescent="0.2">
      <c r="A47" s="5" t="str">
        <f>HYPERLINK("#'Constants - Feedlot'!A1", "Constants - Feedlot")</f>
        <v>Constants - Feedlot</v>
      </c>
      <c r="I47" s="16"/>
      <c r="J47" s="16"/>
      <c r="K47" s="16"/>
    </row>
    <row r="48" spans="1:11" ht="20.100000000000001" customHeight="1" x14ac:dyDescent="0.2">
      <c r="A48" s="5" t="str">
        <f>HYPERLINK("#'Constants - Common livestock'!A1", "Constants - Common Livestock")</f>
        <v>Constants - Common Livestock</v>
      </c>
      <c r="I48" s="16"/>
      <c r="J48" s="16"/>
      <c r="K48" s="16"/>
    </row>
    <row r="49" spans="1:11" ht="20.100000000000001" customHeight="1" x14ac:dyDescent="0.2">
      <c r="A49" s="5" t="str">
        <f>HYPERLINK("#'Constants - Electricity'!A1", "Constants - Electricity")</f>
        <v>Constants - Electricity</v>
      </c>
      <c r="I49" s="16"/>
      <c r="J49" s="16"/>
      <c r="K49" s="16"/>
    </row>
    <row r="50" spans="1:11" ht="20.100000000000001" customHeight="1" x14ac:dyDescent="0.2">
      <c r="A50" s="5" t="str">
        <f>HYPERLINK("#'Constants - Fertiliser'!A1", "Constants - Fertiliser")</f>
        <v>Constants - Fertiliser</v>
      </c>
    </row>
    <row r="51" spans="1:11" ht="20.100000000000001" customHeight="1" x14ac:dyDescent="0.2">
      <c r="A51" s="5" t="str">
        <f>HYPERLINK("#'Constants - Fuel'!A1", "Constants - Fuel")</f>
        <v>Constants - Fuel</v>
      </c>
    </row>
    <row r="52" spans="1:11" ht="20.100000000000001" customHeight="1" x14ac:dyDescent="0.2">
      <c r="A52" s="5" t="str">
        <f>HYPERLINK("#'Constants - Scope 3'!A1", "Constants - Scope 3")</f>
        <v>Constants - Scope 3</v>
      </c>
      <c r="I52" s="16"/>
      <c r="J52" s="16"/>
      <c r="K52" s="16"/>
    </row>
    <row r="53" spans="1:11" ht="20.100000000000001" customHeight="1" x14ac:dyDescent="0.2">
      <c r="A53" s="5" t="str">
        <f>HYPERLINK("#'Constants - Solid Waste'!A1", "Constants - Solid Waste")</f>
        <v>Constants - Solid Waste</v>
      </c>
      <c r="I53" s="16"/>
      <c r="J53" s="16"/>
      <c r="K53" s="16"/>
    </row>
    <row r="54" spans="1:11" ht="20.100000000000001" customHeight="1" x14ac:dyDescent="0.2">
      <c r="A54" s="5" t="str">
        <f>HYPERLINK("#'Constants - Common'!A1", "Constants - Common")</f>
        <v>Constants - Common</v>
      </c>
    </row>
    <row r="55" spans="1:11" ht="20.100000000000001" customHeight="1" x14ac:dyDescent="0.2">
      <c r="A55" s="5" t="str">
        <f>HYPERLINK("#'Acknowledgements'!A1", "Acknowledgements")</f>
        <v>Acknowledgements</v>
      </c>
      <c r="I55" s="16"/>
      <c r="J55" s="16"/>
      <c r="K55" s="16"/>
    </row>
    <row r="56" spans="1:11" ht="20.100000000000001" customHeight="1" x14ac:dyDescent="0.2">
      <c r="I56" s="16"/>
      <c r="J56" s="16"/>
      <c r="K56" s="16"/>
    </row>
    <row r="57" spans="1:11" ht="20.100000000000001" customHeight="1" x14ac:dyDescent="0.2">
      <c r="D57" s="87"/>
    </row>
  </sheetData>
  <dataValidations count="4">
    <dataValidation type="list" allowBlank="1" showInputMessage="1" showErrorMessage="1" sqref="E46" xr:uid="{74375470-51A1-4536-95E3-148D12CBB133}">
      <formula1>INDIRECT("Table_SourceData_Feedlot_IrrigationMethods[Irrigation method]")</formula1>
    </dataValidation>
    <dataValidation type="list" allowBlank="1" showInputMessage="1" showErrorMessage="1" sqref="E45" xr:uid="{A5DE06B4-B432-4A4C-8E9C-00CDD0EE6433}">
      <formula1>INDIRECT("Table_SourceData_Feedlot_CropProdSystems[Production system]")</formula1>
    </dataValidation>
    <dataValidation operator="equal" allowBlank="1" showInputMessage="1" showErrorMessage="1" sqref="E42:G42" xr:uid="{DFCFBA5A-88F2-451D-BC38-D3C3AB04BC59}"/>
    <dataValidation type="whole" operator="equal" allowBlank="1" showInputMessage="1" showErrorMessage="1" sqref="E32:G32" xr:uid="{609C455C-73CA-4DE9-9019-1C9D79A8FAC3}">
      <formula1>1</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A1:M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customHeight="1" x14ac:dyDescent="0.35">
      <c r="C1" s="10" t="s">
        <v>257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87" t="s">
        <v>258</v>
      </c>
    </row>
    <row r="6" spans="1:13" ht="20.100000000000001" customHeight="1" x14ac:dyDescent="0.2">
      <c r="D6" s="19" t="s">
        <v>259</v>
      </c>
      <c r="E6" s="19" t="s">
        <v>260</v>
      </c>
      <c r="F6" s="19" t="s">
        <v>261</v>
      </c>
      <c r="G6" s="19" t="s">
        <v>262</v>
      </c>
      <c r="H6" s="19" t="s">
        <v>263</v>
      </c>
      <c r="I6" s="19" t="s">
        <v>264</v>
      </c>
    </row>
    <row r="7" spans="1:13" ht="20.100000000000001" customHeight="1" x14ac:dyDescent="0.2">
      <c r="D7" s="33"/>
      <c r="E7" s="13"/>
      <c r="F7" s="97">
        <v>45566</v>
      </c>
      <c r="G7" s="19">
        <v>10</v>
      </c>
      <c r="H7" s="19">
        <v>500</v>
      </c>
      <c r="I7" s="15">
        <f t="shared" ref="I7:I16" si="0">G7*H7</f>
        <v>5000</v>
      </c>
    </row>
    <row r="8" spans="1:13" ht="20.100000000000001" customHeight="1" x14ac:dyDescent="0.2">
      <c r="A8" s="7" t="s">
        <v>0</v>
      </c>
      <c r="D8" s="33"/>
      <c r="E8" s="13"/>
      <c r="F8" s="97"/>
      <c r="G8" s="19"/>
      <c r="H8" s="19"/>
      <c r="I8" s="15">
        <f t="shared" si="0"/>
        <v>0</v>
      </c>
    </row>
    <row r="9" spans="1:13" ht="20.100000000000001" customHeight="1" x14ac:dyDescent="0.2">
      <c r="A9" s="5" t="str">
        <f>HYPERLINK("#'Input - Enterprise'!A1", "Enterprise")</f>
        <v>Enterprise</v>
      </c>
      <c r="D9" s="33"/>
      <c r="E9" s="13"/>
      <c r="F9" s="97"/>
      <c r="G9" s="19"/>
      <c r="H9" s="19"/>
      <c r="I9" s="15">
        <f t="shared" si="0"/>
        <v>0</v>
      </c>
    </row>
    <row r="10" spans="1:13" ht="20.100000000000001" customHeight="1" x14ac:dyDescent="0.2">
      <c r="A10" s="5" t="str">
        <f>HYPERLINK("#'Input - Site'!A1", "Site")</f>
        <v>Site</v>
      </c>
      <c r="D10" s="33"/>
      <c r="E10" s="13"/>
      <c r="F10" s="97"/>
      <c r="G10" s="19"/>
      <c r="H10" s="19"/>
      <c r="I10" s="15">
        <f t="shared" si="0"/>
        <v>0</v>
      </c>
    </row>
    <row r="11" spans="1:13" ht="20.100000000000001" customHeight="1" x14ac:dyDescent="0.2">
      <c r="A11" s="5" t="str">
        <f>HYPERLINK("#'Input - Feedlot'!A1", "Feedlot")</f>
        <v>Feedlot</v>
      </c>
      <c r="D11" s="33"/>
      <c r="E11" s="13"/>
      <c r="F11" s="97"/>
      <c r="G11" s="19"/>
      <c r="H11" s="19"/>
      <c r="I11" s="15">
        <f t="shared" si="0"/>
        <v>0</v>
      </c>
    </row>
    <row r="12" spans="1:13" ht="20.100000000000001" customHeight="1" x14ac:dyDescent="0.2">
      <c r="A12" s="101" t="str">
        <f>HYPERLINK("#'Input - Livestock sales'!A1", "Livestock sales")</f>
        <v>Livestock sales</v>
      </c>
      <c r="D12" s="33"/>
      <c r="E12" s="13"/>
      <c r="F12" s="97"/>
      <c r="G12" s="19"/>
      <c r="H12" s="19"/>
      <c r="I12" s="15">
        <f t="shared" si="0"/>
        <v>0</v>
      </c>
    </row>
    <row r="13" spans="1:13" ht="20.100000000000001" customHeight="1" x14ac:dyDescent="0.2">
      <c r="A13" s="5" t="str">
        <f>HYPERLINK("#'Input - Beef cattle purchases'!A1", "Beef cattle purchases")</f>
        <v>Beef cattle purchases</v>
      </c>
      <c r="D13" s="33"/>
      <c r="E13" s="13"/>
      <c r="F13" s="97"/>
      <c r="G13" s="19"/>
      <c r="H13" s="19"/>
      <c r="I13" s="15">
        <f t="shared" si="0"/>
        <v>0</v>
      </c>
    </row>
    <row r="14" spans="1:13" ht="20.100000000000001" customHeight="1" x14ac:dyDescent="0.2">
      <c r="A14" s="5" t="str">
        <f>HYPERLINK("#'Input - Fuel'!A1", "Fuel")</f>
        <v>Fuel</v>
      </c>
      <c r="D14" s="33"/>
      <c r="E14" s="13"/>
      <c r="F14" s="97"/>
      <c r="G14" s="19"/>
      <c r="H14" s="19"/>
      <c r="I14" s="15">
        <f t="shared" si="0"/>
        <v>0</v>
      </c>
    </row>
    <row r="15" spans="1:13" ht="20.100000000000001" customHeight="1" x14ac:dyDescent="0.2">
      <c r="A15" s="5" t="str">
        <f>HYPERLINK("#'Input - Electricity'!A1", "Electricity")</f>
        <v>Electricity</v>
      </c>
      <c r="D15" s="33"/>
      <c r="E15" s="13"/>
      <c r="F15" s="97"/>
      <c r="G15" s="19"/>
      <c r="H15" s="19"/>
      <c r="I15" s="15">
        <f t="shared" si="0"/>
        <v>0</v>
      </c>
    </row>
    <row r="16" spans="1:13" ht="20.100000000000001" customHeight="1" x14ac:dyDescent="0.2">
      <c r="A16" s="5" t="str">
        <f>HYPERLINK("#'Input - Common farm inputs'!A1", "Common farm inputs")</f>
        <v>Common farm inputs</v>
      </c>
      <c r="D16" s="33"/>
      <c r="E16" s="13"/>
      <c r="F16" s="97"/>
      <c r="G16" s="19"/>
      <c r="H16" s="19"/>
      <c r="I16" s="15">
        <f t="shared" si="0"/>
        <v>0</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HYPERLINK("#'3.1.1.1-2 Enteric Methane'!A1", "3.1.1.1-2 Enteric Methane")</f>
        <v>3.1.1.1-2 Enteric Methane</v>
      </c>
    </row>
    <row r="28" spans="1:1" ht="20.100000000000001" customHeight="1" x14ac:dyDescent="0.2">
      <c r="A28" s="5" t="str">
        <f>HYPERLINK("#'4.1.1.1-2 Methane'!A1", "4.1.1.1-2 Manure Methane")</f>
        <v>4.1.1.1-2 Manure Methane</v>
      </c>
    </row>
    <row r="29" spans="1:1" ht="20.100000000000001" customHeight="1" x14ac:dyDescent="0.2">
      <c r="A29" s="5" t="str">
        <f>HYPERLINK("#'4.1.1.3-4 Direct N20'!A1", "4.1.1.3-4 Manure Direct N2O")</f>
        <v>4.1.1.3-4 Manure Direct N2O</v>
      </c>
    </row>
    <row r="30" spans="1:1" ht="20.100000000000001" customHeight="1" x14ac:dyDescent="0.2">
      <c r="A30" s="5" t="str">
        <f>HYPERLINK("#'4.1.1.5-6 Atmos Deposition'!A1", "4.1.1.5-6 Manure Atmos Dep")</f>
        <v>4.1.1.5-6 Manure Atmos Dep</v>
      </c>
    </row>
    <row r="31" spans="1:1" ht="20.100000000000001" customHeight="1" x14ac:dyDescent="0.2">
      <c r="A31" s="5" t="str">
        <f>HYPERLINK("#'4.1.1.9 Manure applied to soils'!A1", "4.1.1.9 Manure applied to soils")</f>
        <v>4.1.1.9 Manure applied to soils</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dataValidations count="1">
    <dataValidation type="list" allowBlank="1" showInputMessage="1" showErrorMessage="1" sqref="E7:E16" xr:uid="{083DF14A-00E2-452A-8599-A053B3BDEC80}">
      <formula1>INDIRECT("Table_LivestockClasses_Feedlot[Livestock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4EB0D-71DB-4971-8556-19C5D93E93F3}">
  <sheetPr>
    <tabColor theme="5" tint="-0.249977111117893"/>
  </sheetPr>
  <dimension ref="A1:L63"/>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11" width="30.5703125" style="1" customWidth="1"/>
    <col min="12" max="12" width="4.5703125" style="1" customWidth="1"/>
    <col min="13" max="16" width="30.5703125" customWidth="1"/>
  </cols>
  <sheetData>
    <row r="1" spans="1:12" ht="30" customHeight="1" x14ac:dyDescent="0.35">
      <c r="A1" s="10" t="e" vm="1">
        <v>#VALUE!</v>
      </c>
      <c r="B1" s="236"/>
      <c r="C1" s="10" t="s">
        <v>931</v>
      </c>
      <c r="D1" s="10"/>
      <c r="E1" s="10"/>
      <c r="F1" s="10"/>
      <c r="G1" s="10"/>
      <c r="H1" s="10"/>
      <c r="I1" s="10"/>
      <c r="J1" s="10"/>
      <c r="K1" s="10"/>
      <c r="L1" s="10"/>
    </row>
    <row r="2" spans="1:12" ht="20.100000000000001" customHeight="1" x14ac:dyDescent="0.2">
      <c r="C2" s="3"/>
      <c r="D2" s="3"/>
      <c r="E2" s="3"/>
      <c r="F2" s="3"/>
      <c r="G2" s="3"/>
      <c r="H2" s="3"/>
      <c r="I2" s="3"/>
      <c r="J2" s="3"/>
      <c r="K2" s="3"/>
      <c r="L2" s="3"/>
    </row>
    <row r="3" spans="1:12" ht="20.100000000000001" customHeight="1" x14ac:dyDescent="0.2">
      <c r="A3" s="5" t="str">
        <f>HYPERLINK("#'Home'!A1", "Home")</f>
        <v>Home</v>
      </c>
      <c r="C3" s="28"/>
      <c r="D3" s="28"/>
      <c r="E3" s="28"/>
      <c r="F3" s="28"/>
      <c r="G3" s="28"/>
      <c r="H3" s="28"/>
      <c r="I3" s="28"/>
      <c r="J3" s="28"/>
      <c r="K3" s="28"/>
      <c r="L3" s="28"/>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87" t="s">
        <v>932</v>
      </c>
      <c r="E5" s="237"/>
      <c r="F5" s="237"/>
      <c r="G5" s="237"/>
      <c r="H5" s="237"/>
      <c r="I5" s="237"/>
      <c r="J5" s="237"/>
    </row>
    <row r="6" spans="1:12" ht="20.100000000000001" customHeight="1" x14ac:dyDescent="0.2">
      <c r="D6" s="19" t="s">
        <v>259</v>
      </c>
      <c r="E6" s="19" t="s">
        <v>933</v>
      </c>
      <c r="F6" s="19" t="s">
        <v>260</v>
      </c>
      <c r="G6" s="19" t="s">
        <v>934</v>
      </c>
      <c r="H6" s="19" t="s">
        <v>935</v>
      </c>
      <c r="I6" s="19" t="s">
        <v>936</v>
      </c>
      <c r="J6" s="238" t="s">
        <v>937</v>
      </c>
      <c r="K6" s="238" t="s">
        <v>938</v>
      </c>
    </row>
    <row r="7" spans="1:12" ht="20.100000000000001" customHeight="1" x14ac:dyDescent="0.2">
      <c r="D7" s="33" t="s">
        <v>939</v>
      </c>
      <c r="E7" s="239">
        <v>45547</v>
      </c>
      <c r="F7" s="13" t="s">
        <v>940</v>
      </c>
      <c r="G7" s="196" t="s">
        <v>941</v>
      </c>
      <c r="H7" s="13" t="s">
        <v>942</v>
      </c>
      <c r="I7" s="74">
        <v>100</v>
      </c>
      <c r="J7" s="15"/>
      <c r="K7" s="74">
        <v>205</v>
      </c>
    </row>
    <row r="8" spans="1:12" ht="20.100000000000001" customHeight="1" x14ac:dyDescent="0.2">
      <c r="A8" s="7" t="s">
        <v>0</v>
      </c>
      <c r="D8" s="33"/>
      <c r="E8" s="239">
        <v>45292</v>
      </c>
      <c r="F8" s="84" t="s">
        <v>943</v>
      </c>
      <c r="G8" s="196" t="s">
        <v>944</v>
      </c>
      <c r="H8" s="13" t="s">
        <v>945</v>
      </c>
      <c r="I8" s="74">
        <v>100</v>
      </c>
      <c r="J8" s="15"/>
      <c r="K8" s="74">
        <v>465</v>
      </c>
    </row>
    <row r="9" spans="1:12" ht="20.100000000000001" customHeight="1" x14ac:dyDescent="0.2">
      <c r="A9" s="5" t="str">
        <f>HYPERLINK("#'Input - Enterprise'!A1", "Enterprise")</f>
        <v>Enterprise</v>
      </c>
      <c r="D9" s="33"/>
      <c r="E9" s="33"/>
      <c r="F9" s="84"/>
      <c r="G9" s="196"/>
      <c r="H9" s="13"/>
      <c r="I9" s="74"/>
      <c r="J9" s="15"/>
      <c r="K9" s="74"/>
    </row>
    <row r="10" spans="1:12" ht="20.100000000000001" customHeight="1" x14ac:dyDescent="0.2">
      <c r="A10" s="5" t="str">
        <f>HYPERLINK("#'Input - Site'!A1", "Site")</f>
        <v>Site</v>
      </c>
      <c r="D10" s="33"/>
      <c r="E10" s="33"/>
      <c r="F10" s="84"/>
      <c r="G10" s="196"/>
      <c r="H10" s="13"/>
      <c r="I10" s="74"/>
      <c r="J10" s="15"/>
      <c r="K10" s="74"/>
    </row>
    <row r="11" spans="1:12" ht="20.100000000000001" customHeight="1" x14ac:dyDescent="0.2">
      <c r="A11" s="5" t="str">
        <f>HYPERLINK("#'Input - Feedlot'!A1", "Feedlot")</f>
        <v>Feedlot</v>
      </c>
      <c r="D11" s="33"/>
      <c r="E11" s="33"/>
      <c r="F11" s="84"/>
      <c r="G11" s="196"/>
      <c r="H11" s="13"/>
      <c r="I11" s="74"/>
      <c r="J11" s="15"/>
      <c r="K11" s="74"/>
    </row>
    <row r="12" spans="1:12" ht="20.100000000000001" customHeight="1" x14ac:dyDescent="0.2">
      <c r="A12" s="5" t="str">
        <f>HYPERLINK("#'Input - Livestock sales'!A1", "Livestock sales")</f>
        <v>Livestock sales</v>
      </c>
      <c r="D12" s="33"/>
      <c r="E12" s="33"/>
      <c r="F12" s="84"/>
      <c r="G12" s="196"/>
      <c r="H12" s="13"/>
      <c r="I12" s="74"/>
      <c r="J12" s="15"/>
      <c r="K12" s="74"/>
    </row>
    <row r="13" spans="1:12" ht="20.100000000000001" customHeight="1" x14ac:dyDescent="0.2">
      <c r="A13" s="101" t="str">
        <f>HYPERLINK("#'Input - Beef cattle purchases'!A1", "Beef cattle purchases")</f>
        <v>Beef cattle purchases</v>
      </c>
      <c r="D13" s="33"/>
      <c r="E13" s="33"/>
      <c r="F13" s="84"/>
      <c r="G13" s="196"/>
      <c r="H13" s="13"/>
      <c r="I13" s="74"/>
      <c r="J13" s="15"/>
      <c r="K13" s="74"/>
    </row>
    <row r="14" spans="1:12" ht="20.100000000000001" customHeight="1" x14ac:dyDescent="0.2">
      <c r="A14" s="5" t="str">
        <f>HYPERLINK("#'Input - Fuel'!A1", "Fuel")</f>
        <v>Fuel</v>
      </c>
      <c r="D14" s="33"/>
      <c r="E14" s="33"/>
      <c r="F14" s="84"/>
      <c r="G14" s="196"/>
      <c r="H14" s="13"/>
      <c r="I14" s="74"/>
      <c r="J14" s="15"/>
      <c r="K14" s="74"/>
    </row>
    <row r="15" spans="1:12" ht="20.100000000000001" customHeight="1" x14ac:dyDescent="0.2">
      <c r="A15" s="5" t="str">
        <f>HYPERLINK("#'Input - Electricity'!A1", "Electricity")</f>
        <v>Electricity</v>
      </c>
      <c r="D15" s="33"/>
      <c r="E15" s="33"/>
      <c r="F15" s="84"/>
      <c r="G15" s="196"/>
      <c r="H15" s="13"/>
      <c r="I15" s="74"/>
      <c r="J15" s="15"/>
      <c r="K15" s="74"/>
    </row>
    <row r="16" spans="1:12" ht="20.100000000000001" customHeight="1" x14ac:dyDescent="0.2">
      <c r="A16" s="5" t="str">
        <f>HYPERLINK("#'Input - Common farm inputs'!A1", "Common farm inputs")</f>
        <v>Common farm inputs</v>
      </c>
      <c r="D16" s="33"/>
      <c r="E16" s="33"/>
      <c r="F16" s="84"/>
      <c r="G16" s="196"/>
      <c r="H16" s="13"/>
      <c r="I16" s="74"/>
      <c r="J16" s="15"/>
      <c r="K16" s="74"/>
    </row>
    <row r="17" spans="1:10" ht="20.100000000000001" customHeight="1" x14ac:dyDescent="0.2">
      <c r="A17" s="5" t="str">
        <f>HYPERLINK("#'Input - Livestock farm Inputs'!A1", "Livestock farm Inputs")</f>
        <v>Livestock farm Inputs</v>
      </c>
    </row>
    <row r="18" spans="1:10" ht="20.100000000000001" customHeight="1" x14ac:dyDescent="0.2">
      <c r="A18" s="5" t="str">
        <f>HYPERLINK("#'Input - Freight'!A1", "Freight")</f>
        <v>Freight</v>
      </c>
      <c r="D18" s="237"/>
      <c r="E18" s="237"/>
      <c r="F18" s="237"/>
      <c r="G18" s="237"/>
      <c r="H18" s="237"/>
      <c r="I18" s="237"/>
      <c r="J18" s="237"/>
    </row>
    <row r="19" spans="1:10" ht="20.100000000000001" customHeight="1" x14ac:dyDescent="0.2">
      <c r="A19" s="5" t="str">
        <f>HYPERLINK("#'Input - Solid waste'!A1", "Solid waste")</f>
        <v>Solid waste</v>
      </c>
      <c r="J19" s="237"/>
    </row>
    <row r="20" spans="1:10" ht="20.100000000000001" customHeight="1" x14ac:dyDescent="0.2">
      <c r="A20" s="5" t="str">
        <f>HYPERLINK("#'Input - Manure sent off-site'!A1", "Manure sent off-site")</f>
        <v>Manure sent off-site</v>
      </c>
      <c r="J20" s="237"/>
    </row>
    <row r="21" spans="1:10" ht="20.100000000000001" customHeight="1" x14ac:dyDescent="0.2">
      <c r="A21" s="5" t="str">
        <f>HYPERLINK("#'Input - Data quality'!A1", "Data quality")</f>
        <v>Data quality</v>
      </c>
      <c r="J21" s="237"/>
    </row>
    <row r="22" spans="1:10" ht="20.100000000000001" customHeight="1" x14ac:dyDescent="0.2">
      <c r="A22" s="5" t="str">
        <f>HYPERLINK("#'Input - Fert Prod System'!A1", "Fert Prod System")</f>
        <v>Fert Prod System</v>
      </c>
      <c r="J22" s="237"/>
    </row>
    <row r="23" spans="1:10" ht="20.100000000000001" customHeight="1" x14ac:dyDescent="0.2">
      <c r="A23" s="5" t="str">
        <f>HYPERLINK("#'Input - Fertiliser'!A1", "Fertiliser")</f>
        <v>Fertiliser</v>
      </c>
      <c r="J23" s="237"/>
    </row>
    <row r="24" spans="1:10" ht="20.100000000000001" customHeight="1" x14ac:dyDescent="0.2">
      <c r="J24" s="237"/>
    </row>
    <row r="25" spans="1:10" ht="20.100000000000001" customHeight="1" x14ac:dyDescent="0.2">
      <c r="J25" s="237"/>
    </row>
    <row r="26" spans="1:10" ht="20.100000000000001" customHeight="1" x14ac:dyDescent="0.2">
      <c r="A26" s="6" t="s">
        <v>2</v>
      </c>
      <c r="J26" s="237"/>
    </row>
    <row r="27" spans="1:10" ht="20.100000000000001" customHeight="1" x14ac:dyDescent="0.2">
      <c r="A27" s="5" t="str">
        <f>HYPERLINK("#'3.1.1.1-2 Enteric Methane'!A1", "3.1.1.1-2 Enteric Methane")</f>
        <v>3.1.1.1-2 Enteric Methane</v>
      </c>
      <c r="J27" s="237"/>
    </row>
    <row r="28" spans="1:10" ht="20.100000000000001" customHeight="1" x14ac:dyDescent="0.2">
      <c r="A28" s="5" t="str">
        <f>HYPERLINK("#'4.1.1.1-2 Methane'!A1", "4.1.1.1-2 Manure Methane")</f>
        <v>4.1.1.1-2 Manure Methane</v>
      </c>
      <c r="J28" s="237"/>
    </row>
    <row r="29" spans="1:10" ht="20.100000000000001" customHeight="1" x14ac:dyDescent="0.2">
      <c r="A29" s="5" t="str">
        <f>HYPERLINK("#'4.1.1.3-4 Direct N20'!A1", "4.1.1.3-4 Manure Direct N2O")</f>
        <v>4.1.1.3-4 Manure Direct N2O</v>
      </c>
      <c r="J29" s="237"/>
    </row>
    <row r="30" spans="1:10" ht="20.100000000000001" customHeight="1" x14ac:dyDescent="0.2">
      <c r="A30" s="5" t="str">
        <f>HYPERLINK("#'4.1.1.5-6 Atmos Deposition'!A1", "4.1.1.5-6 Manure Atmos Dep")</f>
        <v>4.1.1.5-6 Manure Atmos Dep</v>
      </c>
      <c r="J30" s="237"/>
    </row>
    <row r="31" spans="1:10" ht="20.100000000000001" customHeight="1" x14ac:dyDescent="0.2">
      <c r="A31" s="5" t="str">
        <f>HYPERLINK("#'4.1.1.9 Manure applied to soils'!A1", "4.1.1.9 Manure applied to soils")</f>
        <v>4.1.1.9 Manure applied to soils</v>
      </c>
      <c r="D31" s="237"/>
      <c r="E31" s="237"/>
      <c r="F31" s="237"/>
      <c r="G31" s="237"/>
      <c r="H31" s="237"/>
      <c r="I31" s="237"/>
      <c r="J31" s="237"/>
    </row>
    <row r="32" spans="1:10" ht="20.100000000000001" customHeight="1" x14ac:dyDescent="0.2">
      <c r="A32" s="5" t="str">
        <f>HYPERLINK("#'8.1.1.1-2 Transport fuel'!A1", "8.1.1.1-2 Transport fuel")</f>
        <v>8.1.1.1-2 Transport fuel</v>
      </c>
      <c r="I32" s="237"/>
      <c r="J32" s="237"/>
    </row>
    <row r="33" spans="1:10" ht="20.100000000000001" customHeight="1" x14ac:dyDescent="0.2">
      <c r="A33" s="5" t="str">
        <f>HYPERLINK("#'8.2.1.1-2 Stationary fuel'!A1", "8.2.1.1-2 Stationary fuel")</f>
        <v>8.2.1.1-2 Stationary fuel</v>
      </c>
      <c r="I33" s="237"/>
      <c r="J33" s="237"/>
    </row>
    <row r="34" spans="1:10" ht="20.100000000000001" customHeight="1" x14ac:dyDescent="0.2">
      <c r="A34" s="5" t="str">
        <f>HYPERLINK("#'10.1.1-2 Solid waste treatment'!A1", "10.1.1.1-2 Solid waste")</f>
        <v>10.1.1.1-2 Solid waste</v>
      </c>
      <c r="I34" s="237"/>
      <c r="J34" s="237"/>
    </row>
    <row r="35" spans="1:10" ht="20.100000000000001" customHeight="1" x14ac:dyDescent="0.2">
      <c r="A35" s="5" t="str">
        <f>HYPERLINK("#'14.1.1-2 Purchased electricity'!A1", "14.1.1-2 Purchased electricity")</f>
        <v>14.1.1-2 Purchased electricity</v>
      </c>
      <c r="I35" s="237"/>
      <c r="J35" s="237"/>
    </row>
    <row r="36" spans="1:10" ht="20.100000000000001" customHeight="1" x14ac:dyDescent="0.2">
      <c r="A36" s="5" t="str">
        <f>HYPERLINK("#'15 Scope 3'!A1", "15 Scope 3")</f>
        <v>15 Scope 3</v>
      </c>
      <c r="I36" s="237"/>
      <c r="J36" s="237"/>
    </row>
    <row r="37" spans="1:10" ht="20.100000000000001" customHeight="1" x14ac:dyDescent="0.2">
      <c r="A37" s="5" t="str">
        <f>HYPERLINK("#'Calcs - Manure sent off-site'!A1", "Calcs - Manure sent off-site")</f>
        <v>Calcs - Manure sent off-site</v>
      </c>
      <c r="I37" s="237"/>
      <c r="J37" s="237"/>
    </row>
    <row r="38" spans="1:10" ht="20.100000000000001" customHeight="1" x14ac:dyDescent="0.2">
      <c r="A38" s="5" t="str">
        <f>HYPERLINK("#'5.1.1.1-2 Inorganic fert N2O'!A1", "5.1.1.1-2 Inorganic fert N2O")</f>
        <v>5.1.1.1-2 Inorganic fert N2O</v>
      </c>
      <c r="I38" s="237"/>
      <c r="J38" s="237"/>
    </row>
    <row r="39" spans="1:10" ht="20.100000000000001" customHeight="1" x14ac:dyDescent="0.2">
      <c r="A39" s="5" t="str">
        <f>HYPERLINK("#'5.1.1.3-4 Inorganic fert CO2'!A1", "5.1.1.3-4 Inorganic fert CO2")</f>
        <v>5.1.1.3-4 Inorganic fert CO2</v>
      </c>
      <c r="I39" s="237"/>
      <c r="J39" s="237"/>
    </row>
    <row r="40" spans="1:10" ht="20.100000000000001" customHeight="1" x14ac:dyDescent="0.2">
      <c r="A40" s="5" t="str">
        <f>HYPERLINK("#'5.2.1.1-2 Organic Fert N2O'!A1", "5.2.1.1-2 Organic Fert N2O")</f>
        <v>5.2.1.1-2 Organic Fert N2O</v>
      </c>
      <c r="I40" s="237"/>
      <c r="J40" s="237"/>
    </row>
    <row r="41" spans="1:10" ht="20.100000000000001" customHeight="1" x14ac:dyDescent="0.2">
      <c r="A41" s="5" t="str">
        <f>HYPERLINK("#'5.3.1.1-2 Lime CO2'!A1", "5.3.1.1-2 Lime CO2")</f>
        <v>5.3.1.1-2 Lime CO2</v>
      </c>
      <c r="I41" s="237"/>
      <c r="J41" s="237"/>
    </row>
    <row r="42" spans="1:10" ht="20.100000000000001" customHeight="1" x14ac:dyDescent="0.2">
      <c r="A42" s="5" t="str">
        <f>HYPERLINK("#'5.4.1.1-4 Atmos deposition'!A1", "5.4.1.1-4 Atmos deposition")</f>
        <v>5.4.1.1-4 Atmos deposition</v>
      </c>
      <c r="I42" s="237"/>
      <c r="J42" s="237"/>
    </row>
    <row r="43" spans="1:10" ht="20.100000000000001" customHeight="1" x14ac:dyDescent="0.2">
      <c r="A43" s="5" t="str">
        <f>HYPERLINK("#'5.5.1.1-2 Leaching and runoff'!A1", "5.5.1.1-2 Leaching and runoff")</f>
        <v>5.5.1.1-2 Leaching and runoff</v>
      </c>
      <c r="I43" s="237"/>
      <c r="J43" s="237"/>
    </row>
    <row r="44" spans="1:10" ht="20.100000000000001" customHeight="1" x14ac:dyDescent="0.2">
      <c r="D44" s="237"/>
      <c r="E44" s="237"/>
      <c r="F44" s="237"/>
      <c r="G44" s="237"/>
      <c r="H44" s="237"/>
      <c r="I44" s="237"/>
      <c r="J44" s="237"/>
    </row>
    <row r="45" spans="1:10" ht="20.100000000000001" customHeight="1" x14ac:dyDescent="0.2">
      <c r="I45" s="237"/>
      <c r="J45" s="237"/>
    </row>
    <row r="46" spans="1:10" ht="20.100000000000001" customHeight="1" x14ac:dyDescent="0.2">
      <c r="A46" s="80" t="s">
        <v>1</v>
      </c>
      <c r="I46" s="237"/>
      <c r="J46" s="237"/>
    </row>
    <row r="47" spans="1:10" ht="20.100000000000001" customHeight="1" x14ac:dyDescent="0.2">
      <c r="A47" s="5" t="str">
        <f>HYPERLINK("#'Constants - Feedlot'!A1", "Constants - Feedlot")</f>
        <v>Constants - Feedlot</v>
      </c>
      <c r="I47" s="237"/>
      <c r="J47" s="237"/>
    </row>
    <row r="48" spans="1:10" ht="20.100000000000001" customHeight="1" x14ac:dyDescent="0.2">
      <c r="A48" s="5" t="str">
        <f>HYPERLINK("#'Constants - Common livestock'!A1", "Constants - Common Livestock")</f>
        <v>Constants - Common Livestock</v>
      </c>
      <c r="I48" s="237"/>
      <c r="J48" s="237"/>
    </row>
    <row r="49" spans="1:10" ht="20.100000000000001" customHeight="1" x14ac:dyDescent="0.2">
      <c r="A49" s="5" t="str">
        <f>HYPERLINK("#'Constants - Electricity'!A1", "Constants - Electricity")</f>
        <v>Constants - Electricity</v>
      </c>
      <c r="I49" s="237"/>
      <c r="J49" s="237"/>
    </row>
    <row r="50" spans="1:10" ht="20.100000000000001" customHeight="1" x14ac:dyDescent="0.2">
      <c r="A50" s="5" t="str">
        <f>HYPERLINK("#'Constants - Fertiliser'!A1", "Constants - Fertiliser")</f>
        <v>Constants - Fertiliser</v>
      </c>
      <c r="I50" s="237"/>
      <c r="J50" s="237"/>
    </row>
    <row r="51" spans="1:10" ht="20.100000000000001" customHeight="1" x14ac:dyDescent="0.2">
      <c r="A51" s="5" t="str">
        <f>HYPERLINK("#'Constants - Fuel'!A1", "Constants - Fuel")</f>
        <v>Constants - Fuel</v>
      </c>
      <c r="I51" s="237"/>
      <c r="J51" s="237"/>
    </row>
    <row r="52" spans="1:10" ht="20.100000000000001" customHeight="1" x14ac:dyDescent="0.2">
      <c r="A52" s="5" t="str">
        <f>HYPERLINK("#'Constants - Scope 3'!A1", "Constants - Scope 3")</f>
        <v>Constants - Scope 3</v>
      </c>
      <c r="I52" s="237"/>
      <c r="J52" s="237"/>
    </row>
    <row r="53" spans="1:10" ht="20.100000000000001" customHeight="1" x14ac:dyDescent="0.2">
      <c r="A53" s="5" t="str">
        <f>HYPERLINK("#'Constants - Solid Waste'!A1", "Constants - Solid Waste")</f>
        <v>Constants - Solid Waste</v>
      </c>
      <c r="I53" s="237"/>
      <c r="J53" s="237"/>
    </row>
    <row r="54" spans="1:10" ht="20.100000000000001" customHeight="1" x14ac:dyDescent="0.2">
      <c r="A54" s="5" t="str">
        <f>HYPERLINK("#'Constants - Common'!A1", "Constants - Common")</f>
        <v>Constants - Common</v>
      </c>
      <c r="I54" s="237"/>
      <c r="J54" s="237"/>
    </row>
    <row r="55" spans="1:10" ht="20.100000000000001" customHeight="1" x14ac:dyDescent="0.2">
      <c r="A55" s="5" t="str">
        <f>HYPERLINK("#'Acknowledgements'!A1", "Acknowledgements")</f>
        <v>Acknowledgements</v>
      </c>
      <c r="I55" s="237"/>
      <c r="J55" s="237"/>
    </row>
    <row r="56" spans="1:10" ht="20.100000000000001" customHeight="1" x14ac:dyDescent="0.2">
      <c r="I56" s="237"/>
      <c r="J56" s="237"/>
    </row>
    <row r="57" spans="1:10" ht="20.100000000000001" customHeight="1" x14ac:dyDescent="0.2">
      <c r="D57" s="237"/>
      <c r="E57" s="237"/>
      <c r="F57" s="237"/>
      <c r="G57" s="237"/>
      <c r="H57" s="237"/>
      <c r="I57" s="237"/>
      <c r="J57" s="237"/>
    </row>
    <row r="58" spans="1:10" ht="20.100000000000001" customHeight="1" x14ac:dyDescent="0.2">
      <c r="D58" s="240"/>
      <c r="E58" s="237"/>
      <c r="F58" s="237"/>
      <c r="G58" s="237"/>
      <c r="H58" s="237"/>
      <c r="I58" s="237"/>
      <c r="J58" s="237"/>
    </row>
    <row r="59" spans="1:10" ht="20.100000000000001" customHeight="1" x14ac:dyDescent="0.2">
      <c r="D59" s="237"/>
      <c r="E59" s="237"/>
      <c r="F59" s="237"/>
      <c r="G59" s="237"/>
      <c r="H59" s="237"/>
      <c r="I59" s="237"/>
      <c r="J59" s="237"/>
    </row>
    <row r="60" spans="1:10" ht="20.100000000000001" customHeight="1" x14ac:dyDescent="0.2">
      <c r="D60" s="237"/>
      <c r="E60" s="237"/>
      <c r="F60" s="237"/>
      <c r="G60" s="237"/>
      <c r="H60" s="237"/>
      <c r="I60" s="237"/>
      <c r="J60" s="237"/>
    </row>
    <row r="61" spans="1:10" ht="20.100000000000001" customHeight="1" x14ac:dyDescent="0.2">
      <c r="D61" s="237"/>
      <c r="E61" s="237"/>
      <c r="F61" s="237"/>
      <c r="G61" s="237"/>
      <c r="H61" s="237"/>
      <c r="I61" s="237"/>
      <c r="J61" s="237"/>
    </row>
    <row r="62" spans="1:10" ht="20.100000000000001" customHeight="1" x14ac:dyDescent="0.2">
      <c r="D62" s="237"/>
      <c r="E62" s="237"/>
      <c r="F62" s="237"/>
      <c r="G62" s="237"/>
      <c r="H62" s="237"/>
      <c r="I62" s="237"/>
      <c r="J62" s="237"/>
    </row>
    <row r="63" spans="1:10" ht="20.100000000000001" customHeight="1" x14ac:dyDescent="0.2">
      <c r="D63" s="237"/>
      <c r="E63" s="237"/>
      <c r="F63" s="237"/>
      <c r="G63" s="237"/>
      <c r="H63" s="237"/>
      <c r="I63" s="237"/>
      <c r="J63" s="237"/>
    </row>
  </sheetData>
  <dataValidations count="3">
    <dataValidation type="list" allowBlank="1" showInputMessage="1" showErrorMessage="1" sqref="H7:H16" xr:uid="{235732C6-A943-4217-90D8-0EDD783FBBB1}">
      <formula1>INDIRECT("Table_ProductRegions_Beefcattle[Region]")</formula1>
    </dataValidation>
    <dataValidation type="list" allowBlank="1" showInputMessage="1" showErrorMessage="1" sqref="G7:G16" xr:uid="{0C81163D-3E62-4F21-9C40-56393F59E06E}">
      <formula1>INDIRECT(TRIM("Table_SourceData_LivestockProduct_Beefcattle[Product]"))</formula1>
    </dataValidation>
    <dataValidation type="list" allowBlank="1" showInputMessage="1" showErrorMessage="1" sqref="F7:F16" xr:uid="{4124BDEC-6187-458F-ABA1-A40DFB407243}">
      <formula1>INDIRECT("Table_LivestockClasses_Beefcattle[Livestock class]")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841B-B44D-4062-B60B-A2B307D2E121}">
  <sheetPr>
    <tabColor theme="5" tint="-0.249977111117893"/>
  </sheetPr>
  <dimension ref="A1:K346"/>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574</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575</v>
      </c>
      <c r="E5" s="24"/>
      <c r="F5" s="24"/>
      <c r="G5" s="24"/>
      <c r="H5" s="24"/>
    </row>
    <row r="6" spans="1:11" ht="20.100000000000001" customHeight="1" x14ac:dyDescent="0.2">
      <c r="D6" s="8"/>
      <c r="E6" s="8"/>
      <c r="F6" s="8"/>
      <c r="G6" s="8"/>
      <c r="H6" s="8"/>
      <c r="I6" s="8"/>
      <c r="J6" s="8"/>
    </row>
    <row r="7" spans="1:11" ht="20.100000000000001" customHeight="1" x14ac:dyDescent="0.2">
      <c r="D7" s="1" t="s">
        <v>576</v>
      </c>
    </row>
    <row r="8" spans="1:11" ht="20.100000000000001" customHeight="1" x14ac:dyDescent="0.2">
      <c r="A8" s="7" t="s">
        <v>0</v>
      </c>
      <c r="D8" s="1" t="s">
        <v>577</v>
      </c>
    </row>
    <row r="9" spans="1:11" ht="20.100000000000001" customHeight="1" x14ac:dyDescent="0.2">
      <c r="A9" s="5" t="str">
        <f>HYPERLINK("#'Input - Enterprise'!A1", "Enterprise")</f>
        <v>Enterprise</v>
      </c>
      <c r="D9" s="1" t="s">
        <v>578</v>
      </c>
    </row>
    <row r="10" spans="1:11" ht="20.100000000000001" customHeight="1" x14ac:dyDescent="0.2">
      <c r="A10" s="5" t="str">
        <f>HYPERLINK("#'Input - Site'!A1", "Site")</f>
        <v>Site</v>
      </c>
    </row>
    <row r="11" spans="1:11" ht="20.100000000000001" customHeight="1" x14ac:dyDescent="0.2">
      <c r="A11" s="5" t="str">
        <f>HYPERLINK("#'Input - Feedlot'!A1", "Feedlot")</f>
        <v>Feedlot</v>
      </c>
      <c r="D11" s="1" t="s">
        <v>579</v>
      </c>
      <c r="E11" s="13" t="s">
        <v>580</v>
      </c>
      <c r="F11" s="16" t="s">
        <v>100</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c r="D13" s="129" t="s">
        <v>546</v>
      </c>
      <c r="E13" s="43"/>
      <c r="F13" s="43"/>
      <c r="G13" s="43"/>
      <c r="H13" s="44"/>
    </row>
    <row r="14" spans="1:11" ht="20.100000000000001" customHeight="1" x14ac:dyDescent="0.2">
      <c r="A14" s="101" t="str">
        <f>HYPERLINK("#'Input - Fuel'!A1", "Fuel")</f>
        <v>Fuel</v>
      </c>
      <c r="D14" s="45" t="s">
        <v>581</v>
      </c>
      <c r="E14" s="46"/>
      <c r="F14" s="46"/>
      <c r="G14" s="46"/>
      <c r="H14" s="47"/>
    </row>
    <row r="15" spans="1:11" ht="20.100000000000001" customHeight="1" x14ac:dyDescent="0.2">
      <c r="A15" s="5" t="str">
        <f>HYPERLINK("#'Input - Electricity'!A1", "Electricity")</f>
        <v>Electricity</v>
      </c>
      <c r="D15" s="8"/>
      <c r="E15" s="8"/>
      <c r="F15" s="8"/>
      <c r="G15" s="8"/>
      <c r="H15" s="8"/>
      <c r="I15" s="8"/>
      <c r="J15" s="8"/>
    </row>
    <row r="16" spans="1:11" ht="20.100000000000001" customHeight="1" x14ac:dyDescent="0.2">
      <c r="A16" s="5" t="str">
        <f>HYPERLINK("#'Input - Common farm inputs'!A1", "Common farm inputs")</f>
        <v>Common farm inputs</v>
      </c>
      <c r="D16" s="78" t="s">
        <v>582</v>
      </c>
      <c r="E16" s="78" t="s">
        <v>583</v>
      </c>
      <c r="F16" s="78" t="s">
        <v>584</v>
      </c>
      <c r="G16" s="78" t="s">
        <v>585</v>
      </c>
      <c r="H16" s="78" t="s">
        <v>586</v>
      </c>
      <c r="I16" s="78" t="s">
        <v>587</v>
      </c>
      <c r="J16" s="78" t="s">
        <v>588</v>
      </c>
    </row>
    <row r="17" spans="1:10" ht="20.100000000000001" customHeight="1" x14ac:dyDescent="0.2">
      <c r="A17" s="5" t="str">
        <f>HYPERLINK("#'Input - Livestock farm Inputs'!A1", "Livestock farm Inputs")</f>
        <v>Livestock farm Inputs</v>
      </c>
      <c r="D17" s="13" t="s">
        <v>589</v>
      </c>
      <c r="E17" s="13" t="s">
        <v>590</v>
      </c>
      <c r="F17" s="147">
        <v>100</v>
      </c>
      <c r="G17" s="15" t="str" cm="1">
        <f t="array" ref="G17">Common_InputFunctions.Utility_LookupValueInTable(Table_Input_Fuel[[#This Row],[Fuel type (select)]],Table_FuelTypes_Units[Fuel type], Table_FuelTypes_Units[Input Unit])</f>
        <v>GJ</v>
      </c>
      <c r="H17" s="148">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5" t="str">
        <f>HYPERLINK("#'Input - Freight'!A1", "Freight")</f>
        <v>Freight</v>
      </c>
      <c r="D18" s="13" t="s">
        <v>589</v>
      </c>
      <c r="E18" s="13" t="s">
        <v>591</v>
      </c>
      <c r="F18" s="147">
        <v>10000</v>
      </c>
      <c r="G18" s="15" t="str" cm="1">
        <f t="array" ref="G18">Common_InputFunctions.Utility_LookupValueInTable(Table_Input_Fuel[[#This Row],[Fuel type (select)]],Table_FuelTypes_Units[Fuel type], Table_FuelTypes_Units[Input Unit])</f>
        <v>L</v>
      </c>
      <c r="H18" s="149">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Solid waste'!A1", "Solid waste")</f>
        <v>Solid waste</v>
      </c>
      <c r="D19" s="13" t="s">
        <v>592</v>
      </c>
      <c r="E19" s="13" t="s">
        <v>593</v>
      </c>
      <c r="F19" s="147">
        <v>10000</v>
      </c>
      <c r="G19" s="15" t="str" cm="1">
        <f t="array" ref="G19">Common_InputFunctions.Utility_LookupValueInTable(Table_Input_Fuel[[#This Row],[Fuel type (select)]],Table_FuelTypes_Units[Fuel type], Table_FuelTypes_Units[Input Unit])</f>
        <v>L</v>
      </c>
      <c r="H19" s="149">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Manure sent off-site'!A1", "Manure sent off-site")</f>
        <v>Manure sent off-site</v>
      </c>
      <c r="D20" s="13" t="s">
        <v>594</v>
      </c>
      <c r="E20" s="13" t="s">
        <v>593</v>
      </c>
      <c r="F20" s="147">
        <v>10000</v>
      </c>
      <c r="G20" s="15" t="str" cm="1">
        <f t="array" ref="G20">Common_InputFunctions.Utility_LookupValueInTable(Table_Input_Fuel[[#This Row],[Fuel type (select)]],Table_FuelTypes_Units[Fuel type], Table_FuelTypes_Units[Input Unit])</f>
        <v>L</v>
      </c>
      <c r="H20" s="149">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A21" s="5" t="str">
        <f>HYPERLINK("#'Input - Data quality'!A1", "Data quality")</f>
        <v>Data quality</v>
      </c>
      <c r="D21" s="84" t="s">
        <v>595</v>
      </c>
      <c r="E21" s="84" t="s">
        <v>596</v>
      </c>
      <c r="F21" s="147">
        <v>10000</v>
      </c>
      <c r="G21" s="150" t="str" cm="1">
        <f t="array" ref="G21">Common_InputFunctions.Utility_LookupValueInTable(Table_Input_Fuel[[#This Row],[Fuel type (select)]],Table_FuelTypes_Units[Fuel type], Table_FuelTypes_Units[Input Unit])</f>
        <v>L</v>
      </c>
      <c r="H21" s="151">
        <f>1</f>
        <v>1</v>
      </c>
      <c r="I21" s="150">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
      <c r="A22" s="5" t="str">
        <f>HYPERLINK("#'Input - Fert Prod System'!A1", "Fert Prod System")</f>
        <v>Fert Prod System</v>
      </c>
    </row>
    <row r="23" spans="1:10" ht="20.100000000000001" customHeight="1" x14ac:dyDescent="0.2">
      <c r="A23" s="5" t="str">
        <f>HYPERLINK("#'Input - Fertiliser'!A1", "Fertiliser")</f>
        <v>Fertiliser</v>
      </c>
    </row>
    <row r="26" spans="1:10" ht="20.100000000000001" customHeight="1" x14ac:dyDescent="0.2">
      <c r="A26" s="6" t="s">
        <v>2</v>
      </c>
    </row>
    <row r="27" spans="1:10" ht="20.100000000000001" customHeight="1" x14ac:dyDescent="0.2">
      <c r="A27" s="5" t="str">
        <f>HYPERLINK("#'3.1.1.1-2 Enteric Methane'!A1", "3.1.1.1-2 Enteric Methane")</f>
        <v>3.1.1.1-2 Enteric Methane</v>
      </c>
    </row>
    <row r="28" spans="1:10" ht="20.100000000000001" customHeight="1" x14ac:dyDescent="0.2">
      <c r="A28" s="5" t="str">
        <f>HYPERLINK("#'4.1.1.1-2 Methane'!A1", "4.1.1.1-2 Manure Methane")</f>
        <v>4.1.1.1-2 Manure Methane</v>
      </c>
    </row>
    <row r="29" spans="1:10" ht="20.100000000000001" customHeight="1" x14ac:dyDescent="0.2">
      <c r="A29" s="5" t="str">
        <f>HYPERLINK("#'4.1.1.3-4 Direct N20'!A1", "4.1.1.3-4 Manure Direct N2O")</f>
        <v>4.1.1.3-4 Manure Direct N2O</v>
      </c>
    </row>
    <row r="30" spans="1:10" ht="20.100000000000001" customHeight="1" x14ac:dyDescent="0.2">
      <c r="A30" s="5" t="str">
        <f>HYPERLINK("#'4.1.1.5-6 Atmos Deposition'!A1", "4.1.1.5-6 Manure Atmos Dep")</f>
        <v>4.1.1.5-6 Manure Atmos Dep</v>
      </c>
    </row>
    <row r="31" spans="1:10" ht="20.100000000000001" customHeight="1" x14ac:dyDescent="0.2">
      <c r="A31" s="5" t="str">
        <f>HYPERLINK("#'4.1.1.9 Manure applied to soils'!A1", "4.1.1.9 Manure applied to soils")</f>
        <v>4.1.1.9 Manure applied to soils</v>
      </c>
    </row>
    <row r="32" spans="1:10" ht="20.100000000000001" customHeight="1" x14ac:dyDescent="0.2">
      <c r="A32" s="5" t="str">
        <f>HYPERLINK("#'8.1.1.1-2 Transport fuel'!A1", "8.1.1.1-2 Transport fuel")</f>
        <v>8.1.1.1-2 Transport fuel</v>
      </c>
    </row>
    <row r="33" spans="1:11" ht="20.100000000000001" customHeight="1" x14ac:dyDescent="0.2">
      <c r="A33" s="5" t="str">
        <f>HYPERLINK("#'8.2.1.1-2 Stationary fuel'!A1", "8.2.1.1-2 Stationary fuel")</f>
        <v>8.2.1.1-2 Stationary fuel</v>
      </c>
    </row>
    <row r="34" spans="1:11" ht="20.100000000000001" customHeight="1" x14ac:dyDescent="0.2">
      <c r="A34" s="5" t="str">
        <f>HYPERLINK("#'10.1.1-2 Solid waste treatment'!A1", "10.1.1.1-2 Solid waste")</f>
        <v>10.1.1.1-2 Solid waste</v>
      </c>
    </row>
    <row r="35" spans="1:11" ht="20.100000000000001" customHeight="1" x14ac:dyDescent="0.2">
      <c r="A35" s="5" t="str">
        <f>HYPERLINK("#'14.1.1-2 Purchased electricity'!A1", "14.1.1-2 Purchased electricity")</f>
        <v>14.1.1-2 Purchased electricity</v>
      </c>
    </row>
    <row r="36" spans="1:11" ht="20.100000000000001" customHeight="1" x14ac:dyDescent="0.2">
      <c r="A36" s="5" t="str">
        <f>HYPERLINK("#'15 Scope 3'!A1", "15 Scope 3")</f>
        <v>15 Scope 3</v>
      </c>
    </row>
    <row r="37" spans="1:11" ht="20.100000000000001" customHeight="1" x14ac:dyDescent="0.2">
      <c r="A37" s="5" t="str">
        <f>HYPERLINK("#'Calcs - Manure sent off-site'!A1", "Calcs - Manure sent off-site")</f>
        <v>Calcs - Manure sent off-site</v>
      </c>
    </row>
    <row r="38" spans="1:11" ht="20.100000000000001" customHeight="1" x14ac:dyDescent="0.2">
      <c r="A38" s="5" t="str">
        <f>HYPERLINK("#'5.1.1.1-2 Inorganic fert N2O'!A1", "5.1.1.1-2 Inorganic fert N2O")</f>
        <v>5.1.1.1-2 Inorganic fert N2O</v>
      </c>
      <c r="C38" s="140"/>
      <c r="K38" s="140"/>
    </row>
    <row r="39" spans="1:11" ht="20.100000000000001" customHeight="1" x14ac:dyDescent="0.2">
      <c r="A39" s="5" t="str">
        <f>HYPERLINK("#'5.1.1.3-4 Inorganic fert CO2'!A1", "5.1.1.3-4 Inorganic fert CO2")</f>
        <v>5.1.1.3-4 Inorganic fert CO2</v>
      </c>
      <c r="C39" s="140"/>
      <c r="K39" s="140"/>
    </row>
    <row r="40" spans="1:11" s="138" customFormat="1" ht="20.100000000000001" customHeight="1" x14ac:dyDescent="0.2">
      <c r="A40" s="5" t="str">
        <f>HYPERLINK("#'5.2.1.1-2 Organic Fert N2O'!A1", "5.2.1.1-2 Organic Fert N2O")</f>
        <v>5.2.1.1-2 Organic Fert N2O</v>
      </c>
      <c r="C40" s="1"/>
      <c r="D40" s="1"/>
      <c r="E40" s="1"/>
      <c r="F40" s="1"/>
      <c r="G40" s="1"/>
      <c r="H40" s="1"/>
      <c r="I40" s="1"/>
      <c r="J40" s="1"/>
      <c r="K40" s="1"/>
    </row>
    <row r="41" spans="1:11" s="138" customFormat="1" ht="20.100000000000001" customHeight="1" x14ac:dyDescent="0.2">
      <c r="A41" s="5" t="str">
        <f>HYPERLINK("#'5.3.1.1-2 Lime CO2'!A1", "5.3.1.1-2 Lime CO2")</f>
        <v>5.3.1.1-2 Lime CO2</v>
      </c>
      <c r="C41" s="1"/>
      <c r="D41" s="1"/>
      <c r="E41" s="1"/>
      <c r="F41" s="1"/>
      <c r="G41" s="1"/>
      <c r="H41" s="1"/>
      <c r="I41" s="1"/>
      <c r="J41" s="1"/>
      <c r="K41" s="1"/>
    </row>
    <row r="42" spans="1:11" ht="20.100000000000001" customHeight="1" x14ac:dyDescent="0.2">
      <c r="A42" s="5" t="str">
        <f>HYPERLINK("#'5.4.1.1-4 Atmos deposition'!A1", "5.4.1.1-4 Atmos deposition")</f>
        <v>5.4.1.1-4 Atmos deposition</v>
      </c>
    </row>
    <row r="43" spans="1:11" ht="20.100000000000001" customHeight="1" x14ac:dyDescent="0.2">
      <c r="A43" s="5" t="str">
        <f>HYPERLINK("#'5.5.1.1-2 Leaching and runoff'!A1", "5.5.1.1-2 Leaching and runoff")</f>
        <v>5.5.1.1-2 Leaching and runoff</v>
      </c>
    </row>
    <row r="46" spans="1:11" ht="20.100000000000001" customHeight="1" x14ac:dyDescent="0.2">
      <c r="A46" s="80" t="s">
        <v>1</v>
      </c>
    </row>
    <row r="47" spans="1:11" ht="20.100000000000001" customHeight="1" x14ac:dyDescent="0.2">
      <c r="A47" s="5" t="str">
        <f>HYPERLINK("#'Constants - Feedlot'!A1", "Constants - Feedlot")</f>
        <v>Constants - Feedlot</v>
      </c>
    </row>
    <row r="48" spans="1: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row r="346" spans="4:4" ht="20.100000000000001" customHeight="1" x14ac:dyDescent="0.2">
      <c r="D346" s="87"/>
    </row>
  </sheetData>
  <conditionalFormatting sqref="F32">
    <cfRule type="cellIs" dxfId="77" priority="9" operator="lessThan">
      <formula>0</formula>
    </cfRule>
  </conditionalFormatting>
  <conditionalFormatting sqref="F111:F112">
    <cfRule type="cellIs" dxfId="76" priority="8" operator="lessThan">
      <formula>0</formula>
    </cfRule>
  </conditionalFormatting>
  <conditionalFormatting sqref="F123:F124">
    <cfRule type="cellIs" dxfId="75" priority="7" operator="lessThan">
      <formula>0</formula>
    </cfRule>
  </conditionalFormatting>
  <conditionalFormatting sqref="F135:F136">
    <cfRule type="cellIs" dxfId="74" priority="6" operator="lessThan">
      <formula>0</formula>
    </cfRule>
  </conditionalFormatting>
  <conditionalFormatting sqref="F147:F148">
    <cfRule type="cellIs" dxfId="73" priority="5" operator="lessThan">
      <formula>0</formula>
    </cfRule>
  </conditionalFormatting>
  <conditionalFormatting sqref="F235:F236">
    <cfRule type="cellIs" dxfId="72" priority="17" operator="lessThan">
      <formula>0</formula>
    </cfRule>
  </conditionalFormatting>
  <conditionalFormatting sqref="F240:F241">
    <cfRule type="cellIs" dxfId="71" priority="16" operator="lessThan">
      <formula>0</formula>
    </cfRule>
  </conditionalFormatting>
  <conditionalFormatting sqref="F245:F246">
    <cfRule type="cellIs" dxfId="70" priority="15" operator="lessThan">
      <formula>0</formula>
    </cfRule>
  </conditionalFormatting>
  <conditionalFormatting sqref="F269:F270">
    <cfRule type="cellIs" dxfId="69" priority="14" operator="lessThan">
      <formula>0</formula>
    </cfRule>
  </conditionalFormatting>
  <conditionalFormatting sqref="F274:F275">
    <cfRule type="cellIs" dxfId="68" priority="13" operator="lessThan">
      <formula>0</formula>
    </cfRule>
  </conditionalFormatting>
  <conditionalFormatting sqref="F279:F280">
    <cfRule type="cellIs" dxfId="67" priority="12" operator="lessThan">
      <formula>0</formula>
    </cfRule>
  </conditionalFormatting>
  <conditionalFormatting sqref="I26:J27 H28:H30 I31:J31 I33:J35 I37:J38 I189:J189 E195:G195 I195:J195">
    <cfRule type="cellIs" dxfId="66" priority="11" operator="lessThan">
      <formula>0</formula>
    </cfRule>
  </conditionalFormatting>
  <conditionalFormatting sqref="I42:J46">
    <cfRule type="cellIs" dxfId="65" priority="4" operator="lessThan">
      <formula>0</formula>
    </cfRule>
  </conditionalFormatting>
  <conditionalFormatting sqref="I50:J50 I109:J109">
    <cfRule type="cellIs" dxfId="64" priority="10" operator="lessThan">
      <formula>0</formula>
    </cfRule>
  </conditionalFormatting>
  <conditionalFormatting sqref="I61:J63">
    <cfRule type="cellIs" dxfId="63" priority="3" operator="lessThan">
      <formula>0</formula>
    </cfRule>
  </conditionalFormatting>
  <conditionalFormatting sqref="I67:J70">
    <cfRule type="cellIs" dxfId="62" priority="2" operator="lessThan">
      <formula>0</formula>
    </cfRule>
  </conditionalFormatting>
  <conditionalFormatting sqref="I74:J78">
    <cfRule type="cellIs" dxfId="61" priority="1" operator="lessThan">
      <formula>0</formula>
    </cfRule>
  </conditionalFormatting>
  <dataValidations count="9">
    <dataValidation type="list" allowBlank="1" showInputMessage="1" showErrorMessage="1" sqref="E17:E21" xr:uid="{C50D35AF-58B2-4A97-A668-DE3F83684C0A}">
      <formula1>_xlfn.TRIMRANGE(INDIRECT("Table_FuelTypesPerUse["&amp;D17&amp;"]"))</formula1>
    </dataValidation>
    <dataValidation type="list" allowBlank="1" showInputMessage="1" showErrorMessage="1" sqref="D17:D21" xr:uid="{DD364C9A-8FF9-4333-A282-9296A5263D78}">
      <formula1>INDIRECT("Table_FuelTypesPerUse[#Headers]")</formula1>
    </dataValidation>
    <dataValidation type="list" allowBlank="1" showInputMessage="1" showErrorMessage="1" sqref="E11" xr:uid="{6DEC12E5-8A42-4E00-92A8-D18E7949BEA5}">
      <formula1>"Metro, Non-metro"</formula1>
    </dataValidation>
    <dataValidation type="list" allowBlank="1" showInputMessage="1" showErrorMessage="1" sqref="D29:D30" xr:uid="{C8E67D68-0367-4D7F-A47F-3FA74D90643A}">
      <formula1>INDIRECT("Table_SourceData_OrganicFertiliserTypes[Organic fertiliser type]")</formula1>
    </dataValidation>
    <dataValidation type="list" allowBlank="1" showInputMessage="1" showErrorMessage="1" sqref="E49" xr:uid="{E245CDB7-FBB3-4A78-B5E8-26ABA882DE2A}">
      <formula1>INDIRECT("Table_SourceData_Swine_CropProdSystems[Production system]")</formula1>
    </dataValidation>
    <dataValidation type="list" allowBlank="1" showInputMessage="1" showErrorMessage="1" sqref="E50" xr:uid="{5F8DFAE4-B8FF-485B-9682-28F8C9C94714}">
      <formula1>INDIRECT("Table_SourceData_Swine_IrrigationMethods[Irrigation method]")</formula1>
    </dataValidation>
    <dataValidation type="list" allowBlank="1" showInputMessage="1" showErrorMessage="1" sqref="E234 E239 E244 E278 E273 E268 E146 E134 E110 E122" xr:uid="{44C1FB95-72E0-44A9-AAE2-0C69A2AC1E56}">
      <formula1>"Yes, No"</formula1>
    </dataValidation>
    <dataValidation type="list" allowBlank="1" showInputMessage="1" showErrorMessage="1" sqref="E210" xr:uid="{A1FB9975-B7C3-45D0-964A-B30F68CEA887}">
      <formula1>INDIRECT("Table_SourceData_Dairy_ProductionSystemTemplates[Area]")</formula1>
    </dataValidation>
    <dataValidation type="list" allowBlank="1" showInputMessage="1" showErrorMessage="1" sqref="D262" xr:uid="{A2AA3C16-64F6-4D0D-8C09-A395F09D5175}">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0603D-F6DC-4B1C-8A23-21C99DECFA5A}">
  <sheetPr>
    <tabColor theme="5" tint="-0.249977111117893"/>
  </sheetPr>
  <dimension ref="A1:L36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527</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1" t="s">
        <v>528</v>
      </c>
      <c r="E5" s="13" t="s">
        <v>529</v>
      </c>
      <c r="F5" s="16" t="s">
        <v>100</v>
      </c>
    </row>
    <row r="6" spans="1:10" ht="20.100000000000001" customHeight="1" x14ac:dyDescent="0.2">
      <c r="E6" s="87"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A8" s="7" t="s">
        <v>0</v>
      </c>
      <c r="C8" s="83"/>
      <c r="D8" s="83"/>
      <c r="E8" s="83"/>
      <c r="F8" s="83"/>
      <c r="G8" s="83"/>
      <c r="H8" s="83"/>
      <c r="I8" s="83"/>
      <c r="J8" s="83"/>
    </row>
    <row r="9" spans="1:10" ht="20.100000000000001" customHeight="1" x14ac:dyDescent="0.2">
      <c r="A9" s="5" t="str">
        <f>HYPERLINK("#'Input - Enterprise'!A1", "Enterprise")</f>
        <v>Enterprise</v>
      </c>
      <c r="D9" s="2" t="s">
        <v>530</v>
      </c>
    </row>
    <row r="10" spans="1:10" ht="20.100000000000001" customHeight="1" x14ac:dyDescent="0.2">
      <c r="A10" s="5" t="str">
        <f>HYPERLINK("#'Input - Site'!A1", "Site")</f>
        <v>Site</v>
      </c>
    </row>
    <row r="11" spans="1:10" ht="20.100000000000001" customHeight="1" x14ac:dyDescent="0.2">
      <c r="A11" s="5" t="str">
        <f>HYPERLINK("#'Input - Feedlot'!A1", "Feedlot")</f>
        <v>Feedlot</v>
      </c>
      <c r="D11" s="77" t="s">
        <v>531</v>
      </c>
    </row>
    <row r="12" spans="1:10" ht="20.100000000000001" customHeight="1" x14ac:dyDescent="0.2">
      <c r="A12" s="5" t="str">
        <f>HYPERLINK("#'Input - Livestock sales'!A1", "Livestock sales")</f>
        <v>Livestock sales</v>
      </c>
    </row>
    <row r="13" spans="1:10" ht="20.100000000000001" customHeight="1" x14ac:dyDescent="0.2">
      <c r="A13" s="5" t="str">
        <f>HYPERLINK("#'Input - Beef cattle purchases'!A1", "Beef cattle purchases")</f>
        <v>Beef cattle purchases</v>
      </c>
      <c r="D13" s="35" t="s">
        <v>532</v>
      </c>
      <c r="E13" s="38"/>
      <c r="F13" s="8"/>
    </row>
    <row r="14" spans="1:10" ht="20.100000000000001" customHeight="1" x14ac:dyDescent="0.2">
      <c r="A14" s="5" t="str">
        <f>HYPERLINK("#'Input - Fuel'!A1", "Fuel")</f>
        <v>Fuel</v>
      </c>
      <c r="D14" s="8"/>
      <c r="E14" s="8"/>
      <c r="F14" s="8"/>
    </row>
    <row r="15" spans="1:10" ht="20.100000000000001" customHeight="1" x14ac:dyDescent="0.2">
      <c r="A15" s="101" t="str">
        <f>HYPERLINK("#'Input - Electricity'!A1", "Electricity")</f>
        <v>Electricity</v>
      </c>
      <c r="D15" s="1" t="s">
        <v>533</v>
      </c>
      <c r="E15" s="136">
        <v>30000</v>
      </c>
      <c r="F15" s="16" t="s">
        <v>534</v>
      </c>
    </row>
    <row r="16" spans="1:10" ht="20.100000000000001" customHeight="1" x14ac:dyDescent="0.2">
      <c r="A16" s="5" t="str">
        <f>HYPERLINK("#'Input - Common farm inputs'!A1", "Common farm inputs")</f>
        <v>Common farm inputs</v>
      </c>
      <c r="D16" s="1" t="s">
        <v>535</v>
      </c>
      <c r="E16" s="15" t="str">
        <f>IF(X_Cell_Site_State="Western Australia", X_Cell_Site_Region, X_Cell_Site_State)</f>
        <v>Western Australia - Outback (South)</v>
      </c>
      <c r="F16" s="8"/>
    </row>
    <row r="17" spans="1:11" ht="20.100000000000001" customHeight="1" x14ac:dyDescent="0.2">
      <c r="A17" s="5" t="str">
        <f>HYPERLINK("#'Input - Livestock farm Inputs'!A1", "Livestock farm Inputs")</f>
        <v>Livestock farm Inputs</v>
      </c>
      <c r="D17" s="1" t="s">
        <v>536</v>
      </c>
      <c r="E17" s="13" t="s">
        <v>537</v>
      </c>
      <c r="F17" s="16" t="s">
        <v>100</v>
      </c>
    </row>
    <row r="18" spans="1:11" ht="20.100000000000001" customHeight="1" x14ac:dyDescent="0.2">
      <c r="A18" s="5" t="str">
        <f>HYPERLINK("#'Input - Freight'!A1", "Freight")</f>
        <v>Freight</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c r="C20" s="83"/>
      <c r="D20" s="83"/>
      <c r="E20" s="83"/>
      <c r="F20" s="83"/>
      <c r="G20" s="83"/>
      <c r="H20" s="83"/>
      <c r="I20" s="83"/>
      <c r="J20" s="83"/>
    </row>
    <row r="21" spans="1:11" ht="20.100000000000001" customHeight="1" x14ac:dyDescent="0.2">
      <c r="A21" s="5" t="str">
        <f>HYPERLINK("#'Input - Data quality'!A1", "Data quality")</f>
        <v>Data quality</v>
      </c>
      <c r="D21" s="2" t="s">
        <v>538</v>
      </c>
    </row>
    <row r="22" spans="1:11" ht="20.100000000000001" customHeight="1" x14ac:dyDescent="0.2">
      <c r="A22" s="5" t="str">
        <f>HYPERLINK("#'Input - Fert Prod System'!A1", "Fert Prod System")</f>
        <v>Fert Prod System</v>
      </c>
      <c r="E22" s="87" t="str">
        <f>IF(E16="ACT", "", "ALERT: Your farm is not in the ACT, so the JRPP is not applicable")</f>
        <v>ALERT: Your farm is not in the ACT, so the JRPP is not applicable</v>
      </c>
    </row>
    <row r="23" spans="1:11" ht="20.100000000000001" customHeight="1" x14ac:dyDescent="0.2">
      <c r="A23" s="5" t="str">
        <f>HYPERLINK("#'Input - Fertiliser'!A1", "Fertiliser")</f>
        <v>Fertiliser</v>
      </c>
      <c r="D23" s="1" t="s">
        <v>539</v>
      </c>
      <c r="E23" s="136">
        <v>30000</v>
      </c>
      <c r="F23" s="16" t="s">
        <v>534</v>
      </c>
    </row>
    <row r="24" spans="1:11" ht="20.100000000000001" customHeight="1" x14ac:dyDescent="0.2">
      <c r="D24" s="1" t="s">
        <v>540</v>
      </c>
      <c r="E24" s="18">
        <v>0.1</v>
      </c>
      <c r="F24" s="16" t="s">
        <v>140</v>
      </c>
    </row>
    <row r="25" spans="1:11" ht="20.100000000000001" customHeight="1" x14ac:dyDescent="0.2">
      <c r="D25" s="1" t="s">
        <v>541</v>
      </c>
      <c r="E25" s="18">
        <v>0.1</v>
      </c>
      <c r="F25" s="16" t="s">
        <v>140</v>
      </c>
    </row>
    <row r="26" spans="1:11" ht="20.100000000000001" customHeight="1" x14ac:dyDescent="0.2">
      <c r="A26" s="6" t="s">
        <v>2</v>
      </c>
    </row>
    <row r="27" spans="1:11" ht="20.100000000000001" customHeight="1" x14ac:dyDescent="0.2">
      <c r="A27" s="5" t="str">
        <f>HYPERLINK("#'3.1.1.1-2 Enteric Methane'!A1", "3.1.1.1-2 Enteric Methane")</f>
        <v>3.1.1.1-2 Enteric Methane</v>
      </c>
      <c r="D27" s="1" t="s">
        <v>542</v>
      </c>
      <c r="E27" s="136">
        <v>10000</v>
      </c>
      <c r="F27" s="16" t="s">
        <v>534</v>
      </c>
    </row>
    <row r="28" spans="1:11" ht="20.100000000000001" customHeight="1" x14ac:dyDescent="0.2">
      <c r="A28" s="5" t="str">
        <f>HYPERLINK("#'4.1.1.1-2 Methane'!A1", "4.1.1.1-2 Manure Methane")</f>
        <v>4.1.1.1-2 Manure Methane</v>
      </c>
    </row>
    <row r="29" spans="1:11" ht="20.100000000000001" customHeight="1" x14ac:dyDescent="0.2">
      <c r="A29" s="5" t="str">
        <f>HYPERLINK("#'4.1.1.3-4 Direct N20'!A1", "4.1.1.3-4 Manure Direct N2O")</f>
        <v>4.1.1.3-4 Manure Direct N2O</v>
      </c>
      <c r="D29" s="1" t="s">
        <v>543</v>
      </c>
      <c r="E29" s="137" t="str">
        <f>TEXT(X_Cell_Site_StartDate, "dd mmm yyyy")</f>
        <v>01 Jan 2025</v>
      </c>
      <c r="K29" s="138"/>
    </row>
    <row r="30" spans="1:11" ht="20.100000000000001" customHeight="1" x14ac:dyDescent="0.2">
      <c r="A30" s="5" t="str">
        <f>HYPERLINK("#'4.1.1.5-6 Atmos Deposition'!A1", "4.1.1.5-6 Manure Atmos Dep")</f>
        <v>4.1.1.5-6 Manure Atmos Dep</v>
      </c>
      <c r="D30" s="1" t="s">
        <v>544</v>
      </c>
      <c r="E30" s="137" t="str">
        <f>TEXT(X_Cell_Site_EndDate, "dd mmm yyyy")</f>
        <v>31 Dec 2025</v>
      </c>
      <c r="K30" s="138"/>
    </row>
    <row r="31" spans="1:11" ht="20.100000000000001" customHeight="1" x14ac:dyDescent="0.2">
      <c r="A31" s="5" t="str">
        <f>HYPERLINK("#'4.1.1.9 Manure applied to soils'!A1", "4.1.1.9 Manure applied to soils")</f>
        <v>4.1.1.9 Manure applied to soils</v>
      </c>
      <c r="K31" s="138"/>
    </row>
    <row r="32" spans="1:11" ht="20.100000000000001" customHeight="1" x14ac:dyDescent="0.2">
      <c r="A32" s="5" t="str">
        <f>HYPERLINK("#'8.1.1.1-2 Transport fuel'!A1", "8.1.1.1-2 Transport fuel")</f>
        <v>8.1.1.1-2 Transport fuel</v>
      </c>
      <c r="D32" s="77" t="s">
        <v>545</v>
      </c>
      <c r="K32" s="138"/>
    </row>
    <row r="33" spans="1:12" ht="20.100000000000001" customHeight="1" x14ac:dyDescent="0.2">
      <c r="A33" s="5" t="str">
        <f>HYPERLINK("#'8.2.1.1-2 Stationary fuel'!A1", "8.2.1.1-2 Stationary fuel")</f>
        <v>8.2.1.1-2 Stationary fuel</v>
      </c>
      <c r="K33" s="138"/>
    </row>
    <row r="34" spans="1:12" ht="20.100000000000001" customHeight="1" x14ac:dyDescent="0.2">
      <c r="A34" s="5" t="str">
        <f>HYPERLINK("#'10.1.1-2 Solid waste treatment'!A1", "10.1.1.1-2 Solid waste")</f>
        <v>10.1.1.1-2 Solid waste</v>
      </c>
      <c r="D34" s="35" t="s">
        <v>546</v>
      </c>
      <c r="E34" s="38"/>
      <c r="K34" s="138"/>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c r="D36" s="78" t="s">
        <v>156</v>
      </c>
      <c r="E36" s="78" t="s">
        <v>547</v>
      </c>
      <c r="F36" s="78" t="s">
        <v>548</v>
      </c>
      <c r="G36" s="78" t="s">
        <v>549</v>
      </c>
      <c r="H36" s="78" t="s">
        <v>550</v>
      </c>
      <c r="I36" s="78" t="s">
        <v>551</v>
      </c>
      <c r="L36" s="138"/>
    </row>
    <row r="37" spans="1:12" ht="20.100000000000001" customHeight="1" x14ac:dyDescent="0.2">
      <c r="A37" s="5" t="str">
        <f>HYPERLINK("#'Calcs - Manure sent off-site'!A1", "Calcs - Manure sent off-site")</f>
        <v>Calcs - Manure sent off-site</v>
      </c>
      <c r="D37" s="19" t="s">
        <v>552</v>
      </c>
      <c r="E37" s="13" t="s">
        <v>553</v>
      </c>
      <c r="F37" s="139">
        <v>44185</v>
      </c>
      <c r="G37" s="19">
        <v>12</v>
      </c>
      <c r="H37" s="15">
        <f>Table_Input_RECSurrendered[[#This Row],[Number of certificates]]</f>
        <v>12</v>
      </c>
      <c r="I37" s="15" t="str">
        <f>IF(DATEDIF(Table_Input_RECSurrendered[[#This Row],[Generation date]],DATEVALUE($E$30),"M")&gt;36,"Ineligible - older than 36 months","Elegible")</f>
        <v>Ineligible - older than 36 months</v>
      </c>
      <c r="L37" s="138"/>
    </row>
    <row r="38" spans="1:12" ht="20.100000000000001" customHeight="1" x14ac:dyDescent="0.2">
      <c r="A38" s="5" t="str">
        <f>HYPERLINK("#'5.1.1.1-2 Inorganic fert N2O'!A1", "5.1.1.1-2 Inorganic fert N2O")</f>
        <v>5.1.1.1-2 Inorganic fert N2O</v>
      </c>
      <c r="D38" s="19" t="s">
        <v>554</v>
      </c>
      <c r="E38" s="13" t="s">
        <v>555</v>
      </c>
      <c r="F38" s="139">
        <v>44575</v>
      </c>
      <c r="G38" s="19">
        <v>5</v>
      </c>
      <c r="H38" s="15">
        <f>Table_Input_RECSurrendered[[#This Row],[Number of certificates]]</f>
        <v>5</v>
      </c>
      <c r="I38" s="15" t="str">
        <f>IF(DATEDIF(Table_Input_RECSurrendered[[#This Row],[Generation date]],DATEVALUE($E$30),"M")&gt;36,"Ineligible - older than 36 months","Elegible")</f>
        <v>Ineligible - older than 36 months</v>
      </c>
    </row>
    <row r="39" spans="1:12" ht="20.100000000000001" customHeight="1" x14ac:dyDescent="0.2">
      <c r="A39" s="5" t="str">
        <f>HYPERLINK("#'5.1.1.3-4 Inorganic fert CO2'!A1", "5.1.1.3-4 Inorganic fert CO2")</f>
        <v>5.1.1.3-4 Inorganic fert CO2</v>
      </c>
      <c r="D39" s="19" t="s">
        <v>556</v>
      </c>
      <c r="E39" s="13" t="s">
        <v>553</v>
      </c>
      <c r="F39" s="139">
        <v>45438</v>
      </c>
      <c r="G39" s="19">
        <v>5</v>
      </c>
      <c r="H39" s="15">
        <f>Table_Input_RECSurrendered[[#This Row],[Number of certificates]]</f>
        <v>5</v>
      </c>
      <c r="I39" s="15" t="str">
        <f>IF(DATEDIF(Table_Input_RECSurrendered[[#This Row],[Generation date]],DATEVALUE($E$30),"M")&gt;36,"Ineligible - older than 36 months","Elegible")</f>
        <v>Elegible</v>
      </c>
    </row>
    <row r="40" spans="1:12" s="138" customFormat="1" ht="20.100000000000001" customHeight="1" x14ac:dyDescent="0.2">
      <c r="A40" s="5" t="str">
        <f>HYPERLINK("#'5.2.1.1-2 Organic Fert N2O'!A1", "5.2.1.1-2 Organic Fert N2O")</f>
        <v>5.2.1.1-2 Organic Fert N2O</v>
      </c>
      <c r="C40" s="1"/>
      <c r="D40" s="1"/>
      <c r="E40" s="1"/>
      <c r="F40" s="1"/>
      <c r="G40" s="1"/>
      <c r="H40" s="1"/>
      <c r="I40" s="1"/>
      <c r="J40" s="1"/>
    </row>
    <row r="41" spans="1:12" s="138" customFormat="1" ht="20.100000000000001" customHeight="1" x14ac:dyDescent="0.2">
      <c r="A41" s="5" t="str">
        <f>HYPERLINK("#'5.3.1.1-2 Lime CO2'!A1", "5.3.1.1-2 Lime CO2")</f>
        <v>5.3.1.1-2 Lime CO2</v>
      </c>
      <c r="C41" s="1"/>
      <c r="D41" s="1" t="s">
        <v>557</v>
      </c>
      <c r="E41" s="15">
        <f>SUMIF(Table_Input_RECSurrendered[Elegibility], "Elegible", Table_Input_RECSurrendered[MWh])</f>
        <v>5</v>
      </c>
      <c r="F41" s="16" t="s">
        <v>550</v>
      </c>
      <c r="G41" s="1"/>
      <c r="H41" s="1"/>
      <c r="I41" s="1"/>
      <c r="J41" s="1"/>
      <c r="L41" s="138" t="s">
        <v>558</v>
      </c>
    </row>
    <row r="42" spans="1:12" ht="20.100000000000001" customHeight="1" x14ac:dyDescent="0.2">
      <c r="A42" s="5" t="str">
        <f>HYPERLINK("#'5.4.1.1-4 Atmos deposition'!A1", "5.4.1.1-4 Atmos deposition")</f>
        <v>5.4.1.1-4 Atmos deposition</v>
      </c>
      <c r="C42" s="140"/>
    </row>
    <row r="43" spans="1:12" ht="20.100000000000001" customHeight="1" x14ac:dyDescent="0.2">
      <c r="A43" s="5" t="str">
        <f>HYPERLINK("#'5.5.1.1-2 Leaching and runoff'!A1", "5.5.1.1-2 Leaching and runoff")</f>
        <v>5.5.1.1-2 Leaching and runoff</v>
      </c>
      <c r="C43" s="140"/>
      <c r="D43" s="77" t="s">
        <v>559</v>
      </c>
      <c r="J43" s="140"/>
    </row>
    <row r="45" spans="1:12" ht="20.100000000000001" customHeight="1" x14ac:dyDescent="0.2">
      <c r="D45" s="78" t="s">
        <v>156</v>
      </c>
      <c r="E45" s="78" t="s">
        <v>560</v>
      </c>
      <c r="F45" s="78" t="s">
        <v>548</v>
      </c>
      <c r="G45" s="78" t="s">
        <v>549</v>
      </c>
      <c r="H45" s="78" t="s">
        <v>550</v>
      </c>
      <c r="I45" s="78" t="s">
        <v>551</v>
      </c>
    </row>
    <row r="46" spans="1:12" ht="20.100000000000001" customHeight="1" x14ac:dyDescent="0.2">
      <c r="A46" s="80" t="s">
        <v>1</v>
      </c>
      <c r="D46" s="19" t="s">
        <v>561</v>
      </c>
      <c r="E46" s="141" t="str">
        <f>"Issued for generated electricity"</f>
        <v>Issued for generated electricity</v>
      </c>
      <c r="F46" s="139">
        <v>44697</v>
      </c>
      <c r="G46" s="19">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
      <c r="A47" s="5" t="str">
        <f>HYPERLINK("#'Constants - Feedlot'!A1", "Constants - Feedlot")</f>
        <v>Constants - Feedlot</v>
      </c>
      <c r="D47" s="19" t="s">
        <v>562</v>
      </c>
      <c r="E47" s="141" t="str">
        <f>"Issued for generated electricity"</f>
        <v>Issued for generated electricity</v>
      </c>
      <c r="F47" s="139">
        <v>45483</v>
      </c>
      <c r="G47" s="19">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Ineligible - outside reporting year</v>
      </c>
    </row>
    <row r="48" spans="1:12" ht="20.100000000000001" customHeight="1" x14ac:dyDescent="0.2">
      <c r="A48" s="5" t="str">
        <f>HYPERLINK("#'Constants - Common livestock'!A1", "Constants - Common Livestock")</f>
        <v>Constants - Common Livestock</v>
      </c>
      <c r="D48" s="142">
        <v>45597</v>
      </c>
      <c r="E48" s="141" t="str">
        <f>"Issued for generated electricity"</f>
        <v>Issued for generated electricity</v>
      </c>
      <c r="F48" s="139">
        <v>45607</v>
      </c>
      <c r="G48" s="19">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Ineligible - outside reporting year</v>
      </c>
    </row>
    <row r="49" spans="1:6" ht="20.100000000000001" customHeight="1" x14ac:dyDescent="0.2">
      <c r="A49" s="5" t="str">
        <f>HYPERLINK("#'Constants - Electricity'!A1", "Constants - Electricity")</f>
        <v>Constants - Electricity</v>
      </c>
    </row>
    <row r="50" spans="1:6" ht="20.100000000000001" customHeight="1" x14ac:dyDescent="0.2">
      <c r="A50" s="5" t="str">
        <f>HYPERLINK("#'Constants - Fertiliser'!A1", "Constants - Fertiliser")</f>
        <v>Constants - Fertiliser</v>
      </c>
      <c r="D50" s="1" t="s">
        <v>563</v>
      </c>
      <c r="E50" s="15">
        <f>SUMIF(Table_Input_RECConsumedByEntity[Elegibility], "Elegible", Table_Input_RECConsumedByEntity[Number of certificates])</f>
        <v>0</v>
      </c>
      <c r="F50" s="16" t="s">
        <v>550</v>
      </c>
    </row>
    <row r="51" spans="1:6" ht="20.100000000000001" customHeight="1" x14ac:dyDescent="0.2">
      <c r="A51" s="5" t="str">
        <f>HYPERLINK("#'Constants - Fuel'!A1", "Constants - Fuel")</f>
        <v>Constants - Fuel</v>
      </c>
    </row>
    <row r="52" spans="1:6" ht="20.100000000000001" customHeight="1" x14ac:dyDescent="0.2">
      <c r="A52" s="5" t="str">
        <f>HYPERLINK("#'Constants - Scope 3'!A1", "Constants - Scope 3")</f>
        <v>Constants - Scope 3</v>
      </c>
    </row>
    <row r="53" spans="1:6" ht="20.100000000000001" customHeight="1" x14ac:dyDescent="0.2">
      <c r="A53" s="5" t="str">
        <f>HYPERLINK("#'Constants - Solid Waste'!A1", "Constants - Solid Waste")</f>
        <v>Constants - Solid Waste</v>
      </c>
    </row>
    <row r="54" spans="1:6" ht="20.100000000000001" customHeight="1" x14ac:dyDescent="0.2">
      <c r="A54" s="5" t="str">
        <f>HYPERLINK("#'Constants - Common'!A1", "Constants - Common")</f>
        <v>Constants - Common</v>
      </c>
    </row>
    <row r="55" spans="1:6" ht="20.100000000000001" customHeight="1" x14ac:dyDescent="0.2">
      <c r="A55" s="5" t="str">
        <f>HYPERLINK("#'Acknowledgements'!A1", "Acknowledgements")</f>
        <v>Acknowledgements</v>
      </c>
      <c r="D55" s="143"/>
    </row>
    <row r="56" spans="1:6" ht="20.100000000000001" customHeight="1" x14ac:dyDescent="0.2">
      <c r="D56" s="143"/>
    </row>
    <row r="365" spans="4:4" ht="20.100000000000001" customHeight="1" x14ac:dyDescent="0.2">
      <c r="D365" s="87"/>
    </row>
  </sheetData>
  <conditionalFormatting sqref="F130:F131">
    <cfRule type="cellIs" dxfId="60" priority="8" operator="lessThan">
      <formula>0</formula>
    </cfRule>
  </conditionalFormatting>
  <conditionalFormatting sqref="F142:F143">
    <cfRule type="cellIs" dxfId="59" priority="7" operator="lessThan">
      <formula>0</formula>
    </cfRule>
  </conditionalFormatting>
  <conditionalFormatting sqref="F154:F155">
    <cfRule type="cellIs" dxfId="58" priority="6" operator="lessThan">
      <formula>0</formula>
    </cfRule>
  </conditionalFormatting>
  <conditionalFormatting sqref="F166:F167">
    <cfRule type="cellIs" dxfId="57" priority="5" operator="lessThan">
      <formula>0</formula>
    </cfRule>
  </conditionalFormatting>
  <conditionalFormatting sqref="F254:F255">
    <cfRule type="cellIs" dxfId="56" priority="17" operator="lessThan">
      <formula>0</formula>
    </cfRule>
  </conditionalFormatting>
  <conditionalFormatting sqref="F259:F260">
    <cfRule type="cellIs" dxfId="55" priority="16" operator="lessThan">
      <formula>0</formula>
    </cfRule>
  </conditionalFormatting>
  <conditionalFormatting sqref="F264:F265">
    <cfRule type="cellIs" dxfId="54" priority="15" operator="lessThan">
      <formula>0</formula>
    </cfRule>
  </conditionalFormatting>
  <conditionalFormatting sqref="F288:F289">
    <cfRule type="cellIs" dxfId="53" priority="14" operator="lessThan">
      <formula>0</formula>
    </cfRule>
  </conditionalFormatting>
  <conditionalFormatting sqref="F293:F294">
    <cfRule type="cellIs" dxfId="52" priority="13" operator="lessThan">
      <formula>0</formula>
    </cfRule>
  </conditionalFormatting>
  <conditionalFormatting sqref="F298:F299">
    <cfRule type="cellIs" dxfId="51" priority="12" operator="lessThan">
      <formula>0</formula>
    </cfRule>
  </conditionalFormatting>
  <conditionalFormatting sqref="I59:I63">
    <cfRule type="cellIs" dxfId="50" priority="4" operator="lessThan">
      <formula>0</formula>
    </cfRule>
  </conditionalFormatting>
  <conditionalFormatting sqref="I67 I126">
    <cfRule type="cellIs" dxfId="49" priority="10" operator="lessThan">
      <formula>0</formula>
    </cfRule>
  </conditionalFormatting>
  <conditionalFormatting sqref="I78:I80">
    <cfRule type="cellIs" dxfId="48" priority="3" operator="lessThan">
      <formula>0</formula>
    </cfRule>
  </conditionalFormatting>
  <conditionalFormatting sqref="I84:I87">
    <cfRule type="cellIs" dxfId="47" priority="2" operator="lessThan">
      <formula>0</formula>
    </cfRule>
  </conditionalFormatting>
  <conditionalFormatting sqref="I91:I95">
    <cfRule type="cellIs" dxfId="46" priority="1" operator="lessThan">
      <formula>0</formula>
    </cfRule>
  </conditionalFormatting>
  <conditionalFormatting sqref="J35 I49:I50 H51:H53 I52 I54:I55 I206 I212 E214:G214">
    <cfRule type="cellIs" dxfId="45" priority="11" operator="lessThan">
      <formula>0</formula>
    </cfRule>
  </conditionalFormatting>
  <conditionalFormatting sqref="J39 I40 J41 I43">
    <cfRule type="cellIs" dxfId="44" priority="9" operator="lessThan">
      <formula>0</formula>
    </cfRule>
  </conditionalFormatting>
  <dataValidations count="7">
    <dataValidation type="list" allowBlank="1" showInputMessage="1" showErrorMessage="1" sqref="E5" xr:uid="{C8C4CC43-185E-4AE0-AE4D-7BD3ADDEF667}">
      <formula1>"Location-based (simpler), Market-based (more complex)"</formula1>
    </dataValidation>
    <dataValidation type="list" allowBlank="1" showInputMessage="1" showErrorMessage="1" sqref="E37:E39" xr:uid="{CD94C0B2-4F61-4EE8-8DC4-21A31A56F843}">
      <formula1>"Purchased certificate, Issued for generated electricity"</formula1>
    </dataValidation>
    <dataValidation type="list" allowBlank="1" showInputMessage="1" showErrorMessage="1" sqref="E17" xr:uid="{644BEF11-8208-4C1A-B571-6B1BC4BB006B}">
      <formula1>INDIRECT("Table_SourceData_ElectricityEFs[State, Territory or grid description]")</formula1>
    </dataValidation>
    <dataValidation type="list" allowBlank="1" showInputMessage="1" showErrorMessage="1" sqref="E69" xr:uid="{82828361-25CA-4EDA-BDF7-D9C6D70D3DCA}">
      <formula1>INDIRECT("Table_SourceData_Swine_IrrigationMethods[Irrigation method]")</formula1>
    </dataValidation>
    <dataValidation type="list" allowBlank="1" showInputMessage="1" showErrorMessage="1" sqref="E253 E258 E263 E297 E292 E287 E165 E153 E129 E141" xr:uid="{8D8E060C-B18F-41BA-BF96-2FA7456DD461}">
      <formula1>"Yes, No"</formula1>
    </dataValidation>
    <dataValidation type="list" allowBlank="1" showInputMessage="1" showErrorMessage="1" sqref="E229" xr:uid="{690217CC-E2F0-424E-9208-D68BDA335F52}">
      <formula1>INDIRECT("Table_SourceData_Dairy_ProductionSystemTemplates[Area]")</formula1>
    </dataValidation>
    <dataValidation type="list" allowBlank="1" showInputMessage="1" showErrorMessage="1" sqref="D281" xr:uid="{FD382921-0EDF-4D05-BDCE-27AA910A5F5D}">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16FA6-8B6F-4382-A134-903B30BF7C37}">
  <sheetPr>
    <tabColor theme="5" tint="-0.249977111117893"/>
  </sheetPr>
  <dimension ref="A1:S195"/>
  <sheetViews>
    <sheetView showGridLines="0" zoomScaleNormal="100" workbookViewId="0">
      <pane xSplit="1" topLeftCell="B1" activePane="topRight" state="frozenSplit"/>
      <selection pane="topRight" activeCell="A54" sqref="A54"/>
    </sheetView>
  </sheetViews>
  <sheetFormatPr defaultColWidth="9" defaultRowHeight="20.100000000000001" customHeight="1" x14ac:dyDescent="0.2"/>
  <cols>
    <col min="1" max="1" width="36.7109375" style="236" customWidth="1"/>
    <col min="2" max="2" width="4.140625" style="236" customWidth="1"/>
    <col min="3" max="3" width="4.140625" style="237" customWidth="1"/>
    <col min="4" max="4" width="41.28515625" style="237" customWidth="1"/>
    <col min="5" max="10" width="26.85546875" style="237" customWidth="1"/>
    <col min="11" max="18" width="30.5703125" style="1" customWidth="1"/>
    <col min="19" max="19" width="4.5703125" style="1" customWidth="1"/>
    <col min="20" max="16384" width="9" style="236"/>
  </cols>
  <sheetData>
    <row r="1" spans="1:19" ht="30" customHeight="1" x14ac:dyDescent="0.35">
      <c r="A1" s="10" t="e" vm="1">
        <v>#VALUE!</v>
      </c>
      <c r="C1" s="27" t="s">
        <v>946</v>
      </c>
      <c r="D1" s="21"/>
      <c r="E1" s="21"/>
      <c r="F1" s="21"/>
      <c r="G1" s="21"/>
      <c r="H1" s="21"/>
      <c r="I1" s="21"/>
      <c r="J1" s="21"/>
      <c r="K1" s="21"/>
      <c r="L1" s="21"/>
      <c r="M1" s="21"/>
      <c r="N1" s="21"/>
      <c r="O1" s="21"/>
      <c r="P1" s="21"/>
      <c r="Q1" s="21"/>
      <c r="R1" s="21"/>
      <c r="S1" s="21"/>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8"/>
      <c r="D3" s="28"/>
      <c r="E3" s="28"/>
      <c r="F3" s="28"/>
      <c r="G3" s="28"/>
      <c r="H3" s="28"/>
      <c r="I3" s="28"/>
      <c r="J3" s="28"/>
      <c r="K3" s="28"/>
      <c r="L3" s="28"/>
      <c r="M3" s="28"/>
      <c r="N3" s="28"/>
      <c r="O3" s="28"/>
      <c r="P3" s="28"/>
      <c r="Q3" s="28"/>
      <c r="R3" s="28"/>
      <c r="S3" s="28"/>
    </row>
    <row r="4" spans="1:19" ht="20.100000000000001" customHeight="1" x14ac:dyDescent="0.2">
      <c r="A4" s="5" t="str">
        <f>HYPERLINK("#'Results - Activity period'!A1", "Results - Activity period")</f>
        <v>Results - Activity period</v>
      </c>
      <c r="C4" s="24"/>
      <c r="D4" s="24"/>
      <c r="E4" s="24"/>
      <c r="F4" s="24"/>
      <c r="G4" s="24"/>
      <c r="H4" s="24"/>
      <c r="I4" s="24"/>
      <c r="J4" s="24"/>
    </row>
    <row r="5" spans="1:19" ht="20.100000000000001" customHeight="1" x14ac:dyDescent="0.2">
      <c r="A5" s="5" t="str">
        <f>HYPERLINK("#'Results - Product EI'!A1", "Results - Product Emissions Intensity")</f>
        <v>Results - Product Emissions Intensity</v>
      </c>
      <c r="C5" s="1"/>
      <c r="D5" s="2" t="s">
        <v>947</v>
      </c>
      <c r="E5" s="24"/>
      <c r="F5" s="24"/>
      <c r="G5" s="24"/>
      <c r="H5" s="24"/>
      <c r="I5" s="24"/>
      <c r="J5" s="24"/>
    </row>
    <row r="6" spans="1:19" ht="20.100000000000001" customHeight="1" x14ac:dyDescent="0.2">
      <c r="A6"/>
      <c r="C6" s="1"/>
    </row>
    <row r="7" spans="1:19" ht="20.100000000000001" customHeight="1" x14ac:dyDescent="0.2">
      <c r="A7"/>
      <c r="C7" s="1"/>
      <c r="D7" s="78" t="s">
        <v>948</v>
      </c>
      <c r="E7" s="78" t="s">
        <v>949</v>
      </c>
      <c r="F7" s="78" t="s">
        <v>950</v>
      </c>
    </row>
    <row r="8" spans="1:19" ht="20.100000000000001" customHeight="1" x14ac:dyDescent="0.2">
      <c r="A8" s="7" t="s">
        <v>0</v>
      </c>
      <c r="C8" s="1"/>
      <c r="D8" s="33" t="s">
        <v>951</v>
      </c>
      <c r="E8" s="13" t="s">
        <v>952</v>
      </c>
      <c r="F8" s="74">
        <v>100</v>
      </c>
    </row>
    <row r="9" spans="1:19" ht="20.100000000000001" customHeight="1" x14ac:dyDescent="0.2">
      <c r="A9" s="5" t="str">
        <f>HYPERLINK("#'Input - Enterprise'!A1", "Enterprise")</f>
        <v>Enterprise</v>
      </c>
      <c r="C9" s="1"/>
      <c r="D9" s="33" t="s">
        <v>953</v>
      </c>
      <c r="E9" s="84" t="s">
        <v>954</v>
      </c>
      <c r="F9" s="241">
        <v>100</v>
      </c>
    </row>
    <row r="10" spans="1:19" ht="20.100000000000001" customHeight="1" x14ac:dyDescent="0.2">
      <c r="A10" s="5" t="str">
        <f>HYPERLINK("#'Input - Site'!A1", "Site")</f>
        <v>Site</v>
      </c>
      <c r="D10" s="33" t="s">
        <v>955</v>
      </c>
      <c r="E10" s="84" t="s">
        <v>956</v>
      </c>
      <c r="F10" s="241">
        <v>100</v>
      </c>
    </row>
    <row r="11" spans="1:19" ht="20.100000000000001" customHeight="1" x14ac:dyDescent="0.2">
      <c r="A11" s="5" t="str">
        <f>HYPERLINK("#'Input - Feedlot'!A1", "Feedlot")</f>
        <v>Feedlot</v>
      </c>
      <c r="D11" s="33" t="s">
        <v>955</v>
      </c>
      <c r="E11" s="84" t="s">
        <v>956</v>
      </c>
      <c r="F11" s="241">
        <v>100</v>
      </c>
    </row>
    <row r="12" spans="1:19" ht="20.100000000000001" customHeight="1" x14ac:dyDescent="0.2">
      <c r="A12" s="5" t="str">
        <f>HYPERLINK("#'Input - Livestock sales'!A1", "Livestock sales")</f>
        <v>Livestock sales</v>
      </c>
      <c r="C12" s="1"/>
      <c r="D12" s="33" t="s">
        <v>951</v>
      </c>
      <c r="E12" s="84" t="s">
        <v>952</v>
      </c>
      <c r="F12" s="241">
        <v>100</v>
      </c>
    </row>
    <row r="13" spans="1:19" ht="20.100000000000001" customHeight="1" x14ac:dyDescent="0.2">
      <c r="A13" s="5" t="str">
        <f>HYPERLINK("#'Input - Beef cattle purchases'!A1", "Beef cattle purchases")</f>
        <v>Beef cattle purchases</v>
      </c>
      <c r="C13" s="1"/>
      <c r="D13" s="33" t="s">
        <v>951</v>
      </c>
      <c r="E13" s="84" t="s">
        <v>952</v>
      </c>
      <c r="F13" s="241">
        <v>100</v>
      </c>
    </row>
    <row r="14" spans="1:19" ht="20.100000000000001" customHeight="1" x14ac:dyDescent="0.2">
      <c r="A14" s="5" t="str">
        <f>HYPERLINK("#'Input - Fuel'!A1", "Fuel")</f>
        <v>Fuel</v>
      </c>
      <c r="D14" s="33"/>
      <c r="E14" s="13"/>
      <c r="F14" s="74"/>
    </row>
    <row r="15" spans="1:19" ht="20.100000000000001" customHeight="1" x14ac:dyDescent="0.2">
      <c r="A15" s="5" t="str">
        <f>HYPERLINK("#'Input - Electricity'!A1", "Electricity")</f>
        <v>Electricity</v>
      </c>
      <c r="D15" s="33"/>
      <c r="E15" s="13"/>
      <c r="F15" s="74"/>
    </row>
    <row r="16" spans="1:19" ht="20.100000000000001" customHeight="1" x14ac:dyDescent="0.2">
      <c r="A16" s="101" t="str">
        <f>HYPERLINK("#'Input - Common farm inputs'!A1", "Common farm inputs")</f>
        <v>Common farm inputs</v>
      </c>
      <c r="D16" s="33"/>
      <c r="E16" s="13"/>
      <c r="F16" s="74"/>
    </row>
    <row r="17" spans="1:10" ht="20.100000000000001" customHeight="1" x14ac:dyDescent="0.2">
      <c r="A17" s="5" t="str">
        <f>HYPERLINK("#'Input - Livestock farm Inputs'!A1", "Livestock farm Inputs")</f>
        <v>Livestock farm Inputs</v>
      </c>
      <c r="C17" s="1"/>
      <c r="D17" s="33"/>
      <c r="E17" s="13"/>
      <c r="F17" s="74"/>
    </row>
    <row r="18" spans="1:10" ht="20.100000000000001" customHeight="1" x14ac:dyDescent="0.2">
      <c r="A18" s="5" t="str">
        <f>HYPERLINK("#'Input - Freight'!A1", "Freight")</f>
        <v>Freight</v>
      </c>
      <c r="C18" s="1"/>
    </row>
    <row r="19" spans="1:10" ht="20.100000000000001" customHeight="1" x14ac:dyDescent="0.2">
      <c r="A19" s="5" t="str">
        <f>HYPERLINK("#'Input - Solid waste'!A1", "Solid waste")</f>
        <v>Solid waste</v>
      </c>
    </row>
    <row r="20" spans="1:10" ht="20.100000000000001" customHeight="1" x14ac:dyDescent="0.2">
      <c r="A20" s="5" t="str">
        <f>HYPERLINK("#'Input - Manure sent off-site'!A1", "Manure sent off-site")</f>
        <v>Manure sent off-site</v>
      </c>
      <c r="D20" s="2" t="s">
        <v>957</v>
      </c>
    </row>
    <row r="21" spans="1:10" ht="20.100000000000001" customHeight="1" x14ac:dyDescent="0.2">
      <c r="A21" s="5" t="str">
        <f>HYPERLINK("#'Input - Data quality'!A1", "Data quality")</f>
        <v>Data quality</v>
      </c>
      <c r="D21" s="25"/>
      <c r="I21" s="24"/>
      <c r="J21" s="24"/>
    </row>
    <row r="22" spans="1:10" ht="20.100000000000001" customHeight="1" x14ac:dyDescent="0.2">
      <c r="A22" s="5" t="str">
        <f>HYPERLINK("#'Input - Fert Prod System'!A1", "Fert Prod System")</f>
        <v>Fert Prod System</v>
      </c>
      <c r="D22" s="242" t="s">
        <v>958</v>
      </c>
      <c r="E22" s="242" t="s">
        <v>959</v>
      </c>
      <c r="F22" s="242" t="s">
        <v>960</v>
      </c>
      <c r="G22" s="242" t="s">
        <v>585</v>
      </c>
    </row>
    <row r="23" spans="1:10" ht="20.100000000000001" customHeight="1" x14ac:dyDescent="0.2">
      <c r="A23" s="5" t="str">
        <f>HYPERLINK("#'Input - Fertiliser'!A1", "Fertiliser")</f>
        <v>Fertiliser</v>
      </c>
      <c r="D23" s="33" t="s">
        <v>961</v>
      </c>
      <c r="E23" s="33" t="s">
        <v>962</v>
      </c>
      <c r="F23" s="74">
        <v>10000</v>
      </c>
      <c r="G23" s="13" t="s">
        <v>963</v>
      </c>
    </row>
    <row r="24" spans="1:10" ht="20.100000000000001" customHeight="1" x14ac:dyDescent="0.2">
      <c r="A24"/>
      <c r="D24" s="33" t="s">
        <v>964</v>
      </c>
      <c r="E24" s="33" t="s">
        <v>965</v>
      </c>
      <c r="F24" s="74">
        <v>1000</v>
      </c>
      <c r="G24" s="13" t="s">
        <v>966</v>
      </c>
    </row>
    <row r="25" spans="1:10" ht="20.100000000000001" customHeight="1" x14ac:dyDescent="0.2">
      <c r="A25"/>
      <c r="C25" s="1"/>
      <c r="D25" s="33"/>
      <c r="E25" s="33"/>
      <c r="F25" s="74"/>
      <c r="G25" s="13"/>
    </row>
    <row r="26" spans="1:10" ht="20.100000000000001" customHeight="1" x14ac:dyDescent="0.2">
      <c r="A26" s="6" t="s">
        <v>2</v>
      </c>
      <c r="C26" s="1"/>
      <c r="D26" s="33"/>
      <c r="E26" s="33"/>
      <c r="F26" s="74"/>
      <c r="G26" s="13"/>
    </row>
    <row r="27" spans="1:10" ht="20.100000000000001" customHeight="1" x14ac:dyDescent="0.2">
      <c r="A27" s="5" t="str">
        <f>HYPERLINK("#'3.1.1.1-2 Enteric Methane'!A1", "3.1.1.1-2 Enteric Methane")</f>
        <v>3.1.1.1-2 Enteric Methane</v>
      </c>
      <c r="C27" s="1"/>
      <c r="D27" s="33"/>
      <c r="E27" s="33"/>
      <c r="F27" s="74"/>
      <c r="G27" s="13"/>
    </row>
    <row r="28" spans="1:10" ht="20.100000000000001" customHeight="1" x14ac:dyDescent="0.2">
      <c r="A28" s="5" t="str">
        <f>HYPERLINK("#'4.1.1.1-2 Methane'!A1", "4.1.1.1-2 Manure Methane")</f>
        <v>4.1.1.1-2 Manure Methane</v>
      </c>
      <c r="D28" s="33"/>
      <c r="E28" s="33"/>
      <c r="F28" s="74"/>
      <c r="G28" s="13"/>
    </row>
    <row r="29" spans="1:10" ht="20.100000000000001" customHeight="1" x14ac:dyDescent="0.2">
      <c r="A29" s="5" t="str">
        <f>HYPERLINK("#'4.1.1.3-4 Direct N20'!A1", "4.1.1.3-4 Manure Direct N2O")</f>
        <v>4.1.1.3-4 Manure Direct N2O</v>
      </c>
      <c r="D29" s="33"/>
      <c r="E29" s="33"/>
      <c r="F29" s="74"/>
      <c r="G29" s="13"/>
    </row>
    <row r="30" spans="1:10" ht="20.100000000000001" customHeight="1" x14ac:dyDescent="0.2">
      <c r="A30" s="5" t="str">
        <f>HYPERLINK("#'4.1.1.5-6 Atmos Deposition'!A1", "4.1.1.5-6 Manure Atmos Dep")</f>
        <v>4.1.1.5-6 Manure Atmos Dep</v>
      </c>
      <c r="D30" s="33"/>
      <c r="E30" s="33"/>
      <c r="F30" s="74"/>
      <c r="G30" s="13"/>
    </row>
    <row r="31" spans="1:10" ht="20.100000000000001" customHeight="1" x14ac:dyDescent="0.2">
      <c r="A31" s="5" t="str">
        <f>HYPERLINK("#'4.1.1.9 Manure applied to soils'!A1", "4.1.1.9 Manure applied to soils")</f>
        <v>4.1.1.9 Manure applied to soils</v>
      </c>
      <c r="D31" s="33"/>
      <c r="E31" s="33"/>
      <c r="F31" s="74"/>
      <c r="G31" s="13"/>
    </row>
    <row r="32" spans="1:10" ht="20.100000000000001" customHeight="1" x14ac:dyDescent="0.2">
      <c r="A32" s="5" t="str">
        <f>HYPERLINK("#'8.1.1.1-2 Transport fuel'!A1", "8.1.1.1-2 Transport fuel")</f>
        <v>8.1.1.1-2 Transport fuel</v>
      </c>
      <c r="D32" s="33"/>
      <c r="E32" s="33"/>
      <c r="F32" s="74"/>
      <c r="G32" s="13"/>
    </row>
    <row r="33" spans="1:6" ht="20.100000000000001" customHeight="1" x14ac:dyDescent="0.2">
      <c r="A33" s="5" t="str">
        <f>HYPERLINK("#'8.2.1.1-2 Stationary fuel'!A1", "8.2.1.1-2 Stationary fuel")</f>
        <v>8.2.1.1-2 Stationary fuel</v>
      </c>
    </row>
    <row r="34" spans="1:6" ht="20.100000000000001" customHeight="1" x14ac:dyDescent="0.2">
      <c r="A34" s="5" t="str">
        <f>HYPERLINK("#'10.1.1-2 Solid waste treatment'!A1", "10.1.1.1-2 Solid waste")</f>
        <v>10.1.1.1-2 Solid waste</v>
      </c>
    </row>
    <row r="35" spans="1:6" ht="20.100000000000001" customHeight="1" x14ac:dyDescent="0.2">
      <c r="A35" s="5" t="str">
        <f>HYPERLINK("#'14.1.1-2 Purchased electricity'!A1", "14.1.1-2 Purchased electricity")</f>
        <v>14.1.1-2 Purchased electricity</v>
      </c>
      <c r="D35" s="2" t="s">
        <v>967</v>
      </c>
    </row>
    <row r="36" spans="1:6" ht="20.100000000000001" customHeight="1" x14ac:dyDescent="0.2">
      <c r="A36" s="5" t="str">
        <f>HYPERLINK("#'15 Scope 3'!A1", "15 Scope 3")</f>
        <v>15 Scope 3</v>
      </c>
      <c r="D36" s="25"/>
    </row>
    <row r="37" spans="1:6" ht="20.100000000000001" customHeight="1" x14ac:dyDescent="0.2">
      <c r="A37" s="5" t="str">
        <f>HYPERLINK("#'Calcs - Manure sent off-site'!A1", "Calcs - Manure sent off-site")</f>
        <v>Calcs - Manure sent off-site</v>
      </c>
      <c r="D37" s="78" t="s">
        <v>968</v>
      </c>
      <c r="E37" s="78" t="s">
        <v>869</v>
      </c>
      <c r="F37" s="78" t="s">
        <v>585</v>
      </c>
    </row>
    <row r="38" spans="1:6" ht="20.100000000000001" customHeight="1" x14ac:dyDescent="0.2">
      <c r="A38" s="5" t="str">
        <f>HYPERLINK("#'5.1.1.1-2 Inorganic fert N2O'!A1", "5.1.1.1-2 Inorganic fert N2O")</f>
        <v>5.1.1.1-2 Inorganic fert N2O</v>
      </c>
      <c r="D38" s="33" t="s">
        <v>969</v>
      </c>
      <c r="E38" s="74">
        <v>1000</v>
      </c>
      <c r="F38" s="33" t="s">
        <v>749</v>
      </c>
    </row>
    <row r="39" spans="1:6" ht="20.100000000000001" customHeight="1" x14ac:dyDescent="0.2">
      <c r="A39" s="5" t="str">
        <f>HYPERLINK("#'5.1.1.3-4 Inorganic fert CO2'!A1", "5.1.1.3-4 Inorganic fert CO2")</f>
        <v>5.1.1.3-4 Inorganic fert CO2</v>
      </c>
      <c r="D39" s="33"/>
      <c r="E39" s="74"/>
      <c r="F39" s="33"/>
    </row>
    <row r="40" spans="1:6" ht="20.100000000000001" customHeight="1" x14ac:dyDescent="0.2">
      <c r="A40" s="5" t="str">
        <f>HYPERLINK("#'5.2.1.1-2 Organic Fert N2O'!A1", "5.2.1.1-2 Organic Fert N2O")</f>
        <v>5.2.1.1-2 Organic Fert N2O</v>
      </c>
      <c r="D40" s="33"/>
      <c r="E40" s="74"/>
      <c r="F40" s="33"/>
    </row>
    <row r="41" spans="1:6" ht="20.100000000000001" customHeight="1" x14ac:dyDescent="0.2">
      <c r="A41" s="5" t="str">
        <f>HYPERLINK("#'5.3.1.1-2 Lime CO2'!A1", "5.3.1.1-2 Lime CO2")</f>
        <v>5.3.1.1-2 Lime CO2</v>
      </c>
      <c r="D41" s="33"/>
      <c r="E41" s="74"/>
      <c r="F41" s="33"/>
    </row>
    <row r="42" spans="1:6" ht="20.100000000000001" customHeight="1" x14ac:dyDescent="0.2">
      <c r="A42" s="5" t="str">
        <f>HYPERLINK("#'5.4.1.1-4 Atmos deposition'!A1", "5.4.1.1-4 Atmos deposition")</f>
        <v>5.4.1.1-4 Atmos deposition</v>
      </c>
      <c r="D42" s="33"/>
      <c r="E42" s="74"/>
      <c r="F42" s="33"/>
    </row>
    <row r="43" spans="1:6" ht="20.100000000000001" customHeight="1" x14ac:dyDescent="0.2">
      <c r="A43" s="5" t="str">
        <f>HYPERLINK("#'5.5.1.1-2 Leaching and runoff'!A1", "5.5.1.1-2 Leaching and runoff")</f>
        <v>5.5.1.1-2 Leaching and runoff</v>
      </c>
      <c r="D43" s="33"/>
      <c r="E43" s="74"/>
      <c r="F43" s="33"/>
    </row>
    <row r="44" spans="1:6" ht="20.100000000000001" customHeight="1" x14ac:dyDescent="0.2">
      <c r="A44"/>
      <c r="C44" s="1"/>
      <c r="D44" s="33"/>
      <c r="E44" s="74"/>
      <c r="F44" s="33"/>
    </row>
    <row r="45" spans="1:6" ht="20.100000000000001" customHeight="1" x14ac:dyDescent="0.2">
      <c r="A45"/>
      <c r="C45" s="1"/>
      <c r="D45" s="33"/>
      <c r="E45" s="74"/>
      <c r="F45" s="33"/>
    </row>
    <row r="46" spans="1:6" ht="20.100000000000001" customHeight="1" x14ac:dyDescent="0.2">
      <c r="A46" s="80" t="s">
        <v>1</v>
      </c>
      <c r="C46" s="1"/>
      <c r="D46" s="33"/>
      <c r="E46" s="74"/>
      <c r="F46" s="33"/>
    </row>
    <row r="47" spans="1:6" ht="20.100000000000001" customHeight="1" x14ac:dyDescent="0.2">
      <c r="A47" s="5" t="str">
        <f>HYPERLINK("#'Constants - Feedlot'!A1", "Constants - Feedlot")</f>
        <v>Constants - Feedlot</v>
      </c>
      <c r="C47" s="1"/>
      <c r="D47" s="33"/>
      <c r="E47" s="74"/>
      <c r="F47" s="33"/>
    </row>
    <row r="48" spans="1:6" ht="20.100000000000001" customHeight="1" x14ac:dyDescent="0.2">
      <c r="A48" s="5" t="str">
        <f>HYPERLINK("#'Constants - Common livestock'!A1", "Constants - Common Livestock")</f>
        <v>Constants - Common Livestock</v>
      </c>
      <c r="C48" s="1"/>
    </row>
    <row r="49" spans="1:3" ht="20.100000000000001" customHeight="1" x14ac:dyDescent="0.2">
      <c r="A49" s="5" t="str">
        <f>HYPERLINK("#'Constants - Electricity'!A1", "Constants - Electricity")</f>
        <v>Constants - Electricity</v>
      </c>
      <c r="C49" s="1"/>
    </row>
    <row r="50" spans="1:3" ht="20.100000000000001" customHeight="1" x14ac:dyDescent="0.2">
      <c r="A50" s="5" t="str">
        <f>HYPERLINK("#'Constants - Fertiliser'!A1", "Constants - Fertiliser")</f>
        <v>Constants - Fertiliser</v>
      </c>
    </row>
    <row r="51" spans="1:3" ht="20.100000000000001" customHeight="1" x14ac:dyDescent="0.2">
      <c r="A51" s="5" t="str">
        <f>HYPERLINK("#'Constants - Fuel'!A1", "Constants - Fuel")</f>
        <v>Constants - Fuel</v>
      </c>
    </row>
    <row r="52" spans="1:3" ht="20.100000000000001" customHeight="1" x14ac:dyDescent="0.2">
      <c r="A52" s="5" t="str">
        <f>HYPERLINK("#'Constants - Scope 3'!A1", "Constants - Scope 3")</f>
        <v>Constants - Scope 3</v>
      </c>
    </row>
    <row r="53" spans="1:3" ht="20.100000000000001" customHeight="1" x14ac:dyDescent="0.2">
      <c r="A53" s="5" t="str">
        <f>HYPERLINK("#'Constants - Solid Waste'!A1", "Constants - Solid Waste")</f>
        <v>Constants - Solid Waste</v>
      </c>
    </row>
    <row r="54" spans="1:3" ht="20.100000000000001" customHeight="1" x14ac:dyDescent="0.2">
      <c r="A54" s="5" t="str">
        <f>HYPERLINK("#'Constants - Common'!A1", "Constants - Common")</f>
        <v>Constants - Common</v>
      </c>
    </row>
    <row r="55" spans="1:3" ht="20.100000000000001" customHeight="1" x14ac:dyDescent="0.2">
      <c r="A55" s="5" t="str">
        <f>HYPERLINK("#'Acknowledgements'!A1", "Acknowledgements")</f>
        <v>Acknowledgements</v>
      </c>
    </row>
    <row r="56" spans="1:3" ht="20.100000000000001" customHeight="1" x14ac:dyDescent="0.2">
      <c r="A56"/>
    </row>
    <row r="57" spans="1:3" ht="20.100000000000001" customHeight="1" x14ac:dyDescent="0.2">
      <c r="A57"/>
    </row>
    <row r="58" spans="1:3" ht="20.100000000000001" customHeight="1" x14ac:dyDescent="0.2">
      <c r="A58"/>
    </row>
    <row r="59" spans="1:3" ht="20.100000000000001" customHeight="1" x14ac:dyDescent="0.2">
      <c r="A59"/>
    </row>
    <row r="60" spans="1:3" ht="20.100000000000001" customHeight="1" x14ac:dyDescent="0.2">
      <c r="A60"/>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37"/>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4"/>
    </row>
    <row r="93" spans="1:10" ht="20.100000000000001" customHeight="1" x14ac:dyDescent="0.2">
      <c r="A93"/>
      <c r="J93" s="24"/>
    </row>
    <row r="94" spans="1:10" ht="20.100000000000001" customHeight="1" x14ac:dyDescent="0.2">
      <c r="A94"/>
      <c r="J94" s="24"/>
    </row>
    <row r="95" spans="1:10" ht="20.100000000000001" customHeight="1" x14ac:dyDescent="0.2">
      <c r="A95"/>
      <c r="J95" s="24"/>
    </row>
    <row r="96" spans="1:10" ht="20.100000000000001" customHeight="1" x14ac:dyDescent="0.2">
      <c r="A96"/>
      <c r="J96" s="24"/>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4"/>
      <c r="M113" s="24"/>
      <c r="N113" s="24"/>
      <c r="O113" s="24"/>
      <c r="P113" s="24"/>
    </row>
    <row r="114" spans="1:16" ht="20.100000000000001" customHeight="1" x14ac:dyDescent="0.2">
      <c r="A114"/>
      <c r="J114" s="1"/>
      <c r="L114" s="24"/>
      <c r="M114" s="24"/>
      <c r="N114" s="24"/>
      <c r="O114" s="24"/>
      <c r="P114" s="24"/>
    </row>
    <row r="115" spans="1:16" ht="20.100000000000001" customHeight="1" x14ac:dyDescent="0.2">
      <c r="A115"/>
      <c r="J115" s="1"/>
      <c r="L115" s="24"/>
      <c r="M115" s="24"/>
      <c r="N115" s="24"/>
      <c r="O115" s="24"/>
      <c r="P115" s="24"/>
    </row>
    <row r="116" spans="1:16" ht="20.100000000000001" customHeight="1" x14ac:dyDescent="0.2">
      <c r="A116"/>
      <c r="I116" s="24"/>
      <c r="J116" s="1"/>
      <c r="N116" s="24"/>
      <c r="O116" s="24"/>
      <c r="P116" s="24"/>
    </row>
    <row r="117" spans="1:16" ht="20.100000000000001" customHeight="1" x14ac:dyDescent="0.2">
      <c r="A117"/>
      <c r="I117" s="24"/>
      <c r="J117" s="1"/>
      <c r="N117" s="24"/>
      <c r="O117" s="24"/>
      <c r="P117" s="24"/>
    </row>
    <row r="118" spans="1:16" ht="20.100000000000001" customHeight="1" x14ac:dyDescent="0.2">
      <c r="A118"/>
      <c r="J118" s="24"/>
      <c r="N118" s="2"/>
      <c r="O118" s="2"/>
      <c r="P118" s="24"/>
    </row>
    <row r="119" spans="1:16" ht="20.100000000000001" customHeight="1" x14ac:dyDescent="0.2">
      <c r="A119"/>
      <c r="J119" s="24"/>
      <c r="P119" s="8"/>
    </row>
    <row r="120" spans="1:16" ht="20.100000000000001" customHeight="1" x14ac:dyDescent="0.2">
      <c r="A120"/>
      <c r="J120" s="24"/>
      <c r="P120" s="8"/>
    </row>
    <row r="121" spans="1:16" ht="20.100000000000001" customHeight="1" x14ac:dyDescent="0.2">
      <c r="A121"/>
      <c r="J121" s="2"/>
      <c r="P121" s="8"/>
    </row>
    <row r="122" spans="1:16" ht="20.100000000000001" customHeight="1" x14ac:dyDescent="0.2">
      <c r="A122"/>
      <c r="G122" s="24"/>
      <c r="H122" s="1"/>
      <c r="J122" s="1"/>
      <c r="P122" s="8"/>
    </row>
    <row r="123" spans="1:16" ht="20.100000000000001" customHeight="1" x14ac:dyDescent="0.2">
      <c r="A123"/>
      <c r="G123" s="24"/>
      <c r="H123" s="1"/>
      <c r="J123" s="1"/>
      <c r="P123" s="8"/>
    </row>
    <row r="124" spans="1:16" ht="20.100000000000001" customHeight="1" x14ac:dyDescent="0.2">
      <c r="A124"/>
      <c r="G124" s="24"/>
      <c r="H124" s="24"/>
      <c r="J124" s="1"/>
      <c r="N124" s="24"/>
      <c r="O124" s="24"/>
      <c r="P124" s="24"/>
    </row>
    <row r="125" spans="1:16" ht="20.100000000000001" customHeight="1" x14ac:dyDescent="0.2">
      <c r="A125"/>
      <c r="G125" s="24"/>
      <c r="H125" s="24"/>
      <c r="I125" s="24"/>
      <c r="J125" s="1"/>
      <c r="N125" s="24"/>
      <c r="O125" s="24"/>
      <c r="P125" s="24"/>
    </row>
    <row r="126" spans="1:16" ht="20.100000000000001" customHeight="1" x14ac:dyDescent="0.2">
      <c r="A126"/>
      <c r="G126" s="24"/>
      <c r="I126" s="24"/>
      <c r="J126" s="1"/>
    </row>
    <row r="127" spans="1:16" ht="20.100000000000001" customHeight="1" x14ac:dyDescent="0.2">
      <c r="A127"/>
      <c r="I127" s="24"/>
      <c r="J127" s="24"/>
    </row>
    <row r="128" spans="1:16" ht="20.100000000000001" customHeight="1" x14ac:dyDescent="0.2">
      <c r="A128"/>
      <c r="I128" s="24"/>
      <c r="J128" s="24"/>
    </row>
    <row r="129" spans="1:13" ht="20.100000000000001" customHeight="1" x14ac:dyDescent="0.2">
      <c r="A129"/>
      <c r="I129" s="24"/>
      <c r="L129" s="24"/>
      <c r="M129" s="24"/>
    </row>
    <row r="130" spans="1:13" ht="20.100000000000001" customHeight="1" x14ac:dyDescent="0.2">
      <c r="A130"/>
      <c r="I130" s="24"/>
      <c r="L130" s="24"/>
      <c r="M130" s="24"/>
    </row>
    <row r="131" spans="1:13" ht="20.100000000000001" customHeight="1" x14ac:dyDescent="0.2">
      <c r="A131"/>
      <c r="G131" s="1"/>
      <c r="I131" s="1"/>
      <c r="L131" s="2"/>
      <c r="M131" s="2"/>
    </row>
    <row r="132" spans="1:13" ht="20.100000000000001" customHeight="1" x14ac:dyDescent="0.2">
      <c r="A132"/>
      <c r="G132" s="24"/>
      <c r="I132" s="1"/>
    </row>
    <row r="133" spans="1:13" ht="20.100000000000001" customHeight="1" x14ac:dyDescent="0.2">
      <c r="A133"/>
      <c r="G133" s="24"/>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4"/>
    </row>
    <row r="137" spans="1:13" ht="20.100000000000001" customHeight="1" x14ac:dyDescent="0.2">
      <c r="A137"/>
      <c r="I137" s="24"/>
      <c r="L137" s="24"/>
      <c r="M137" s="24"/>
    </row>
    <row r="138" spans="1:13" ht="20.100000000000001" customHeight="1" x14ac:dyDescent="0.2">
      <c r="A138"/>
      <c r="L138" s="24"/>
      <c r="M138" s="24"/>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36"/>
    </row>
    <row r="166" spans="1:19" ht="20.100000000000001" customHeight="1" x14ac:dyDescent="0.2">
      <c r="A166"/>
      <c r="S166" s="236"/>
    </row>
    <row r="167" spans="1:19" ht="20.100000000000001" customHeight="1" x14ac:dyDescent="0.2">
      <c r="A167"/>
      <c r="S167" s="236"/>
    </row>
    <row r="168" spans="1:19" ht="20.100000000000001" customHeight="1" x14ac:dyDescent="0.2">
      <c r="A168"/>
      <c r="S168" s="236"/>
    </row>
    <row r="169" spans="1:19" ht="20.100000000000001" customHeight="1" x14ac:dyDescent="0.2">
      <c r="A169"/>
      <c r="S169" s="236"/>
    </row>
    <row r="170" spans="1:19" ht="20.100000000000001" customHeight="1" x14ac:dyDescent="0.2">
      <c r="A170"/>
      <c r="S170" s="236"/>
    </row>
    <row r="171" spans="1:19" ht="20.100000000000001" customHeight="1" x14ac:dyDescent="0.2">
      <c r="A171"/>
      <c r="S171" s="236"/>
    </row>
    <row r="172" spans="1:19" ht="20.100000000000001" customHeight="1" x14ac:dyDescent="0.2">
      <c r="A172"/>
      <c r="S172" s="236"/>
    </row>
    <row r="173" spans="1:19" ht="20.100000000000001" customHeight="1" x14ac:dyDescent="0.2">
      <c r="A173"/>
      <c r="S173" s="236"/>
    </row>
    <row r="174" spans="1:19" ht="20.100000000000001" customHeight="1" x14ac:dyDescent="0.2">
      <c r="A174"/>
      <c r="S174" s="236"/>
    </row>
    <row r="175" spans="1:19" ht="20.100000000000001" customHeight="1" x14ac:dyDescent="0.2">
      <c r="A175"/>
      <c r="S175" s="236"/>
    </row>
    <row r="176" spans="1:19" ht="20.100000000000001" customHeight="1" x14ac:dyDescent="0.2">
      <c r="A176"/>
      <c r="K176" s="24"/>
    </row>
    <row r="177" spans="1:19" ht="20.100000000000001" customHeight="1" x14ac:dyDescent="0.2">
      <c r="A177"/>
      <c r="K177" s="24"/>
    </row>
    <row r="178" spans="1:19" ht="20.100000000000001" customHeight="1" x14ac:dyDescent="0.2">
      <c r="A178"/>
    </row>
    <row r="179" spans="1:19" ht="20.100000000000001" customHeight="1" x14ac:dyDescent="0.2">
      <c r="A179"/>
    </row>
    <row r="180" spans="1:19" ht="20.100000000000001" customHeight="1" x14ac:dyDescent="0.2">
      <c r="A180"/>
      <c r="S180" s="236"/>
    </row>
    <row r="181" spans="1:19" ht="20.100000000000001" customHeight="1" x14ac:dyDescent="0.2">
      <c r="A181"/>
      <c r="S181" s="236"/>
    </row>
    <row r="182" spans="1:19" ht="20.100000000000001" customHeight="1" x14ac:dyDescent="0.2">
      <c r="A182"/>
      <c r="S182" s="236"/>
    </row>
    <row r="183" spans="1:19" ht="20.100000000000001" customHeight="1" x14ac:dyDescent="0.2">
      <c r="A183"/>
      <c r="S183" s="236"/>
    </row>
    <row r="184" spans="1:19" ht="20.100000000000001" customHeight="1" x14ac:dyDescent="0.2">
      <c r="A184"/>
      <c r="S184" s="236"/>
    </row>
    <row r="185" spans="1:19" ht="20.100000000000001" customHeight="1" x14ac:dyDescent="0.2">
      <c r="A185"/>
      <c r="S185" s="236"/>
    </row>
    <row r="186" spans="1:19" ht="20.100000000000001" customHeight="1" x14ac:dyDescent="0.2">
      <c r="A186"/>
      <c r="S186" s="236"/>
    </row>
    <row r="187" spans="1:19" ht="20.100000000000001" customHeight="1" x14ac:dyDescent="0.2">
      <c r="A187"/>
      <c r="S187" s="236"/>
    </row>
    <row r="188" spans="1:19" ht="20.100000000000001" customHeight="1" x14ac:dyDescent="0.2">
      <c r="A188"/>
      <c r="S188" s="236"/>
    </row>
    <row r="189" spans="1:19" ht="20.100000000000001" customHeight="1" x14ac:dyDescent="0.2">
      <c r="A189"/>
      <c r="S189" s="236"/>
    </row>
    <row r="190" spans="1:19" ht="20.100000000000001" customHeight="1" x14ac:dyDescent="0.2">
      <c r="A190"/>
      <c r="S190" s="236"/>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9947269F-41F2-4262-B6F8-CB161A115D66}">
      <formula1>INDIRECT("Table_Scope3_AquacultureFeedBait[Feed / Bait ingredient]")</formula1>
    </dataValidation>
    <dataValidation type="list" allowBlank="1" showInputMessage="1" showErrorMessage="1" sqref="G23:G32" xr:uid="{EA855243-3B25-4A4A-A00C-FBA8EB594940}">
      <formula1>"Hour, Hectare"</formula1>
    </dataValidation>
    <dataValidation type="list" allowBlank="1" showInputMessage="1" showErrorMessage="1" sqref="E8:E17" xr:uid="{F9EDAA0F-B944-4500-935C-8B13BA0495EA}">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C92F6-CF2D-49D0-B06B-0E410D6DE7CC}">
  <sheetPr>
    <tabColor theme="5" tint="-0.249977111117893"/>
  </sheetPr>
  <dimension ref="A1:R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 min="18" max="18" width="4.5703125" style="1" customWidth="1"/>
  </cols>
  <sheetData>
    <row r="1" spans="1:18" s="10" customFormat="1" ht="30" customHeight="1" x14ac:dyDescent="0.35">
      <c r="C1" s="10" t="s">
        <v>970</v>
      </c>
    </row>
    <row r="2" spans="1:18" s="3" customFormat="1" ht="20.100000000000001" customHeight="1" x14ac:dyDescent="0.2">
      <c r="A2"/>
    </row>
    <row r="3" spans="1:18" ht="20.100000000000001" customHeight="1" x14ac:dyDescent="0.2">
      <c r="A3" s="5" t="str">
        <f>HYPERLINK("#'Home'!A1", "Home")</f>
        <v>Home</v>
      </c>
      <c r="C3" s="28"/>
      <c r="D3" s="28"/>
      <c r="E3" s="28"/>
      <c r="F3" s="28"/>
      <c r="G3" s="28"/>
      <c r="H3" s="28"/>
      <c r="I3" s="28"/>
      <c r="J3" s="28"/>
      <c r="K3" s="28"/>
      <c r="L3" s="28"/>
      <c r="M3" s="28"/>
      <c r="N3" s="28"/>
      <c r="O3" s="28"/>
      <c r="P3" s="28"/>
      <c r="Q3" s="28"/>
      <c r="R3" s="28"/>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971</v>
      </c>
      <c r="E5" s="237"/>
      <c r="F5" s="237"/>
      <c r="G5" s="237"/>
      <c r="H5" s="237"/>
      <c r="I5" s="237"/>
      <c r="J5" s="237"/>
    </row>
    <row r="6" spans="1:18" ht="20.100000000000001" customHeight="1" x14ac:dyDescent="0.2">
      <c r="D6" s="240" t="s">
        <v>972</v>
      </c>
      <c r="E6" s="243"/>
      <c r="F6" s="244"/>
      <c r="G6" s="237"/>
      <c r="H6" s="237"/>
      <c r="I6" s="237"/>
      <c r="J6" s="237"/>
    </row>
    <row r="7" spans="1:18" ht="20.100000000000001" customHeight="1" x14ac:dyDescent="0.2">
      <c r="D7" s="1" t="str" cm="1">
        <f t="array" ref="D7:D9">Table_SourceData_Scope3_LickBlocks[Product]</f>
        <v>Lick block, dry season mix</v>
      </c>
      <c r="E7" s="74">
        <v>100</v>
      </c>
      <c r="F7" s="16" t="s">
        <v>749</v>
      </c>
      <c r="G7" s="237"/>
      <c r="H7" s="237"/>
      <c r="I7" s="237"/>
      <c r="J7" s="237"/>
    </row>
    <row r="8" spans="1:18" ht="20.100000000000001" customHeight="1" x14ac:dyDescent="0.2">
      <c r="A8" s="7" t="s">
        <v>0</v>
      </c>
      <c r="D8" s="1" t="str">
        <v>Lick block, mineral</v>
      </c>
      <c r="E8" s="74">
        <v>100</v>
      </c>
      <c r="F8" s="16" t="s">
        <v>749</v>
      </c>
      <c r="G8" s="237"/>
      <c r="H8" s="237"/>
      <c r="I8" s="237"/>
      <c r="J8" s="237"/>
    </row>
    <row r="9" spans="1:18" ht="20.100000000000001" customHeight="1" x14ac:dyDescent="0.2">
      <c r="A9" s="5" t="str">
        <f>HYPERLINK("#'Input - Enterprise'!A1", "Enterprise")</f>
        <v>Enterprise</v>
      </c>
      <c r="D9" s="1" t="str">
        <v>Lick block, weaner</v>
      </c>
      <c r="E9" s="74">
        <v>100</v>
      </c>
      <c r="F9" s="16" t="s">
        <v>749</v>
      </c>
      <c r="G9" s="237"/>
      <c r="H9" s="237"/>
      <c r="I9" s="237"/>
      <c r="J9" s="237"/>
    </row>
    <row r="10" spans="1:18" ht="20.100000000000001" customHeight="1" x14ac:dyDescent="0.2">
      <c r="A10" s="5" t="str">
        <f>HYPERLINK("#'Input - Site'!A1", "Site")</f>
        <v>Site</v>
      </c>
      <c r="G10" s="237"/>
      <c r="H10" s="237"/>
      <c r="I10" s="237"/>
      <c r="J10" s="237"/>
    </row>
    <row r="11" spans="1:18" ht="20.100000000000001" customHeight="1" x14ac:dyDescent="0.2">
      <c r="A11" s="5" t="str">
        <f>HYPERLINK("#'Input - Feedlot'!A1", "Feedlot")</f>
        <v>Feedlot</v>
      </c>
      <c r="D11" s="240" t="s">
        <v>973</v>
      </c>
      <c r="E11" s="24"/>
      <c r="F11" s="24"/>
      <c r="G11" s="237"/>
      <c r="H11" s="237"/>
      <c r="I11" s="237"/>
      <c r="J11" s="237"/>
    </row>
    <row r="12" spans="1:18" ht="20.100000000000001" customHeight="1" x14ac:dyDescent="0.2">
      <c r="A12" s="5" t="str">
        <f>HYPERLINK("#'Input - Livestock sales'!A1", "Livestock sales")</f>
        <v>Livestock sales</v>
      </c>
      <c r="D12" s="1" t="str" cm="1">
        <f t="array" ref="D12:D15">Table_SourceData_Scope3_MixedRations[Product]</f>
        <v>Feed for chickens</v>
      </c>
      <c r="E12" s="74">
        <v>100</v>
      </c>
      <c r="F12" s="16" t="s">
        <v>749</v>
      </c>
      <c r="G12" s="237"/>
      <c r="H12" s="237"/>
      <c r="I12" s="237"/>
      <c r="J12" s="237"/>
    </row>
    <row r="13" spans="1:18" ht="20.100000000000001" customHeight="1" x14ac:dyDescent="0.2">
      <c r="A13" s="5" t="str">
        <f>HYPERLINK("#'Input - Beef cattle purchases'!A1", "Beef cattle purchases")</f>
        <v>Beef cattle purchases</v>
      </c>
      <c r="D13" s="1" t="str">
        <v>Feed for dairy calves</v>
      </c>
      <c r="E13" s="74">
        <v>100</v>
      </c>
      <c r="F13" s="16" t="s">
        <v>749</v>
      </c>
      <c r="G13" s="237"/>
      <c r="H13" s="237"/>
      <c r="I13" s="237"/>
      <c r="J13" s="237"/>
    </row>
    <row r="14" spans="1:18" ht="20.100000000000001" customHeight="1" x14ac:dyDescent="0.2">
      <c r="A14" s="5" t="str">
        <f>HYPERLINK("#'Input - Fuel'!A1", "Fuel")</f>
        <v>Fuel</v>
      </c>
      <c r="D14" s="1" t="str">
        <v>Feed for dairy cows</v>
      </c>
      <c r="E14" s="74">
        <v>100</v>
      </c>
      <c r="F14" s="16" t="s">
        <v>749</v>
      </c>
      <c r="G14" s="237"/>
      <c r="H14" s="237"/>
      <c r="I14" s="237"/>
      <c r="J14" s="237"/>
    </row>
    <row r="15" spans="1:18" ht="20.100000000000001" customHeight="1" x14ac:dyDescent="0.2">
      <c r="A15" s="5" t="str">
        <f>HYPERLINK("#'Input - Electricity'!A1", "Electricity")</f>
        <v>Electricity</v>
      </c>
      <c r="D15" s="1" t="str">
        <v>Feed for pigs</v>
      </c>
      <c r="E15" s="74">
        <v>100</v>
      </c>
      <c r="F15" s="16" t="s">
        <v>749</v>
      </c>
      <c r="G15" s="237"/>
      <c r="H15" s="237"/>
      <c r="I15" s="237"/>
      <c r="J15" s="237"/>
    </row>
    <row r="16" spans="1:18" ht="20.100000000000001" customHeight="1" x14ac:dyDescent="0.2">
      <c r="A16" s="5" t="str">
        <f>HYPERLINK("#'Input - Common farm inputs'!A1", "Common farm inputs")</f>
        <v>Common farm inputs</v>
      </c>
      <c r="D16" s="24"/>
      <c r="E16" s="24"/>
      <c r="F16" s="24"/>
      <c r="G16" s="237"/>
      <c r="H16" s="237"/>
      <c r="I16" s="237"/>
      <c r="J16" s="237"/>
    </row>
    <row r="17" spans="1:17" ht="20.100000000000001" customHeight="1" x14ac:dyDescent="0.2">
      <c r="A17" s="101" t="str">
        <f>HYPERLINK("#'Input - Livestock farm Inputs'!A1", "Livestock farm Inputs")</f>
        <v>Livestock farm Inputs</v>
      </c>
      <c r="D17" s="240" t="s">
        <v>974</v>
      </c>
      <c r="E17" s="24"/>
      <c r="F17" s="24"/>
      <c r="G17" s="237"/>
      <c r="H17" s="237"/>
      <c r="I17" s="237"/>
      <c r="J17" s="237"/>
    </row>
    <row r="18" spans="1:17" ht="20.100000000000001" customHeight="1" x14ac:dyDescent="0.2">
      <c r="A18" s="5" t="str">
        <f>HYPERLINK("#'Input - Freight'!A1", "Freight")</f>
        <v>Freight</v>
      </c>
      <c r="D18" s="78" t="s">
        <v>975</v>
      </c>
      <c r="E18" s="78" t="s">
        <v>976</v>
      </c>
      <c r="F18" s="78" t="s">
        <v>711</v>
      </c>
      <c r="G18" s="78" t="s">
        <v>977</v>
      </c>
      <c r="H18" s="78" t="s">
        <v>689</v>
      </c>
      <c r="I18" s="78" t="s">
        <v>978</v>
      </c>
      <c r="J18" s="78" t="s">
        <v>979</v>
      </c>
      <c r="K18" s="78" t="s">
        <v>691</v>
      </c>
      <c r="L18" s="78" t="s">
        <v>980</v>
      </c>
      <c r="M18" s="78" t="s">
        <v>981</v>
      </c>
      <c r="N18" s="78" t="s">
        <v>693</v>
      </c>
      <c r="O18" s="78" t="s">
        <v>982</v>
      </c>
      <c r="P18" s="78" t="s">
        <v>983</v>
      </c>
      <c r="Q18" s="147" t="s">
        <v>695</v>
      </c>
    </row>
    <row r="19" spans="1:17" ht="20.100000000000001" customHeight="1" x14ac:dyDescent="0.2">
      <c r="A19" s="5" t="str">
        <f>HYPERLINK("#'Input - Solid waste'!A1", "Solid waste")</f>
        <v>Solid waste</v>
      </c>
      <c r="D19" s="33"/>
      <c r="E19" s="245">
        <v>1200</v>
      </c>
      <c r="F19" s="13" t="s">
        <v>984</v>
      </c>
      <c r="G19" s="13" t="s">
        <v>501</v>
      </c>
      <c r="H19" s="148">
        <v>0.35</v>
      </c>
      <c r="I19" s="13" t="s">
        <v>985</v>
      </c>
      <c r="J19" s="13" t="s">
        <v>501</v>
      </c>
      <c r="K19" s="148">
        <v>0.22</v>
      </c>
      <c r="L19" s="13" t="s">
        <v>986</v>
      </c>
      <c r="M19" s="13" t="s">
        <v>987</v>
      </c>
      <c r="N19" s="148">
        <v>0.12</v>
      </c>
      <c r="O19" s="13" t="s">
        <v>988</v>
      </c>
      <c r="P19" s="13" t="s">
        <v>499</v>
      </c>
      <c r="Q19" s="148">
        <v>0.05</v>
      </c>
    </row>
    <row r="20" spans="1:17" ht="20.100000000000001" customHeight="1" x14ac:dyDescent="0.2">
      <c r="A20" s="5" t="str">
        <f>HYPERLINK("#'Input - Manure sent off-site'!A1", "Manure sent off-site")</f>
        <v>Manure sent off-site</v>
      </c>
      <c r="D20" s="33"/>
      <c r="E20" s="245">
        <v>3456</v>
      </c>
      <c r="F20" s="13" t="s">
        <v>989</v>
      </c>
      <c r="G20" s="13" t="s">
        <v>987</v>
      </c>
      <c r="H20" s="148">
        <v>0.2</v>
      </c>
      <c r="I20" s="13" t="s">
        <v>989</v>
      </c>
      <c r="J20" s="13" t="s">
        <v>497</v>
      </c>
      <c r="K20" s="148">
        <v>0.2</v>
      </c>
      <c r="L20" s="13"/>
      <c r="M20" s="13"/>
      <c r="N20" s="148"/>
      <c r="O20" s="13"/>
      <c r="P20" s="13"/>
      <c r="Q20" s="148"/>
    </row>
    <row r="21" spans="1:17" ht="20.100000000000001" customHeight="1" x14ac:dyDescent="0.2">
      <c r="A21" s="5" t="str">
        <f>HYPERLINK("#'Input - Data quality'!A1", "Data quality")</f>
        <v>Data quality</v>
      </c>
      <c r="D21" s="33" t="s">
        <v>990</v>
      </c>
      <c r="E21" s="245">
        <v>300</v>
      </c>
      <c r="F21" s="13" t="s">
        <v>991</v>
      </c>
      <c r="G21" s="13" t="s">
        <v>501</v>
      </c>
      <c r="H21" s="148">
        <v>0.8</v>
      </c>
      <c r="I21" s="13" t="s">
        <v>992</v>
      </c>
      <c r="J21" s="13" t="s">
        <v>993</v>
      </c>
      <c r="K21" s="148">
        <v>0.2</v>
      </c>
      <c r="L21" s="13"/>
      <c r="M21" s="13"/>
      <c r="N21" s="148"/>
      <c r="O21" s="13"/>
      <c r="P21" s="13"/>
      <c r="Q21" s="148"/>
    </row>
    <row r="22" spans="1:17" ht="20.100000000000001" customHeight="1" x14ac:dyDescent="0.2">
      <c r="A22" s="5" t="str">
        <f>HYPERLINK("#'Input - Fert Prod System'!A1", "Fert Prod System")</f>
        <v>Fert Prod System</v>
      </c>
      <c r="D22" s="33"/>
      <c r="E22" s="245">
        <v>500</v>
      </c>
      <c r="F22" s="13" t="s">
        <v>994</v>
      </c>
      <c r="G22" s="13" t="s">
        <v>502</v>
      </c>
      <c r="H22" s="148">
        <v>1</v>
      </c>
      <c r="I22" s="13"/>
      <c r="J22" s="13"/>
      <c r="K22" s="148"/>
      <c r="L22" s="13"/>
      <c r="M22" s="13"/>
      <c r="N22" s="148"/>
      <c r="O22" s="13"/>
      <c r="P22" s="13"/>
      <c r="Q22" s="148"/>
    </row>
    <row r="23" spans="1:17" ht="20.100000000000001" customHeight="1" x14ac:dyDescent="0.2">
      <c r="A23" s="5" t="str">
        <f>HYPERLINK("#'Input - Fertiliser'!A1", "Fertiliser")</f>
        <v>Fertiliser</v>
      </c>
      <c r="D23" s="33"/>
      <c r="E23" s="245"/>
      <c r="F23" s="13"/>
      <c r="G23" s="13"/>
      <c r="H23" s="148"/>
      <c r="I23" s="13"/>
      <c r="J23" s="13"/>
      <c r="K23" s="148"/>
      <c r="L23" s="13"/>
      <c r="M23" s="13"/>
      <c r="N23" s="148"/>
      <c r="O23" s="13"/>
      <c r="P23" s="13"/>
      <c r="Q23" s="148"/>
    </row>
    <row r="24" spans="1:17" ht="20.100000000000001" customHeight="1" x14ac:dyDescent="0.2">
      <c r="D24" s="33"/>
      <c r="E24" s="245"/>
      <c r="F24" s="13"/>
      <c r="G24" s="13"/>
      <c r="H24" s="148"/>
      <c r="I24" s="13"/>
      <c r="J24" s="13"/>
      <c r="K24" s="148"/>
      <c r="L24" s="13"/>
      <c r="M24" s="13"/>
      <c r="N24" s="148"/>
      <c r="O24" s="13"/>
      <c r="P24" s="13"/>
      <c r="Q24" s="148"/>
    </row>
    <row r="25" spans="1:17" ht="20.100000000000001" customHeight="1" x14ac:dyDescent="0.2">
      <c r="D25" s="33"/>
      <c r="E25" s="245"/>
      <c r="F25" s="13"/>
      <c r="G25" s="13"/>
      <c r="H25" s="148"/>
      <c r="I25" s="13"/>
      <c r="J25" s="13"/>
      <c r="K25" s="148"/>
      <c r="L25" s="13"/>
      <c r="M25" s="13"/>
      <c r="N25" s="148"/>
      <c r="O25" s="13"/>
      <c r="P25" s="13"/>
      <c r="Q25" s="148"/>
    </row>
    <row r="26" spans="1:17" ht="20.100000000000001" customHeight="1" x14ac:dyDescent="0.2">
      <c r="A26" s="6" t="s">
        <v>2</v>
      </c>
      <c r="D26" s="33"/>
      <c r="E26" s="245"/>
      <c r="F26" s="13"/>
      <c r="G26" s="13"/>
      <c r="H26" s="148"/>
      <c r="I26" s="13"/>
      <c r="J26" s="13"/>
      <c r="K26" s="148"/>
      <c r="L26" s="13"/>
      <c r="M26" s="13"/>
      <c r="N26" s="148"/>
      <c r="O26" s="13"/>
      <c r="P26" s="13"/>
      <c r="Q26" s="148"/>
    </row>
    <row r="27" spans="1:17" ht="20.100000000000001" customHeight="1" x14ac:dyDescent="0.2">
      <c r="A27" s="5" t="str">
        <f>HYPERLINK("#'3.1.1.1-2 Enteric Methane'!A1", "3.1.1.1-2 Enteric Methane")</f>
        <v>3.1.1.1-2 Enteric Methane</v>
      </c>
      <c r="D27" s="33"/>
      <c r="E27" s="245"/>
      <c r="F27" s="13"/>
      <c r="G27" s="13"/>
      <c r="H27" s="148"/>
      <c r="I27" s="13"/>
      <c r="J27" s="13"/>
      <c r="K27" s="148"/>
      <c r="L27" s="13"/>
      <c r="M27" s="13"/>
      <c r="N27" s="148"/>
      <c r="O27" s="13"/>
      <c r="P27" s="13"/>
      <c r="Q27" s="148"/>
    </row>
    <row r="28" spans="1:17" ht="20.100000000000001" customHeight="1" x14ac:dyDescent="0.2">
      <c r="A28" s="5" t="str">
        <f>HYPERLINK("#'4.1.1.1-2 Methane'!A1", "4.1.1.1-2 Manure Methane")</f>
        <v>4.1.1.1-2 Manure Methane</v>
      </c>
      <c r="D28" s="33"/>
      <c r="E28" s="245"/>
      <c r="F28" s="13"/>
      <c r="G28" s="13"/>
      <c r="H28" s="148"/>
      <c r="I28" s="13"/>
      <c r="J28" s="13"/>
      <c r="K28" s="148"/>
      <c r="L28" s="13"/>
      <c r="M28" s="13"/>
      <c r="N28" s="148"/>
      <c r="O28" s="13"/>
      <c r="P28" s="13"/>
      <c r="Q28" s="148"/>
    </row>
    <row r="29" spans="1:17" ht="20.100000000000001" customHeight="1" x14ac:dyDescent="0.2">
      <c r="A29" s="5" t="str">
        <f>HYPERLINK("#'4.1.1.3-4 Direct N20'!A1", "4.1.1.3-4 Manure Direct N2O")</f>
        <v>4.1.1.3-4 Manure Direct N2O</v>
      </c>
    </row>
    <row r="30" spans="1:17" ht="20.100000000000001" customHeight="1" x14ac:dyDescent="0.2">
      <c r="A30" s="5" t="str">
        <f>HYPERLINK("#'4.1.1.5-6 Atmos Deposition'!A1", "4.1.1.5-6 Manure Atmos Dep")</f>
        <v>4.1.1.5-6 Manure Atmos Dep</v>
      </c>
    </row>
    <row r="31" spans="1:17" ht="20.100000000000001" customHeight="1" x14ac:dyDescent="0.2">
      <c r="A31" s="5" t="str">
        <f>HYPERLINK("#'4.1.1.9 Manure applied to soils'!A1", "4.1.1.9 Manure applied to soils")</f>
        <v>4.1.1.9 Manure applied to soils</v>
      </c>
      <c r="D31" s="240" t="s">
        <v>995</v>
      </c>
    </row>
    <row r="32" spans="1:17" ht="20.100000000000001" customHeight="1" x14ac:dyDescent="0.2">
      <c r="A32" s="5" t="str">
        <f>HYPERLINK("#'8.1.1.1-2 Transport fuel'!A1", "8.1.1.1-2 Transport fuel")</f>
        <v>8.1.1.1-2 Transport fuel</v>
      </c>
      <c r="D32" s="78" t="s">
        <v>948</v>
      </c>
      <c r="E32" s="78" t="s">
        <v>949</v>
      </c>
      <c r="F32" s="78" t="s">
        <v>996</v>
      </c>
    </row>
    <row r="33" spans="1:6" ht="20.100000000000001" customHeight="1" x14ac:dyDescent="0.2">
      <c r="A33" s="5" t="str">
        <f>HYPERLINK("#'8.2.1.1-2 Stationary fuel'!A1", "8.2.1.1-2 Stationary fuel")</f>
        <v>8.2.1.1-2 Stationary fuel</v>
      </c>
      <c r="D33" s="33" t="s">
        <v>997</v>
      </c>
      <c r="E33" s="196" t="s">
        <v>998</v>
      </c>
      <c r="F33" s="74">
        <v>100</v>
      </c>
    </row>
    <row r="34" spans="1:6" ht="20.100000000000001" customHeight="1" x14ac:dyDescent="0.2">
      <c r="A34" s="5" t="str">
        <f>HYPERLINK("#'10.1.1-2 Solid waste treatment'!A1", "10.1.1.1-2 Solid waste")</f>
        <v>10.1.1.1-2 Solid waste</v>
      </c>
      <c r="D34" s="33" t="s">
        <v>999</v>
      </c>
      <c r="E34" s="246" t="s">
        <v>1000</v>
      </c>
      <c r="F34" s="241">
        <v>100</v>
      </c>
    </row>
    <row r="35" spans="1:6" ht="20.100000000000001" customHeight="1" x14ac:dyDescent="0.2">
      <c r="A35" s="5" t="str">
        <f>HYPERLINK("#'14.1.1-2 Purchased electricity'!A1", "14.1.1-2 Purchased electricity")</f>
        <v>14.1.1-2 Purchased electricity</v>
      </c>
      <c r="D35" s="33" t="s">
        <v>1001</v>
      </c>
      <c r="E35" s="246" t="s">
        <v>1002</v>
      </c>
      <c r="F35" s="241">
        <v>100</v>
      </c>
    </row>
    <row r="36" spans="1:6" ht="20.100000000000001" customHeight="1" x14ac:dyDescent="0.2">
      <c r="A36" s="5" t="str">
        <f>HYPERLINK("#'15 Scope 3'!A1", "15 Scope 3")</f>
        <v>15 Scope 3</v>
      </c>
      <c r="D36" s="33" t="s">
        <v>1003</v>
      </c>
      <c r="E36" s="246" t="s">
        <v>1004</v>
      </c>
      <c r="F36" s="241">
        <v>100</v>
      </c>
    </row>
    <row r="37" spans="1:6" ht="20.100000000000001" customHeight="1" x14ac:dyDescent="0.2">
      <c r="A37" s="5" t="str">
        <f>HYPERLINK("#'Calcs - Manure sent off-site'!A1", "Calcs - Manure sent off-site")</f>
        <v>Calcs - Manure sent off-site</v>
      </c>
      <c r="D37" s="33" t="s">
        <v>997</v>
      </c>
      <c r="E37" s="246" t="s">
        <v>998</v>
      </c>
      <c r="F37" s="241">
        <v>100</v>
      </c>
    </row>
    <row r="38" spans="1:6" ht="20.100000000000001" customHeight="1" x14ac:dyDescent="0.2">
      <c r="A38" s="5" t="str">
        <f>HYPERLINK("#'5.1.1.1-2 Inorganic fert N2O'!A1", "5.1.1.1-2 Inorganic fert N2O")</f>
        <v>5.1.1.1-2 Inorganic fert N2O</v>
      </c>
      <c r="D38" s="33" t="s">
        <v>999</v>
      </c>
      <c r="E38" s="246" t="s">
        <v>1000</v>
      </c>
      <c r="F38" s="241">
        <v>100</v>
      </c>
    </row>
    <row r="39" spans="1:6" ht="20.100000000000001" customHeight="1" x14ac:dyDescent="0.2">
      <c r="A39" s="5" t="str">
        <f>HYPERLINK("#'5.1.1.3-4 Inorganic fert CO2'!A1", "5.1.1.3-4 Inorganic fert CO2")</f>
        <v>5.1.1.3-4 Inorganic fert CO2</v>
      </c>
      <c r="D39" s="33"/>
      <c r="E39" s="196"/>
      <c r="F39" s="74"/>
    </row>
    <row r="40" spans="1:6" ht="20.100000000000001" customHeight="1" x14ac:dyDescent="0.2">
      <c r="A40" s="5" t="str">
        <f>HYPERLINK("#'5.2.1.1-2 Organic Fert N2O'!A1", "5.2.1.1-2 Organic Fert N2O")</f>
        <v>5.2.1.1-2 Organic Fert N2O</v>
      </c>
      <c r="D40" s="33"/>
      <c r="E40" s="196"/>
      <c r="F40" s="74"/>
    </row>
    <row r="41" spans="1:6" ht="20.100000000000001" customHeight="1" x14ac:dyDescent="0.2">
      <c r="A41" s="5" t="str">
        <f>HYPERLINK("#'5.3.1.1-2 Lime CO2'!A1", "5.3.1.1-2 Lime CO2")</f>
        <v>5.3.1.1-2 Lime CO2</v>
      </c>
      <c r="D41" s="33"/>
      <c r="E41" s="196"/>
      <c r="F41" s="74"/>
    </row>
    <row r="42" spans="1:6" ht="20.100000000000001" customHeight="1" x14ac:dyDescent="0.2">
      <c r="A42" s="5" t="str">
        <f>HYPERLINK("#'5.4.1.1-4 Atmos deposition'!A1", "5.4.1.1-4 Atmos deposition")</f>
        <v>5.4.1.1-4 Atmos deposition</v>
      </c>
      <c r="D42" s="33"/>
      <c r="E42" s="196"/>
      <c r="F42" s="74"/>
    </row>
    <row r="43" spans="1:6" ht="20.100000000000001" customHeight="1" x14ac:dyDescent="0.2">
      <c r="A43" s="5" t="str">
        <f>HYPERLINK("#'5.5.1.1-2 Leaching and runoff'!A1", "5.5.1.1-2 Leaching and runoff")</f>
        <v>5.5.1.1-2 Leaching and runoff</v>
      </c>
    </row>
    <row r="46" spans="1:6" ht="20.100000000000001" customHeight="1" x14ac:dyDescent="0.2">
      <c r="A46" s="80" t="s">
        <v>1</v>
      </c>
      <c r="D46" s="2" t="s">
        <v>1005</v>
      </c>
      <c r="E46" s="237"/>
      <c r="F46" s="237"/>
    </row>
    <row r="47" spans="1:6" ht="20.100000000000001" customHeight="1" x14ac:dyDescent="0.2">
      <c r="A47" s="5" t="str">
        <f>HYPERLINK("#'Constants - Feedlot'!A1", "Constants - Feedlot")</f>
        <v>Constants - Feedlot</v>
      </c>
      <c r="D47" s="1" t="str">
        <f>'Constants - Scope 3'!E202</f>
        <v>Animal ear tags (large)</v>
      </c>
      <c r="E47" s="74">
        <v>100</v>
      </c>
      <c r="F47" s="16" t="s">
        <v>1006</v>
      </c>
    </row>
    <row r="48" spans="1:6" ht="20.100000000000001" customHeight="1" x14ac:dyDescent="0.2">
      <c r="A48" s="5" t="str">
        <f>HYPERLINK("#'Constants - Common livestock'!A1", "Constants - Common Livestock")</f>
        <v>Constants - Common Livestock</v>
      </c>
      <c r="D48" s="1" t="str">
        <f>'Constants - Scope 3'!E203</f>
        <v>Animal ear tags (small)</v>
      </c>
      <c r="E48" s="74">
        <v>200</v>
      </c>
      <c r="F48" s="16" t="s">
        <v>1006</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dataValidations count="3">
    <dataValidation type="list" allowBlank="1" showInputMessage="1" showErrorMessage="1" sqref="E33:E42" xr:uid="{F9FDD83D-2948-4479-82AE-D435A4D3F3F5}">
      <formula1>INDIRECT("Table_SourceData_Scope3_ChemicalsPharmacy[Product]")</formula1>
    </dataValidation>
    <dataValidation type="list" allowBlank="1" showInputMessage="1" showErrorMessage="1" sqref="M19:M28 P19:P28 J19:J28 G19:G28" xr:uid="{39678D1A-5B6C-44CE-94DD-D17CEEB51985}">
      <formula1>INDIRECT("Table_ProductRegions_" &amp; SUBSTITUTE(SUBSTITUTE(SUBSTITUTE(SUBSTITUTE(F19, " ", ""), ",", ""), "(", ""), ")", "") &amp; "[Region]")</formula1>
    </dataValidation>
    <dataValidation type="list" allowBlank="1" showInputMessage="1" showErrorMessage="1" sqref="F19:F28 I19:I28 L19:L28 O19:O28" xr:uid="{408CC141-7F56-4DF3-BAEA-BD33C602A870}">
      <formula1>INDIRECT(_xlfn.UNIQUE("Table_SourceData_Scope3_Feed[Product]"))</formula1>
    </dataValidation>
  </dataValidation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004B-1256-4A64-928E-DAB1CD62547B}">
  <sheetPr>
    <tabColor theme="5" tint="-0.249977111117893"/>
  </sheetPr>
  <dimension ref="A1:J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1007</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row>
    <row r="6" spans="1:10" ht="20.100000000000001" customHeight="1" x14ac:dyDescent="0.2">
      <c r="D6" s="2" t="s">
        <v>1008</v>
      </c>
    </row>
    <row r="8" spans="1:10" ht="20.100000000000001" customHeight="1" x14ac:dyDescent="0.2">
      <c r="A8" s="7" t="s">
        <v>0</v>
      </c>
      <c r="D8" s="19" t="s">
        <v>1009</v>
      </c>
      <c r="E8" s="19" t="s">
        <v>1010</v>
      </c>
      <c r="F8" s="19" t="s">
        <v>1011</v>
      </c>
      <c r="G8" s="19" t="s">
        <v>1012</v>
      </c>
      <c r="H8" s="19" t="s">
        <v>1013</v>
      </c>
    </row>
    <row r="9" spans="1:10" ht="20.100000000000001" customHeight="1" x14ac:dyDescent="0.2">
      <c r="A9" s="5" t="str">
        <f>HYPERLINK("#'Input - Enterprise'!A1", "Enterprise")</f>
        <v>Enterprise</v>
      </c>
      <c r="D9" s="33" t="s">
        <v>1014</v>
      </c>
      <c r="E9" s="13" t="s">
        <v>1015</v>
      </c>
      <c r="F9" s="19">
        <v>986</v>
      </c>
      <c r="G9" s="19">
        <v>10</v>
      </c>
      <c r="H9" s="19">
        <v>52</v>
      </c>
    </row>
    <row r="10" spans="1:10" ht="20.100000000000001" customHeight="1" x14ac:dyDescent="0.2">
      <c r="A10" s="5" t="str">
        <f>HYPERLINK("#'Input - Site'!A1", "Site")</f>
        <v>Site</v>
      </c>
      <c r="D10" s="33" t="s">
        <v>1016</v>
      </c>
      <c r="E10" s="13" t="s">
        <v>1017</v>
      </c>
      <c r="F10" s="19">
        <v>65</v>
      </c>
      <c r="G10" s="19">
        <v>10</v>
      </c>
      <c r="H10" s="19">
        <v>6</v>
      </c>
    </row>
    <row r="11" spans="1:10" ht="20.100000000000001" customHeight="1" x14ac:dyDescent="0.2">
      <c r="A11" s="5" t="str">
        <f>HYPERLINK("#'Input - Feedlot'!A1", "Feedlot")</f>
        <v>Feedlot</v>
      </c>
      <c r="D11" s="33"/>
      <c r="E11" s="13"/>
      <c r="F11" s="19"/>
      <c r="G11" s="19"/>
      <c r="H11" s="19"/>
    </row>
    <row r="12" spans="1:10" ht="20.100000000000001" customHeight="1" x14ac:dyDescent="0.2">
      <c r="A12" s="5" t="str">
        <f>HYPERLINK("#'Input - Livestock sales'!A1", "Livestock sales")</f>
        <v>Livestock sales</v>
      </c>
      <c r="D12" s="33"/>
      <c r="E12" s="13"/>
      <c r="F12" s="19"/>
      <c r="G12" s="19"/>
      <c r="H12" s="19"/>
    </row>
    <row r="13" spans="1:10" ht="20.100000000000001" customHeight="1" x14ac:dyDescent="0.2">
      <c r="A13" s="5" t="str">
        <f>HYPERLINK("#'Input - Beef cattle purchases'!A1", "Beef cattle purchases")</f>
        <v>Beef cattle purchases</v>
      </c>
      <c r="D13" s="33"/>
      <c r="E13" s="13"/>
      <c r="F13" s="19"/>
      <c r="G13" s="19"/>
      <c r="H13" s="19"/>
    </row>
    <row r="14" spans="1:10" ht="20.100000000000001" customHeight="1" x14ac:dyDescent="0.2">
      <c r="A14" s="5" t="str">
        <f>HYPERLINK("#'Input - Fuel'!A1", "Fuel")</f>
        <v>Fuel</v>
      </c>
      <c r="D14" s="33"/>
      <c r="E14" s="13"/>
      <c r="F14" s="19"/>
      <c r="G14" s="19"/>
      <c r="H14" s="19"/>
    </row>
    <row r="15" spans="1:10" ht="20.100000000000001" customHeight="1" x14ac:dyDescent="0.2">
      <c r="A15" s="5" t="str">
        <f>HYPERLINK("#'Input - Electricity'!A1", "Electricity")</f>
        <v>Electricity</v>
      </c>
      <c r="D15" s="33"/>
      <c r="E15" s="13"/>
      <c r="F15" s="19"/>
      <c r="G15" s="19"/>
      <c r="H15" s="19"/>
    </row>
    <row r="16" spans="1:10" ht="20.100000000000001" customHeight="1" x14ac:dyDescent="0.2">
      <c r="A16" s="5" t="str">
        <f>HYPERLINK("#'Input - Common farm inputs'!A1", "Common farm inputs")</f>
        <v>Common farm inputs</v>
      </c>
      <c r="D16" s="33"/>
      <c r="E16" s="13"/>
      <c r="F16" s="19"/>
      <c r="G16" s="19"/>
      <c r="H16" s="19"/>
    </row>
    <row r="17" spans="1:8" ht="20.100000000000001" customHeight="1" x14ac:dyDescent="0.2">
      <c r="A17" s="5" t="str">
        <f>HYPERLINK("#'Input - Livestock farm Inputs'!A1", "Livestock farm Inputs")</f>
        <v>Livestock farm Inputs</v>
      </c>
      <c r="D17" s="33"/>
      <c r="E17" s="13"/>
      <c r="F17" s="19"/>
      <c r="G17" s="19"/>
      <c r="H17" s="19"/>
    </row>
    <row r="18" spans="1:8" ht="20.100000000000001" customHeight="1" x14ac:dyDescent="0.2">
      <c r="A18" s="101" t="str">
        <f>HYPERLINK("#'Input - Freight'!A1", "Freight")</f>
        <v>Freight</v>
      </c>
      <c r="D18" s="33"/>
      <c r="E18" s="13"/>
      <c r="F18" s="19"/>
      <c r="G18" s="19"/>
      <c r="H18" s="19"/>
    </row>
    <row r="19" spans="1:8" ht="20.100000000000001" customHeight="1" x14ac:dyDescent="0.2">
      <c r="A19" s="5" t="str">
        <f>HYPERLINK("#'Input - Solid waste'!A1", "Solid waste")</f>
        <v>Solid waste</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row>
    <row r="22" spans="1:8" ht="20.100000000000001" customHeight="1" x14ac:dyDescent="0.2">
      <c r="A22" s="5" t="str">
        <f>HYPERLINK("#'Input - Fert Prod System'!A1", "Fert Prod System")</f>
        <v>Fert Prod System</v>
      </c>
      <c r="D22" s="2" t="s">
        <v>1018</v>
      </c>
    </row>
    <row r="23" spans="1:8" ht="20.100000000000001" customHeight="1" x14ac:dyDescent="0.2">
      <c r="A23" s="5" t="str">
        <f>HYPERLINK("#'Input - Fertiliser'!A1", "Fertiliser")</f>
        <v>Fertiliser</v>
      </c>
    </row>
    <row r="24" spans="1:8" ht="20.100000000000001" customHeight="1" x14ac:dyDescent="0.2">
      <c r="D24" s="19" t="s">
        <v>1009</v>
      </c>
      <c r="E24" s="19" t="s">
        <v>1010</v>
      </c>
      <c r="F24" s="19" t="s">
        <v>1011</v>
      </c>
      <c r="G24" s="19" t="s">
        <v>1012</v>
      </c>
      <c r="H24" s="19" t="s">
        <v>1013</v>
      </c>
    </row>
    <row r="25" spans="1:8" ht="20.100000000000001" customHeight="1" x14ac:dyDescent="0.2">
      <c r="D25" s="33" t="s">
        <v>1019</v>
      </c>
      <c r="E25" s="13" t="s">
        <v>1015</v>
      </c>
      <c r="F25" s="19">
        <v>65</v>
      </c>
      <c r="G25" s="19">
        <v>20</v>
      </c>
      <c r="H25" s="19">
        <v>52</v>
      </c>
    </row>
    <row r="26" spans="1:8" ht="20.100000000000001" customHeight="1" x14ac:dyDescent="0.2">
      <c r="A26" s="6" t="s">
        <v>2</v>
      </c>
      <c r="D26" s="33"/>
      <c r="E26" s="13"/>
      <c r="F26" s="19"/>
      <c r="G26" s="19"/>
      <c r="H26" s="19"/>
    </row>
    <row r="27" spans="1:8" ht="20.100000000000001" customHeight="1" x14ac:dyDescent="0.2">
      <c r="A27" s="5" t="str">
        <f>HYPERLINK("#'3.1.1.1-2 Enteric Methane'!A1", "3.1.1.1-2 Enteric Methane")</f>
        <v>3.1.1.1-2 Enteric Methane</v>
      </c>
      <c r="D27" s="33"/>
      <c r="E27" s="13"/>
      <c r="F27" s="19"/>
      <c r="G27" s="19"/>
      <c r="H27" s="19"/>
    </row>
    <row r="28" spans="1:8" ht="20.100000000000001" customHeight="1" x14ac:dyDescent="0.2">
      <c r="A28" s="5" t="str">
        <f>HYPERLINK("#'4.1.1.1-2 Methane'!A1", "4.1.1.1-2 Manure Methane")</f>
        <v>4.1.1.1-2 Manure Methane</v>
      </c>
      <c r="D28" s="33"/>
      <c r="E28" s="13"/>
      <c r="F28" s="19"/>
      <c r="G28" s="19"/>
      <c r="H28" s="19"/>
    </row>
    <row r="29" spans="1:8" ht="20.100000000000001" customHeight="1" x14ac:dyDescent="0.2">
      <c r="A29" s="5" t="str">
        <f>HYPERLINK("#'4.1.1.3-4 Direct N20'!A1", "4.1.1.3-4 Manure Direct N2O")</f>
        <v>4.1.1.3-4 Manure Direct N2O</v>
      </c>
      <c r="D29" s="33"/>
      <c r="E29" s="13"/>
      <c r="F29" s="19"/>
      <c r="G29" s="19"/>
      <c r="H29" s="19"/>
    </row>
    <row r="30" spans="1:8" ht="20.100000000000001" customHeight="1" x14ac:dyDescent="0.2">
      <c r="A30" s="5" t="str">
        <f>HYPERLINK("#'4.1.1.5-6 Atmos Deposition'!A1", "4.1.1.5-6 Manure Atmos Dep")</f>
        <v>4.1.1.5-6 Manure Atmos Dep</v>
      </c>
      <c r="D30" s="33"/>
      <c r="E30" s="13"/>
      <c r="F30" s="19"/>
      <c r="G30" s="19"/>
      <c r="H30" s="19"/>
    </row>
    <row r="31" spans="1:8" ht="20.100000000000001" customHeight="1" x14ac:dyDescent="0.2">
      <c r="A31" s="5" t="str">
        <f>HYPERLINK("#'4.1.1.9 Manure applied to soils'!A1", "4.1.1.9 Manure applied to soils")</f>
        <v>4.1.1.9 Manure applied to soils</v>
      </c>
      <c r="D31" s="33"/>
      <c r="E31" s="13"/>
      <c r="F31" s="19"/>
      <c r="G31" s="19"/>
      <c r="H31" s="19"/>
    </row>
    <row r="32" spans="1:8" ht="20.100000000000001" customHeight="1" x14ac:dyDescent="0.2">
      <c r="A32" s="5" t="str">
        <f>HYPERLINK("#'8.1.1.1-2 Transport fuel'!A1", "8.1.1.1-2 Transport fuel")</f>
        <v>8.1.1.1-2 Transport fuel</v>
      </c>
      <c r="D32" s="33"/>
      <c r="E32" s="13"/>
      <c r="F32" s="19"/>
      <c r="G32" s="19"/>
      <c r="H32" s="19"/>
    </row>
    <row r="33" spans="1:8" ht="20.100000000000001" customHeight="1" x14ac:dyDescent="0.2">
      <c r="A33" s="5" t="str">
        <f>HYPERLINK("#'8.2.1.1-2 Stationary fuel'!A1", "8.2.1.1-2 Stationary fuel")</f>
        <v>8.2.1.1-2 Stationary fuel</v>
      </c>
      <c r="D33" s="33"/>
      <c r="E33" s="13"/>
      <c r="F33" s="19"/>
      <c r="G33" s="19"/>
      <c r="H33" s="19"/>
    </row>
    <row r="34" spans="1:8" ht="20.100000000000001" customHeight="1" x14ac:dyDescent="0.2">
      <c r="A34" s="5" t="str">
        <f>HYPERLINK("#'10.1.1-2 Solid waste treatment'!A1", "10.1.1.1-2 Solid waste")</f>
        <v>10.1.1.1-2 Solid waste</v>
      </c>
      <c r="D34" s="33"/>
      <c r="E34" s="13"/>
      <c r="F34" s="19"/>
      <c r="G34" s="19"/>
      <c r="H34" s="19"/>
    </row>
    <row r="35" spans="1:8" ht="20.100000000000001" customHeight="1" x14ac:dyDescent="0.2">
      <c r="A35" s="5" t="str">
        <f>HYPERLINK("#'14.1.1-2 Purchased electricity'!A1", "14.1.1-2 Purchased electricity")</f>
        <v>14.1.1-2 Purchased electricity</v>
      </c>
    </row>
    <row r="36" spans="1:8" ht="20.100000000000001" customHeight="1" x14ac:dyDescent="0.2">
      <c r="A36" s="5" t="str">
        <f>HYPERLINK("#'15 Scope 3'!A1", "15 Scope 3")</f>
        <v>15 Scope 3</v>
      </c>
    </row>
    <row r="37" spans="1:8" ht="20.100000000000001" customHeight="1" x14ac:dyDescent="0.2">
      <c r="A37" s="5" t="str">
        <f>HYPERLINK("#'Calcs - Manure sent off-site'!A1", "Calcs - Manure sent off-site")</f>
        <v>Calcs - Manure sent off-site</v>
      </c>
    </row>
    <row r="38" spans="1:8" ht="20.100000000000001" customHeight="1" x14ac:dyDescent="0.2">
      <c r="A38" s="5" t="str">
        <f>HYPERLINK("#'5.1.1.1-2 Inorganic fert N2O'!A1", "5.1.1.1-2 Inorganic fert N2O")</f>
        <v>5.1.1.1-2 Inorganic fert N2O</v>
      </c>
    </row>
    <row r="39" spans="1:8" ht="20.100000000000001" customHeight="1" x14ac:dyDescent="0.2">
      <c r="A39" s="5" t="str">
        <f>HYPERLINK("#'5.1.1.3-4 Inorganic fert CO2'!A1", "5.1.1.3-4 Inorganic fert CO2")</f>
        <v>5.1.1.3-4 Inorganic fert CO2</v>
      </c>
    </row>
    <row r="40" spans="1:8" ht="20.100000000000001" customHeight="1" x14ac:dyDescent="0.2">
      <c r="A40" s="5" t="str">
        <f>HYPERLINK("#'5.2.1.1-2 Organic Fert N2O'!A1", "5.2.1.1-2 Organic Fert N2O")</f>
        <v>5.2.1.1-2 Organic Fert N2O</v>
      </c>
    </row>
    <row r="41" spans="1:8" ht="20.100000000000001" customHeight="1" x14ac:dyDescent="0.2">
      <c r="A41" s="5" t="str">
        <f>HYPERLINK("#'5.3.1.1-2 Lime CO2'!A1", "5.3.1.1-2 Lime CO2")</f>
        <v>5.3.1.1-2 Lime CO2</v>
      </c>
    </row>
    <row r="42" spans="1:8" ht="20.100000000000001" customHeight="1" x14ac:dyDescent="0.2">
      <c r="A42" s="5" t="str">
        <f>HYPERLINK("#'5.4.1.1-4 Atmos deposition'!A1", "5.4.1.1-4 Atmos deposition")</f>
        <v>5.4.1.1-4 Atmos deposition</v>
      </c>
    </row>
    <row r="43" spans="1:8" ht="20.100000000000001" customHeight="1" x14ac:dyDescent="0.2">
      <c r="A43" s="5" t="str">
        <f>HYPERLINK("#'5.5.1.1-2 Leaching and runoff'!A1", "5.5.1.1-2 Leaching and runoff")</f>
        <v>5.5.1.1-2 Leaching and runoff</v>
      </c>
    </row>
    <row r="46" spans="1:8" ht="20.100000000000001" customHeight="1" x14ac:dyDescent="0.2">
      <c r="A46" s="80" t="s">
        <v>1</v>
      </c>
    </row>
    <row r="47" spans="1:8" ht="20.100000000000001" customHeight="1" x14ac:dyDescent="0.2">
      <c r="A47" s="5" t="str">
        <f>HYPERLINK("#'Constants - Feedlot'!A1", "Constants - Feedlot")</f>
        <v>Constants - Feedlot</v>
      </c>
    </row>
    <row r="48" spans="1:8"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dataValidations count="1">
    <dataValidation type="list" allowBlank="1" showInputMessage="1" showErrorMessage="1" sqref="E9:E18 E25:E34" xr:uid="{97EF1877-6DF7-4FD0-B072-793440DC167A}">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A5D61-960E-482E-8F77-6C29179E307F}">
  <sheetPr>
    <tabColor theme="5" tint="-0.249977111117893"/>
  </sheetPr>
  <dimension ref="A1:L38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864</v>
      </c>
    </row>
    <row r="2" spans="1:10" s="3" customFormat="1" ht="20.100000000000001" customHeight="1" x14ac:dyDescent="0.2">
      <c r="A2"/>
    </row>
    <row r="3" spans="1:10" ht="20.100000000000001" customHeight="1" x14ac:dyDescent="0.2">
      <c r="A3" s="5" t="str">
        <f>HYPERLINK("#'Home'!A1", "Home")</f>
        <v>Home</v>
      </c>
      <c r="C3" s="28"/>
      <c r="D3" s="28"/>
      <c r="E3" s="28"/>
      <c r="F3" s="28"/>
      <c r="G3" s="28"/>
      <c r="H3" s="28"/>
      <c r="I3" s="28"/>
      <c r="J3" s="28"/>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865</v>
      </c>
    </row>
    <row r="7" spans="1:10" ht="20.100000000000001" customHeight="1" x14ac:dyDescent="0.2">
      <c r="D7" s="35" t="s">
        <v>546</v>
      </c>
      <c r="E7" s="38"/>
    </row>
    <row r="8" spans="1:10" ht="20.100000000000001" customHeight="1" x14ac:dyDescent="0.2">
      <c r="A8" s="7" t="s">
        <v>0</v>
      </c>
    </row>
    <row r="9" spans="1:10" ht="20.100000000000001" customHeight="1" x14ac:dyDescent="0.2">
      <c r="A9" s="5" t="str">
        <f>HYPERLINK("#'Input - Enterprise'!A1", "Enterprise")</f>
        <v>Enterprise</v>
      </c>
      <c r="D9" s="78" t="s">
        <v>156</v>
      </c>
      <c r="E9" s="78" t="s">
        <v>866</v>
      </c>
      <c r="F9" s="78" t="s">
        <v>867</v>
      </c>
      <c r="G9" s="78" t="s">
        <v>868</v>
      </c>
      <c r="H9" s="78" t="s">
        <v>869</v>
      </c>
      <c r="I9" s="78" t="s">
        <v>870</v>
      </c>
    </row>
    <row r="10" spans="1:10" ht="20.100000000000001" customHeight="1" x14ac:dyDescent="0.2">
      <c r="A10" s="5" t="str">
        <f>HYPERLINK("#'Input - Site'!A1", "Site")</f>
        <v>Site</v>
      </c>
      <c r="D10" s="33" t="s">
        <v>871</v>
      </c>
      <c r="E10" s="13" t="s">
        <v>872</v>
      </c>
      <c r="F10" s="13" t="s">
        <v>873</v>
      </c>
      <c r="G10" s="13" t="s">
        <v>874</v>
      </c>
      <c r="H10" s="74">
        <v>50</v>
      </c>
      <c r="I10" s="13" t="s">
        <v>19</v>
      </c>
    </row>
    <row r="11" spans="1:10" ht="20.100000000000001" customHeight="1" x14ac:dyDescent="0.2">
      <c r="A11" s="5" t="str">
        <f>HYPERLINK("#'Input - Feedlot'!A1", "Feedlot")</f>
        <v>Feedlot</v>
      </c>
      <c r="D11" s="33" t="s">
        <v>875</v>
      </c>
      <c r="E11" s="13" t="s">
        <v>872</v>
      </c>
      <c r="F11" s="13" t="s">
        <v>873</v>
      </c>
      <c r="G11" s="13" t="s">
        <v>876</v>
      </c>
      <c r="H11" s="74">
        <v>50</v>
      </c>
      <c r="I11" s="13" t="s">
        <v>877</v>
      </c>
    </row>
    <row r="12" spans="1:10" ht="20.100000000000001" customHeight="1" x14ac:dyDescent="0.2">
      <c r="A12" s="5" t="str">
        <f>HYPERLINK("#'Input - Livestock sales'!A1", "Livestock sales")</f>
        <v>Livestock sales</v>
      </c>
      <c r="D12" s="33" t="s">
        <v>878</v>
      </c>
      <c r="E12" s="13" t="s">
        <v>872</v>
      </c>
      <c r="F12" s="13" t="s">
        <v>879</v>
      </c>
      <c r="G12" s="13" t="s">
        <v>874</v>
      </c>
      <c r="H12" s="74">
        <v>50</v>
      </c>
      <c r="I12" s="13" t="s">
        <v>19</v>
      </c>
    </row>
    <row r="13" spans="1:10" ht="20.100000000000001" customHeight="1" x14ac:dyDescent="0.2">
      <c r="A13" s="5" t="str">
        <f>HYPERLINK("#'Input - Beef cattle purchases'!A1", "Beef cattle purchases")</f>
        <v>Beef cattle purchases</v>
      </c>
      <c r="D13" s="33" t="s">
        <v>880</v>
      </c>
      <c r="E13" s="13" t="s">
        <v>872</v>
      </c>
      <c r="F13" s="13" t="s">
        <v>879</v>
      </c>
      <c r="G13" s="13" t="s">
        <v>876</v>
      </c>
      <c r="H13" s="74">
        <v>50</v>
      </c>
      <c r="I13" s="13" t="s">
        <v>877</v>
      </c>
    </row>
    <row r="14" spans="1:10" ht="20.100000000000001" customHeight="1" x14ac:dyDescent="0.2">
      <c r="A14" s="5" t="str">
        <f>HYPERLINK("#'Input - Fuel'!A1", "Fuel")</f>
        <v>Fuel</v>
      </c>
      <c r="D14" s="33" t="s">
        <v>881</v>
      </c>
      <c r="E14" s="13" t="s">
        <v>882</v>
      </c>
      <c r="F14" s="13" t="s">
        <v>879</v>
      </c>
      <c r="G14" s="13" t="s">
        <v>874</v>
      </c>
      <c r="H14" s="74">
        <v>50</v>
      </c>
      <c r="I14" s="13" t="s">
        <v>19</v>
      </c>
    </row>
    <row r="15" spans="1:10" ht="20.100000000000001" customHeight="1" x14ac:dyDescent="0.2">
      <c r="A15" s="5" t="str">
        <f>HYPERLINK("#'Input - Electricity'!A1", "Electricity")</f>
        <v>Electricity</v>
      </c>
      <c r="D15" s="33" t="s">
        <v>883</v>
      </c>
      <c r="E15" s="13" t="s">
        <v>882</v>
      </c>
      <c r="F15" s="13" t="s">
        <v>879</v>
      </c>
      <c r="G15" s="13" t="s">
        <v>874</v>
      </c>
      <c r="H15" s="74">
        <v>50</v>
      </c>
      <c r="I15" s="13" t="s">
        <v>877</v>
      </c>
    </row>
    <row r="16" spans="1:10" ht="20.100000000000001" customHeight="1" x14ac:dyDescent="0.2">
      <c r="A16" s="5" t="str">
        <f>HYPERLINK("#'Input - Common farm inputs'!A1", "Common farm inputs")</f>
        <v>Common farm inputs</v>
      </c>
      <c r="D16" s="33" t="s">
        <v>884</v>
      </c>
      <c r="E16" s="13" t="s">
        <v>882</v>
      </c>
      <c r="F16" s="13" t="s">
        <v>879</v>
      </c>
      <c r="G16" s="13" t="s">
        <v>876</v>
      </c>
      <c r="H16" s="74">
        <v>50</v>
      </c>
      <c r="I16" s="13" t="s">
        <v>19</v>
      </c>
    </row>
    <row r="17" spans="1:11" ht="20.100000000000001" customHeight="1" x14ac:dyDescent="0.2">
      <c r="A17" s="5" t="str">
        <f>HYPERLINK("#'Input - Livestock farm Inputs'!A1", "Livestock farm Inputs")</f>
        <v>Livestock farm Inputs</v>
      </c>
      <c r="D17" s="33" t="s">
        <v>885</v>
      </c>
      <c r="E17" s="13" t="s">
        <v>882</v>
      </c>
      <c r="F17" s="13" t="s">
        <v>879</v>
      </c>
      <c r="G17" s="13" t="s">
        <v>876</v>
      </c>
      <c r="H17" s="74">
        <v>50</v>
      </c>
      <c r="I17" s="13" t="s">
        <v>877</v>
      </c>
    </row>
    <row r="18" spans="1:11" ht="20.100000000000001" customHeight="1" x14ac:dyDescent="0.2">
      <c r="A18" s="5" t="str">
        <f>HYPERLINK("#'Input - Freight'!A1", "Freight")</f>
        <v>Freight</v>
      </c>
      <c r="D18" s="33" t="s">
        <v>886</v>
      </c>
      <c r="E18" s="13" t="s">
        <v>882</v>
      </c>
      <c r="F18" s="13" t="s">
        <v>873</v>
      </c>
      <c r="G18" s="13" t="s">
        <v>874</v>
      </c>
      <c r="H18" s="74">
        <v>50</v>
      </c>
      <c r="I18" s="13" t="s">
        <v>19</v>
      </c>
    </row>
    <row r="19" spans="1:11" ht="20.100000000000001" customHeight="1" x14ac:dyDescent="0.2">
      <c r="A19" s="101" t="str">
        <f>HYPERLINK("#'Input - Solid waste'!A1", "Solid waste")</f>
        <v>Solid waste</v>
      </c>
      <c r="D19" s="33" t="s">
        <v>887</v>
      </c>
      <c r="E19" s="13" t="s">
        <v>882</v>
      </c>
      <c r="F19" s="13" t="s">
        <v>873</v>
      </c>
      <c r="G19" s="13" t="s">
        <v>874</v>
      </c>
      <c r="H19" s="74">
        <v>50</v>
      </c>
      <c r="I19" s="13" t="s">
        <v>877</v>
      </c>
    </row>
    <row r="20" spans="1:11" ht="20.100000000000001" customHeight="1" x14ac:dyDescent="0.2">
      <c r="A20" s="5" t="str">
        <f>HYPERLINK("#'Input - Manure sent off-site'!A1", "Manure sent off-site")</f>
        <v>Manure sent off-site</v>
      </c>
      <c r="D20" s="33" t="s">
        <v>888</v>
      </c>
      <c r="E20" s="13" t="s">
        <v>882</v>
      </c>
      <c r="F20" s="13" t="s">
        <v>873</v>
      </c>
      <c r="G20" s="13" t="s">
        <v>876</v>
      </c>
      <c r="H20" s="74">
        <v>50</v>
      </c>
      <c r="I20" s="13" t="s">
        <v>19</v>
      </c>
    </row>
    <row r="21" spans="1:11" ht="20.100000000000001" customHeight="1" x14ac:dyDescent="0.2">
      <c r="A21" s="5" t="str">
        <f>HYPERLINK("#'Input - Data quality'!A1", "Data quality")</f>
        <v>Data quality</v>
      </c>
      <c r="D21" s="33" t="s">
        <v>889</v>
      </c>
      <c r="E21" s="13" t="s">
        <v>882</v>
      </c>
      <c r="F21" s="13" t="s">
        <v>873</v>
      </c>
      <c r="G21" s="13" t="s">
        <v>876</v>
      </c>
      <c r="H21" s="74">
        <v>50</v>
      </c>
      <c r="I21" s="13" t="s">
        <v>877</v>
      </c>
    </row>
    <row r="22" spans="1:11" ht="20.100000000000001" customHeight="1" x14ac:dyDescent="0.2">
      <c r="A22" s="5" t="str">
        <f>HYPERLINK("#'Input - Fert Prod System'!A1", "Fert Prod System")</f>
        <v>Fert Prod System</v>
      </c>
      <c r="D22" s="33" t="s">
        <v>890</v>
      </c>
      <c r="E22" s="13" t="s">
        <v>882</v>
      </c>
      <c r="F22" s="13" t="s">
        <v>891</v>
      </c>
      <c r="G22" s="13" t="s">
        <v>874</v>
      </c>
      <c r="H22" s="74">
        <v>50</v>
      </c>
      <c r="I22" s="13" t="s">
        <v>19</v>
      </c>
    </row>
    <row r="23" spans="1:11" ht="20.100000000000001" customHeight="1" x14ac:dyDescent="0.2">
      <c r="A23" s="5" t="str">
        <f>HYPERLINK("#'Input - Fertiliser'!A1", "Fertiliser")</f>
        <v>Fertiliser</v>
      </c>
      <c r="D23" s="33" t="s">
        <v>892</v>
      </c>
      <c r="E23" s="13" t="s">
        <v>882</v>
      </c>
      <c r="F23" s="13" t="s">
        <v>891</v>
      </c>
      <c r="G23" s="13" t="s">
        <v>874</v>
      </c>
      <c r="H23" s="74">
        <v>50</v>
      </c>
      <c r="I23" s="13" t="s">
        <v>877</v>
      </c>
    </row>
    <row r="24" spans="1:11" ht="20.100000000000001" customHeight="1" x14ac:dyDescent="0.2">
      <c r="D24" s="33" t="s">
        <v>893</v>
      </c>
      <c r="E24" s="13" t="s">
        <v>882</v>
      </c>
      <c r="F24" s="13" t="s">
        <v>891</v>
      </c>
      <c r="G24" s="13" t="s">
        <v>876</v>
      </c>
      <c r="H24" s="74">
        <v>50</v>
      </c>
      <c r="I24" s="13" t="s">
        <v>19</v>
      </c>
    </row>
    <row r="25" spans="1:11" ht="20.100000000000001" customHeight="1" x14ac:dyDescent="0.2">
      <c r="D25" s="33" t="s">
        <v>894</v>
      </c>
      <c r="E25" s="13" t="s">
        <v>882</v>
      </c>
      <c r="F25" s="13" t="s">
        <v>891</v>
      </c>
      <c r="G25" s="13" t="s">
        <v>876</v>
      </c>
      <c r="H25" s="74">
        <v>50</v>
      </c>
      <c r="I25" s="13" t="s">
        <v>877</v>
      </c>
    </row>
    <row r="26" spans="1:11" ht="20.100000000000001" customHeight="1" x14ac:dyDescent="0.2">
      <c r="A26" s="6" t="s">
        <v>2</v>
      </c>
      <c r="D26" s="33" t="s">
        <v>895</v>
      </c>
      <c r="E26" s="13" t="s">
        <v>896</v>
      </c>
      <c r="F26" s="13" t="s">
        <v>873</v>
      </c>
      <c r="G26" s="13" t="s">
        <v>876</v>
      </c>
      <c r="H26" s="74">
        <v>50</v>
      </c>
      <c r="I26" s="13" t="s">
        <v>19</v>
      </c>
    </row>
    <row r="27" spans="1:11" ht="20.100000000000001" customHeight="1" x14ac:dyDescent="0.2">
      <c r="A27" s="5" t="str">
        <f>HYPERLINK("#'3.1.1.1-2 Enteric Methane'!A1", "3.1.1.1-2 Enteric Methane")</f>
        <v>3.1.1.1-2 Enteric Methane</v>
      </c>
      <c r="D27" s="33" t="s">
        <v>897</v>
      </c>
      <c r="E27" s="13" t="s">
        <v>896</v>
      </c>
      <c r="F27" s="13" t="s">
        <v>873</v>
      </c>
      <c r="G27" s="13" t="s">
        <v>876</v>
      </c>
      <c r="H27" s="74">
        <v>50</v>
      </c>
      <c r="I27" s="13" t="s">
        <v>877</v>
      </c>
    </row>
    <row r="28" spans="1:11" ht="20.100000000000001" customHeight="1" x14ac:dyDescent="0.2">
      <c r="A28" s="5" t="str">
        <f>HYPERLINK("#'4.1.1.1-2 Methane'!A1", "4.1.1.1-2 Manure Methane")</f>
        <v>4.1.1.1-2 Manure Methane</v>
      </c>
      <c r="D28" s="33" t="s">
        <v>898</v>
      </c>
      <c r="E28" s="13" t="s">
        <v>896</v>
      </c>
      <c r="F28" s="13" t="s">
        <v>891</v>
      </c>
      <c r="G28" s="13" t="s">
        <v>876</v>
      </c>
      <c r="H28" s="74">
        <v>50</v>
      </c>
      <c r="I28" s="13" t="s">
        <v>19</v>
      </c>
    </row>
    <row r="29" spans="1:11" ht="20.100000000000001" customHeight="1" x14ac:dyDescent="0.2">
      <c r="A29" s="5" t="str">
        <f>HYPERLINK("#'4.1.1.3-4 Direct N20'!A1", "4.1.1.3-4 Manure Direct N2O")</f>
        <v>4.1.1.3-4 Manure Direct N2O</v>
      </c>
      <c r="D29" s="33" t="s">
        <v>899</v>
      </c>
      <c r="E29" s="13" t="s">
        <v>896</v>
      </c>
      <c r="F29" s="13" t="s">
        <v>891</v>
      </c>
      <c r="G29" s="13" t="s">
        <v>876</v>
      </c>
      <c r="H29" s="74">
        <v>50</v>
      </c>
      <c r="I29" s="13" t="s">
        <v>877</v>
      </c>
      <c r="K29" s="138"/>
    </row>
    <row r="30" spans="1:11" ht="20.100000000000001" customHeight="1" x14ac:dyDescent="0.2">
      <c r="A30" s="5" t="str">
        <f>HYPERLINK("#'4.1.1.5-6 Atmos Deposition'!A1", "4.1.1.5-6 Manure Atmos Dep")</f>
        <v>4.1.1.5-6 Manure Atmos Dep</v>
      </c>
      <c r="D30" s="33" t="s">
        <v>900</v>
      </c>
      <c r="E30" s="13" t="s">
        <v>896</v>
      </c>
      <c r="F30" s="13" t="s">
        <v>891</v>
      </c>
      <c r="G30" s="13" t="s">
        <v>874</v>
      </c>
      <c r="H30" s="74">
        <v>50</v>
      </c>
      <c r="I30" s="13" t="s">
        <v>19</v>
      </c>
      <c r="K30" s="138"/>
    </row>
    <row r="31" spans="1:11" ht="20.100000000000001" customHeight="1" x14ac:dyDescent="0.2">
      <c r="A31" s="5" t="str">
        <f>HYPERLINK("#'4.1.1.9 Manure applied to soils'!A1", "4.1.1.9 Manure applied to soils")</f>
        <v>4.1.1.9 Manure applied to soils</v>
      </c>
      <c r="D31" s="33" t="s">
        <v>901</v>
      </c>
      <c r="E31" s="13" t="s">
        <v>896</v>
      </c>
      <c r="F31" s="13" t="s">
        <v>891</v>
      </c>
      <c r="G31" s="13" t="s">
        <v>874</v>
      </c>
      <c r="H31" s="74">
        <v>50</v>
      </c>
      <c r="I31" s="13" t="s">
        <v>877</v>
      </c>
      <c r="K31" s="138"/>
    </row>
    <row r="32" spans="1:11" ht="20.100000000000001" customHeight="1" x14ac:dyDescent="0.2">
      <c r="A32" s="5" t="str">
        <f>HYPERLINK("#'8.1.1.1-2 Transport fuel'!A1", "8.1.1.1-2 Transport fuel")</f>
        <v>8.1.1.1-2 Transport fuel</v>
      </c>
      <c r="D32" s="33" t="s">
        <v>899</v>
      </c>
      <c r="E32" s="13" t="s">
        <v>896</v>
      </c>
      <c r="F32" s="13" t="s">
        <v>891</v>
      </c>
      <c r="G32" s="13" t="s">
        <v>876</v>
      </c>
      <c r="H32" s="74">
        <v>50</v>
      </c>
      <c r="I32" s="13" t="s">
        <v>877</v>
      </c>
      <c r="K32" s="138"/>
    </row>
    <row r="33" spans="1:12" ht="20.100000000000001" customHeight="1" x14ac:dyDescent="0.2">
      <c r="A33" s="5" t="str">
        <f>HYPERLINK("#'8.2.1.1-2 Stationary fuel'!A1", "8.2.1.1-2 Stationary fuel")</f>
        <v>8.2.1.1-2 Stationary fuel</v>
      </c>
      <c r="K33" s="138"/>
    </row>
    <row r="34" spans="1:12" ht="20.100000000000001" customHeight="1" x14ac:dyDescent="0.2">
      <c r="A34" s="5" t="str">
        <f>HYPERLINK("#'10.1.1-2 Solid waste treatment'!A1", "10.1.1.1-2 Solid waste")</f>
        <v>10.1.1.1-2 Solid waste</v>
      </c>
      <c r="K34" s="138"/>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c r="L36" s="138"/>
    </row>
    <row r="37" spans="1:12" ht="20.100000000000001" customHeight="1" x14ac:dyDescent="0.2">
      <c r="A37" s="5" t="str">
        <f>HYPERLINK("#'Calcs - Manure sent off-site'!A1", "Calcs - Manure sent off-site")</f>
        <v>Calcs - Manure sent off-site</v>
      </c>
      <c r="L37" s="138"/>
    </row>
    <row r="38" spans="1:12" ht="20.100000000000001" customHeight="1" x14ac:dyDescent="0.2">
      <c r="A38" s="5" t="str">
        <f>HYPERLINK("#'5.1.1.1-2 Inorganic fert N2O'!A1", "5.1.1.1-2 Inorganic fert N2O")</f>
        <v>5.1.1.1-2 Inorganic fert N2O</v>
      </c>
      <c r="C38" s="140"/>
    </row>
    <row r="39" spans="1:12" ht="20.100000000000001" customHeight="1" x14ac:dyDescent="0.2">
      <c r="A39" s="5" t="str">
        <f>HYPERLINK("#'5.1.1.3-4 Inorganic fert CO2'!A1", "5.1.1.3-4 Inorganic fert CO2")</f>
        <v>5.1.1.3-4 Inorganic fert CO2</v>
      </c>
      <c r="C39" s="140"/>
      <c r="J39" s="140"/>
    </row>
    <row r="40" spans="1:12" s="138" customFormat="1" ht="20.100000000000001" customHeight="1" x14ac:dyDescent="0.2">
      <c r="A40" s="5" t="str">
        <f>HYPERLINK("#'5.2.1.1-2 Organic Fert N2O'!A1", "5.2.1.1-2 Organic Fert N2O")</f>
        <v>5.2.1.1-2 Organic Fert N2O</v>
      </c>
      <c r="C40" s="1"/>
      <c r="D40" s="1"/>
      <c r="E40" s="1"/>
      <c r="F40" s="1"/>
      <c r="G40" s="1"/>
      <c r="H40" s="1"/>
      <c r="I40" s="1"/>
      <c r="J40" s="1"/>
    </row>
    <row r="41" spans="1:12" s="138" customFormat="1" ht="20.100000000000001" customHeight="1" x14ac:dyDescent="0.2">
      <c r="A41" s="5" t="str">
        <f>HYPERLINK("#'5.3.1.1-2 Lime CO2'!A1", "5.3.1.1-2 Lime CO2")</f>
        <v>5.3.1.1-2 Lime CO2</v>
      </c>
      <c r="C41" s="1"/>
      <c r="D41" s="1"/>
      <c r="E41" s="1"/>
      <c r="F41" s="1"/>
      <c r="G41" s="1"/>
      <c r="H41" s="1"/>
      <c r="I41" s="1"/>
      <c r="J41" s="1"/>
      <c r="L41" s="138" t="s">
        <v>558</v>
      </c>
    </row>
    <row r="42" spans="1:12" ht="20.100000000000001" customHeight="1" x14ac:dyDescent="0.2">
      <c r="A42" s="5" t="str">
        <f>HYPERLINK("#'5.4.1.1-4 Atmos deposition'!A1", "5.4.1.1-4 Atmos deposition")</f>
        <v>5.4.1.1-4 Atmos deposition</v>
      </c>
    </row>
    <row r="43" spans="1:12" ht="20.100000000000001" customHeight="1" x14ac:dyDescent="0.2">
      <c r="A43" s="5" t="str">
        <f>HYPERLINK("#'5.5.1.1-2 Leaching and runoff'!A1", "5.5.1.1-2 Leaching and runoff")</f>
        <v>5.5.1.1-2 Leaching and runoff</v>
      </c>
    </row>
    <row r="46" spans="1:12" ht="20.100000000000001" customHeight="1" x14ac:dyDescent="0.2">
      <c r="A46" s="80" t="s">
        <v>1</v>
      </c>
    </row>
    <row r="47" spans="1:12" ht="20.100000000000001" customHeight="1" x14ac:dyDescent="0.2">
      <c r="A47" s="5" t="str">
        <f>HYPERLINK("#'Constants - Feedlot'!A1", "Constants - Feedlot")</f>
        <v>Constants - Feedlot</v>
      </c>
    </row>
    <row r="48" spans="1:12"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row r="73" spans="4:4" ht="20.100000000000001" customHeight="1" x14ac:dyDescent="0.2">
      <c r="D73" s="143"/>
    </row>
    <row r="75" spans="4:4" ht="20.100000000000001" customHeight="1" x14ac:dyDescent="0.2">
      <c r="D75" s="143"/>
    </row>
    <row r="76" spans="4:4" ht="20.100000000000001" customHeight="1" x14ac:dyDescent="0.2">
      <c r="D76" s="143"/>
    </row>
    <row r="385" spans="4:4" ht="20.100000000000001" customHeight="1" x14ac:dyDescent="0.2">
      <c r="D385" s="87"/>
    </row>
  </sheetData>
  <conditionalFormatting sqref="F162:F163">
    <cfRule type="cellIs" dxfId="43" priority="7" operator="lessThan">
      <formula>0</formula>
    </cfRule>
  </conditionalFormatting>
  <conditionalFormatting sqref="F174:F175">
    <cfRule type="cellIs" dxfId="42" priority="6" operator="lessThan">
      <formula>0</formula>
    </cfRule>
  </conditionalFormatting>
  <conditionalFormatting sqref="F186:F187">
    <cfRule type="cellIs" dxfId="41" priority="5" operator="lessThan">
      <formula>0</formula>
    </cfRule>
  </conditionalFormatting>
  <conditionalFormatting sqref="F274:F275">
    <cfRule type="cellIs" dxfId="40" priority="17" operator="lessThan">
      <formula>0</formula>
    </cfRule>
  </conditionalFormatting>
  <conditionalFormatting sqref="F279:F280">
    <cfRule type="cellIs" dxfId="39" priority="16" operator="lessThan">
      <formula>0</formula>
    </cfRule>
  </conditionalFormatting>
  <conditionalFormatting sqref="F284:F285">
    <cfRule type="cellIs" dxfId="38" priority="15" operator="lessThan">
      <formula>0</formula>
    </cfRule>
  </conditionalFormatting>
  <conditionalFormatting sqref="F308:F309">
    <cfRule type="cellIs" dxfId="37" priority="14" operator="lessThan">
      <formula>0</formula>
    </cfRule>
  </conditionalFormatting>
  <conditionalFormatting sqref="F313:F314">
    <cfRule type="cellIs" dxfId="36" priority="13" operator="lessThan">
      <formula>0</formula>
    </cfRule>
  </conditionalFormatting>
  <conditionalFormatting sqref="F318:F319">
    <cfRule type="cellIs" dxfId="35" priority="12" operator="lessThan">
      <formula>0</formula>
    </cfRule>
  </conditionalFormatting>
  <conditionalFormatting sqref="I33 F71">
    <cfRule type="cellIs" dxfId="34" priority="9" operator="lessThan">
      <formula>0</formula>
    </cfRule>
  </conditionalFormatting>
  <conditionalFormatting sqref="I79:I83">
    <cfRule type="cellIs" dxfId="33" priority="4" operator="lessThan">
      <formula>0</formula>
    </cfRule>
  </conditionalFormatting>
  <conditionalFormatting sqref="I87 I146">
    <cfRule type="cellIs" dxfId="32" priority="10" operator="lessThan">
      <formula>0</formula>
    </cfRule>
  </conditionalFormatting>
  <conditionalFormatting sqref="I98:I100">
    <cfRule type="cellIs" dxfId="31" priority="3" operator="lessThan">
      <formula>0</formula>
    </cfRule>
  </conditionalFormatting>
  <conditionalFormatting sqref="I104:I107">
    <cfRule type="cellIs" dxfId="30" priority="2" operator="lessThan">
      <formula>0</formula>
    </cfRule>
  </conditionalFormatting>
  <conditionalFormatting sqref="I111:I115">
    <cfRule type="cellIs" dxfId="29" priority="1" operator="lessThan">
      <formula>0</formula>
    </cfRule>
  </conditionalFormatting>
  <conditionalFormatting sqref="J8 I65:I66 H67:H69 I68 I70:I72 I74:I75 I226 I232 E234:G234">
    <cfRule type="cellIs" dxfId="28" priority="11" operator="lessThan">
      <formula>0</formula>
    </cfRule>
  </conditionalFormatting>
  <conditionalFormatting sqref="J37 I59 F150:F151">
    <cfRule type="cellIs" dxfId="27" priority="8" operator="lessThan">
      <formula>0</formula>
    </cfRule>
  </conditionalFormatting>
  <dataValidations count="9">
    <dataValidation type="list" allowBlank="1" showInputMessage="1" showErrorMessage="1" sqref="F10:F32" xr:uid="{BA38ACEA-F4B7-428E-9EC3-C0984F3797C9}">
      <formula1>INDIRECT("Table_WasteTypes_" &amp; SUBSTITUTE(E10, " ", "") &amp; "[Waste type w]")</formula1>
    </dataValidation>
    <dataValidation type="list" allowBlank="1" showInputMessage="1" showErrorMessage="1" sqref="I10:I32" xr:uid="{464EE6DC-347E-4E43-A805-661EDD3ED6FC}">
      <formula1>"tonnes, cubic metres m3"</formula1>
    </dataValidation>
    <dataValidation type="list" allowBlank="1" showInputMessage="1" showErrorMessage="1" sqref="G10:G32" xr:uid="{60072C01-8F26-44DE-958A-18B8143511F1}">
      <formula1>"Treated on-site, Removed and treated off-site"</formula1>
    </dataValidation>
    <dataValidation type="list" allowBlank="1" showInputMessage="1" showErrorMessage="1" sqref="E10:E32" xr:uid="{30A1B435-CD41-4DDD-AAE3-4B48F2A21C29}">
      <formula1>INDIRECT(_xlfn.UNIQUE("Table_SourceData_WasteSolid_WasteTreatmentEFs[Treatment type t]"))</formula1>
    </dataValidation>
    <dataValidation type="list" allowBlank="1" showInputMessage="1" showErrorMessage="1" sqref="E35" xr:uid="{CD825ECD-81A0-4996-8701-E2F644DF2C4D}">
      <formula1>INDIRECT("Table_SourceData_ElectricityEFs[State, Territory or grid description]")</formula1>
    </dataValidation>
    <dataValidation type="list" allowBlank="1" showInputMessage="1" showErrorMessage="1" sqref="E89" xr:uid="{A6148589-EA94-4A3F-A2B1-CC490C6C670A}">
      <formula1>INDIRECT("Table_SourceData_Swine_IrrigationMethods[Irrigation method]")</formula1>
    </dataValidation>
    <dataValidation type="list" allowBlank="1" showInputMessage="1" showErrorMessage="1" sqref="E273 E278 E283 E317 E312 E307 E185 E173 E149 E161" xr:uid="{1AA547A2-2D37-4039-89FD-DCF49D8B5F36}">
      <formula1>"Yes, No"</formula1>
    </dataValidation>
    <dataValidation type="list" allowBlank="1" showInputMessage="1" showErrorMessage="1" sqref="E249" xr:uid="{E9BA55CE-897A-4858-90EA-031CE51A482D}">
      <formula1>INDIRECT("Table_SourceData_Dairy_ProductionSystemTemplates[Area]")</formula1>
    </dataValidation>
    <dataValidation type="list" allowBlank="1" showInputMessage="1" showErrorMessage="1" sqref="D301" xr:uid="{AF28C572-E08E-4DD7-A730-B4D207173890}">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7B240-3F37-47F2-A2E6-A840F4566CB1}">
  <sheetPr>
    <tabColor theme="5" tint="-0.249977111117893"/>
  </sheetPr>
  <dimension ref="A1:K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s>
  <sheetData>
    <row r="1" spans="1:11" ht="30" customHeight="1" x14ac:dyDescent="0.35">
      <c r="A1" s="10" t="e" vm="1">
        <v>#VALUE!</v>
      </c>
      <c r="C1" s="10" t="s">
        <v>1020</v>
      </c>
      <c r="D1" s="10"/>
      <c r="E1" s="10"/>
      <c r="F1" s="10"/>
      <c r="G1" s="10"/>
      <c r="H1" s="10"/>
      <c r="I1" s="10"/>
      <c r="J1" s="10"/>
      <c r="K1" s="10"/>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1021</v>
      </c>
    </row>
    <row r="7" spans="1:11" ht="20.100000000000001" customHeight="1" x14ac:dyDescent="0.2">
      <c r="D7" s="1" t="s">
        <v>1022</v>
      </c>
    </row>
    <row r="8" spans="1:11" ht="20.100000000000001" customHeight="1" x14ac:dyDescent="0.2">
      <c r="A8" s="7" t="s">
        <v>0</v>
      </c>
      <c r="D8" s="1" t="s">
        <v>1023</v>
      </c>
    </row>
    <row r="9" spans="1:11" ht="20.100000000000001" customHeight="1" x14ac:dyDescent="0.2">
      <c r="A9" s="5" t="str">
        <f>HYPERLINK("#'Input - Enterprise'!A1", "Enterprise")</f>
        <v>Enterprise</v>
      </c>
    </row>
    <row r="10" spans="1:11" ht="20.100000000000001" customHeight="1" x14ac:dyDescent="0.2">
      <c r="A10" s="5" t="str">
        <f>HYPERLINK("#'Input - Site'!A1", "Site")</f>
        <v>Site</v>
      </c>
      <c r="D10" s="1" t="s">
        <v>1024</v>
      </c>
      <c r="F10" s="74">
        <v>1000</v>
      </c>
      <c r="G10" s="16" t="s">
        <v>446</v>
      </c>
    </row>
    <row r="11" spans="1:11" ht="20.100000000000001" customHeight="1" x14ac:dyDescent="0.2">
      <c r="A11" s="5" t="str">
        <f>HYPERLINK("#'Input - Feedlot'!A1", "Feedlot")</f>
        <v>Feedlot</v>
      </c>
      <c r="D11" s="1" t="s">
        <v>1025</v>
      </c>
      <c r="F11" s="74">
        <v>2000</v>
      </c>
      <c r="G11" s="16" t="s">
        <v>446</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c r="D13" s="1" t="s">
        <v>1026</v>
      </c>
      <c r="F13" s="13" t="s">
        <v>672</v>
      </c>
      <c r="G13" s="16" t="s">
        <v>100</v>
      </c>
    </row>
    <row r="14" spans="1:11" ht="20.100000000000001" customHeight="1" x14ac:dyDescent="0.2">
      <c r="A14" s="5" t="str">
        <f>HYPERLINK("#'Input - Fuel'!A1", "Fuel")</f>
        <v>Fuel</v>
      </c>
      <c r="D14" s="1" t="s">
        <v>1027</v>
      </c>
      <c r="F14" s="13" t="s">
        <v>483</v>
      </c>
      <c r="G14" s="16" t="s">
        <v>100</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101"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HYPERLINK("#'3.1.1.1-2 Enteric Methane'!A1", "3.1.1.1-2 Enteric Methane")</f>
        <v>3.1.1.1-2 Enteric Methane</v>
      </c>
    </row>
    <row r="28" spans="1:1" ht="20.100000000000001" customHeight="1" x14ac:dyDescent="0.2">
      <c r="A28" s="5" t="str">
        <f>HYPERLINK("#'4.1.1.1-2 Methane'!A1", "4.1.1.1-2 Manure Methane")</f>
        <v>4.1.1.1-2 Manure Methane</v>
      </c>
    </row>
    <row r="29" spans="1:1" ht="20.100000000000001" customHeight="1" x14ac:dyDescent="0.2">
      <c r="A29" s="5" t="str">
        <f>HYPERLINK("#'4.1.1.3-4 Direct N20'!A1", "4.1.1.3-4 Manure Direct N2O")</f>
        <v>4.1.1.3-4 Manure Direct N2O</v>
      </c>
    </row>
    <row r="30" spans="1:1" ht="20.100000000000001" customHeight="1" x14ac:dyDescent="0.2">
      <c r="A30" s="5" t="str">
        <f>HYPERLINK("#'4.1.1.5-6 Atmos Deposition'!A1", "4.1.1.5-6 Manure Atmos Dep")</f>
        <v>4.1.1.5-6 Manure Atmos Dep</v>
      </c>
    </row>
    <row r="31" spans="1:1" ht="20.100000000000001" customHeight="1" x14ac:dyDescent="0.2">
      <c r="A31" s="5" t="str">
        <f>HYPERLINK("#'4.1.1.9 Manure applied to soils'!A1", "4.1.1.9 Manure applied to soils")</f>
        <v>4.1.1.9 Manure applied to soils</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dataValidations count="2">
    <dataValidation type="list" allowBlank="1" showInputMessage="1" showErrorMessage="1" sqref="F14" xr:uid="{6A8692AA-7812-4330-BD56-F93584760032}">
      <formula1>INDIRECT("Table_SourceData_Fertiliser_IrrigationMethods[Irrigation method]")</formula1>
    </dataValidation>
    <dataValidation type="list" allowBlank="1" showInputMessage="1" showErrorMessage="1" sqref="F13" xr:uid="{6F61CF58-282D-4706-9132-051E64BD8AFC}">
      <formula1>INDIRECT("Table_SourceData_Fertiliser_CropProdSystems[Production system]")</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63"/>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30" customHeight="1" x14ac:dyDescent="0.35">
      <c r="C1" s="10" t="s">
        <v>147</v>
      </c>
    </row>
    <row r="2" spans="1:13" s="3" customFormat="1" ht="20.100000000000001" customHeight="1" x14ac:dyDescent="0.2">
      <c r="A2"/>
    </row>
    <row r="3" spans="1:13" ht="20.100000000000001" customHeight="1" x14ac:dyDescent="0.2">
      <c r="A3" s="5" t="str">
        <f>HYPERLINK("#'Home'!A1", "Home")</f>
        <v>Home</v>
      </c>
      <c r="C3" s="28"/>
      <c r="D3" s="28"/>
      <c r="E3" s="28"/>
      <c r="F3" s="28"/>
      <c r="G3" s="28"/>
      <c r="H3" s="28"/>
      <c r="I3" s="28"/>
      <c r="J3" s="28"/>
      <c r="K3" s="28"/>
      <c r="L3" s="28"/>
      <c r="M3" s="28"/>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2" t="s">
        <v>219</v>
      </c>
    </row>
    <row r="7" spans="1:13" ht="20.100000000000001" customHeight="1" x14ac:dyDescent="0.2">
      <c r="D7" s="78" t="s">
        <v>220</v>
      </c>
      <c r="E7" s="78" t="s">
        <v>221</v>
      </c>
      <c r="F7" s="78" t="s">
        <v>222</v>
      </c>
      <c r="G7" s="78" t="s">
        <v>223</v>
      </c>
      <c r="H7" s="78" t="s">
        <v>148</v>
      </c>
      <c r="I7" s="78" t="s">
        <v>149</v>
      </c>
      <c r="J7" s="78" t="s">
        <v>150</v>
      </c>
    </row>
    <row r="8" spans="1:13" ht="20.100000000000001" customHeight="1" x14ac:dyDescent="0.2">
      <c r="A8" s="7" t="s">
        <v>0</v>
      </c>
      <c r="D8" s="1" t="str">
        <f>"Liveweight sold"</f>
        <v>Liveweight sold</v>
      </c>
      <c r="E8" s="13" t="s">
        <v>199</v>
      </c>
      <c r="F8" s="13" t="s">
        <v>204</v>
      </c>
      <c r="G8" s="13" t="s">
        <v>209</v>
      </c>
      <c r="H8" s="82"/>
      <c r="I8" s="82"/>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3" ht="20.100000000000001" customHeight="1" x14ac:dyDescent="0.2">
      <c r="A9" s="5" t="str">
        <f>HYPERLINK("#'Input - Enterprise'!A1", "Enterprise")</f>
        <v>Enterprise</v>
      </c>
      <c r="D9" s="1" t="str">
        <f>"Manure produced"</f>
        <v>Manure produced</v>
      </c>
      <c r="E9" s="13" t="s">
        <v>200</v>
      </c>
      <c r="F9" s="13" t="s">
        <v>205</v>
      </c>
      <c r="G9" s="13" t="s">
        <v>210</v>
      </c>
      <c r="H9" s="82"/>
      <c r="I9" s="82"/>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1:13" ht="20.100000000000001" customHeight="1" x14ac:dyDescent="0.2">
      <c r="A10" s="5" t="str">
        <f>HYPERLINK("#'Input - Site'!A1", "Site")</f>
        <v>Site</v>
      </c>
      <c r="D10" s="1" t="str">
        <f>"Manure sold"</f>
        <v>Manure sold</v>
      </c>
      <c r="E10" s="13" t="s">
        <v>201</v>
      </c>
      <c r="F10" s="13" t="s">
        <v>206</v>
      </c>
      <c r="G10" s="13" t="s">
        <v>210</v>
      </c>
      <c r="H10" s="82"/>
      <c r="I10" s="82"/>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1:13" ht="20.100000000000001" customHeight="1" x14ac:dyDescent="0.2">
      <c r="A11" s="5" t="str">
        <f>HYPERLINK("#'Input - Feedlot'!A1", "Feedlot")</f>
        <v>Feedlot</v>
      </c>
      <c r="D11" s="1" t="str">
        <f>"Percent income from liveweight sold"</f>
        <v>Percent income from liveweight sold</v>
      </c>
      <c r="E11" s="13" t="s">
        <v>203</v>
      </c>
      <c r="F11" s="13" t="s">
        <v>208</v>
      </c>
      <c r="G11" s="13" t="s">
        <v>213</v>
      </c>
      <c r="H11" s="82"/>
      <c r="I11" s="82"/>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2" spans="1:13" ht="20.100000000000001" customHeight="1" x14ac:dyDescent="0.2">
      <c r="A12" s="5" t="str">
        <f>HYPERLINK("#'Input - Livestock sales'!A1", "Livestock sales")</f>
        <v>Livestock sales</v>
      </c>
      <c r="D12" s="1" t="str">
        <f>"Percent income from manure sold"</f>
        <v>Percent income from manure sold</v>
      </c>
      <c r="E12" s="13" t="s">
        <v>199</v>
      </c>
      <c r="F12" s="13" t="s">
        <v>205</v>
      </c>
      <c r="G12" s="13" t="s">
        <v>209</v>
      </c>
      <c r="H12" s="82"/>
      <c r="I12" s="82"/>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3" spans="1:13" ht="20.100000000000001" customHeight="1" x14ac:dyDescent="0.2">
      <c r="A13" s="5" t="str">
        <f>HYPERLINK("#'Input - Beef cattle purchases'!A1", "Beef cattle purchases")</f>
        <v>Beef cattle purchases</v>
      </c>
    </row>
    <row r="14" spans="1:13" ht="20.100000000000001" customHeight="1" x14ac:dyDescent="0.2">
      <c r="A14" s="5" t="str">
        <f>HYPERLINK("#'Input - Fuel'!A1", "Fuel")</f>
        <v>Fuel</v>
      </c>
      <c r="J14" s="83">
        <f>SUM(Table_Input_DataQuality_Enterprise[Score])</f>
        <v>54</v>
      </c>
    </row>
    <row r="15" spans="1:13" ht="20.100000000000001" customHeight="1" x14ac:dyDescent="0.2">
      <c r="A15" s="5" t="str">
        <f>HYPERLINK("#'Input - Electricity'!A1", "Electricity")</f>
        <v>Electricity</v>
      </c>
      <c r="D15" s="2" t="s">
        <v>224</v>
      </c>
    </row>
    <row r="16" spans="1:13" ht="20.100000000000001" customHeight="1" x14ac:dyDescent="0.2">
      <c r="A16" s="5" t="str">
        <f>HYPERLINK("#'Input - Common farm inputs'!A1", "Common farm inputs")</f>
        <v>Common farm inputs</v>
      </c>
    </row>
    <row r="17" spans="1:10" ht="20.100000000000001" customHeight="1" x14ac:dyDescent="0.2">
      <c r="A17" s="5" t="str">
        <f>HYPERLINK("#'Input - Livestock farm Inputs'!A1", "Livestock farm Inputs")</f>
        <v>Livestock farm Inputs</v>
      </c>
      <c r="D17" s="78" t="s">
        <v>220</v>
      </c>
      <c r="E17" s="78" t="s">
        <v>221</v>
      </c>
      <c r="F17" s="78" t="s">
        <v>222</v>
      </c>
      <c r="G17" s="78" t="s">
        <v>223</v>
      </c>
      <c r="H17" s="78" t="s">
        <v>148</v>
      </c>
      <c r="I17" s="78" t="s">
        <v>149</v>
      </c>
      <c r="J17" s="78" t="s">
        <v>150</v>
      </c>
    </row>
    <row r="18" spans="1:10" ht="20.100000000000001" customHeight="1" x14ac:dyDescent="0.2">
      <c r="A18" s="5" t="str">
        <f>HYPERLINK("#'Input - Freight'!A1", "Freight")</f>
        <v>Freight</v>
      </c>
      <c r="D18" s="1" t="str">
        <f>"Leaching zone"</f>
        <v>Leaching zone</v>
      </c>
      <c r="E18" s="13" t="s">
        <v>200</v>
      </c>
      <c r="F18" s="13" t="s">
        <v>206</v>
      </c>
      <c r="G18" s="13" t="s">
        <v>209</v>
      </c>
      <c r="H18" s="82"/>
      <c r="I18" s="82"/>
      <c r="J18"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19" spans="1:10" ht="20.100000000000001" customHeight="1" x14ac:dyDescent="0.2">
      <c r="A19" s="5" t="str">
        <f>HYPERLINK("#'Input - Solid waste'!A1", "Solid waste")</f>
        <v>Solid waste</v>
      </c>
      <c r="D19" s="1" t="str">
        <f>"Elevation"</f>
        <v>Elevation</v>
      </c>
      <c r="E19" s="13" t="s">
        <v>200</v>
      </c>
      <c r="F19" s="13" t="s">
        <v>206</v>
      </c>
      <c r="G19" s="13" t="s">
        <v>209</v>
      </c>
      <c r="H19" s="82"/>
      <c r="I19" s="82"/>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1:10" ht="20.100000000000001" customHeight="1" x14ac:dyDescent="0.2">
      <c r="A20" s="5" t="str">
        <f>HYPERLINK("#'Input - Manure sent off-site'!A1", "Manure sent off-site")</f>
        <v>Manure sent off-site</v>
      </c>
      <c r="D20" s="1" t="str">
        <f>"Average temperature for reporting period"</f>
        <v>Average temperature for reporting period</v>
      </c>
      <c r="E20" s="13" t="s">
        <v>200</v>
      </c>
      <c r="F20" s="13" t="s">
        <v>206</v>
      </c>
      <c r="G20" s="13" t="s">
        <v>209</v>
      </c>
      <c r="H20" s="82"/>
      <c r="I20" s="82"/>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ht="20.100000000000001" customHeight="1" x14ac:dyDescent="0.2">
      <c r="A21" s="101" t="str">
        <f>HYPERLINK("#'Input - Data quality'!A1", "Data quality")</f>
        <v>Data quality</v>
      </c>
      <c r="D21" s="1" t="str">
        <f>"Total rainfall for reporting period"</f>
        <v>Total rainfall for reporting period</v>
      </c>
      <c r="E21" s="13" t="s">
        <v>199</v>
      </c>
      <c r="F21" s="13" t="s">
        <v>205</v>
      </c>
      <c r="G21" s="13" t="s">
        <v>209</v>
      </c>
      <c r="H21" s="82"/>
      <c r="I21" s="82"/>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2" spans="1:10" ht="20.100000000000001" customHeight="1" x14ac:dyDescent="0.2">
      <c r="A22" s="5" t="str">
        <f>HYPERLINK("#'Input - Fert Prod System'!A1", "Fert Prod System")</f>
        <v>Fert Prod System</v>
      </c>
      <c r="D22" s="1" t="str">
        <f>"Potential evapotranspiration for reporting period"</f>
        <v>Potential evapotranspiration for reporting period</v>
      </c>
      <c r="E22" s="13" t="s">
        <v>200</v>
      </c>
      <c r="F22" s="13" t="s">
        <v>206</v>
      </c>
      <c r="G22" s="13" t="s">
        <v>209</v>
      </c>
      <c r="H22" s="82"/>
      <c r="I22" s="82"/>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1:10" ht="20.100000000000001" customHeight="1" x14ac:dyDescent="0.2">
      <c r="A23" s="5" t="str">
        <f>HYPERLINK("#'Input - Fertiliser'!A1", "Fertiliser")</f>
        <v>Fertiliser</v>
      </c>
      <c r="D23" s="1" t="str">
        <f>"Number of frost days for reporting period"</f>
        <v>Number of frost days for reporting period</v>
      </c>
      <c r="E23" s="84" t="s">
        <v>201</v>
      </c>
      <c r="F23" s="84" t="s">
        <v>206</v>
      </c>
      <c r="G23" s="84" t="s">
        <v>209</v>
      </c>
      <c r="H23" s="82"/>
      <c r="I23" s="82"/>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1:10" ht="20.100000000000001" customHeight="1" x14ac:dyDescent="0.2">
      <c r="J25" s="83">
        <f>SUM(Table_Input_DataQuality_Site[Score])</f>
        <v>73</v>
      </c>
    </row>
    <row r="26" spans="1:10" ht="20.100000000000001" customHeight="1" x14ac:dyDescent="0.2">
      <c r="A26" s="6" t="s">
        <v>2</v>
      </c>
      <c r="D26" s="2" t="s">
        <v>281</v>
      </c>
    </row>
    <row r="27" spans="1:10" ht="20.100000000000001" customHeight="1" x14ac:dyDescent="0.2">
      <c r="A27" s="5" t="str">
        <f>HYPERLINK("#'3.1.1.1-2 Enteric Methane'!A1", "3.1.1.1-2 Enteric Methane")</f>
        <v>3.1.1.1-2 Enteric Methane</v>
      </c>
    </row>
    <row r="28" spans="1:10" ht="20.100000000000001" customHeight="1" x14ac:dyDescent="0.2">
      <c r="A28" s="5" t="str">
        <f>HYPERLINK("#'4.1.1.1-2 Methane'!A1", "4.1.1.1-2 Manure Methane")</f>
        <v>4.1.1.1-2 Manure Methane</v>
      </c>
      <c r="D28" s="78" t="s">
        <v>220</v>
      </c>
      <c r="E28" s="78" t="s">
        <v>221</v>
      </c>
      <c r="F28" s="78" t="s">
        <v>222</v>
      </c>
      <c r="G28" s="78" t="s">
        <v>223</v>
      </c>
      <c r="H28" s="78" t="s">
        <v>148</v>
      </c>
      <c r="I28" s="78" t="s">
        <v>149</v>
      </c>
      <c r="J28" s="78" t="s">
        <v>150</v>
      </c>
    </row>
    <row r="29" spans="1:10" ht="20.100000000000001" customHeight="1" x14ac:dyDescent="0.2">
      <c r="A29" s="5" t="str">
        <f>HYPERLINK("#'4.1.1.3-4 Direct N20'!A1", "4.1.1.3-4 Manure Direct N2O")</f>
        <v>4.1.1.3-4 Manure Direct N2O</v>
      </c>
      <c r="D29" s="1" t="str">
        <f>"Head count"</f>
        <v>Head count</v>
      </c>
      <c r="E29" s="13" t="s">
        <v>199</v>
      </c>
      <c r="F29" s="13" t="s">
        <v>205</v>
      </c>
      <c r="G29" s="13" t="s">
        <v>209</v>
      </c>
      <c r="H29" s="82"/>
      <c r="I29" s="82"/>
      <c r="J2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0" spans="1:10" ht="20.100000000000001" customHeight="1" x14ac:dyDescent="0.2">
      <c r="A30" s="5" t="str">
        <f>HYPERLINK("#'4.1.1.5-6 Atmos Deposition'!A1", "4.1.1.5-6 Manure Atmos Dep")</f>
        <v>4.1.1.5-6 Manure Atmos Dep</v>
      </c>
      <c r="D30" s="1" t="str">
        <f>"Duration of stay"</f>
        <v>Duration of stay</v>
      </c>
      <c r="E30" s="13"/>
      <c r="F30" s="13"/>
      <c r="G30" s="13"/>
      <c r="H30" s="82"/>
      <c r="I30" s="82"/>
      <c r="J3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1" spans="1:10" ht="20.100000000000001" customHeight="1" x14ac:dyDescent="0.2">
      <c r="A31" s="5" t="str">
        <f>HYPERLINK("#'4.1.1.9 Manure applied to soils'!A1", "4.1.1.9 Manure applied to soils")</f>
        <v>4.1.1.9 Manure applied to soils</v>
      </c>
      <c r="D31" s="1" t="str">
        <f>"Diet - Feed intake"</f>
        <v>Diet - Feed intake</v>
      </c>
      <c r="E31" s="13" t="s">
        <v>199</v>
      </c>
      <c r="F31" s="13" t="s">
        <v>205</v>
      </c>
      <c r="G31" s="13" t="s">
        <v>209</v>
      </c>
      <c r="H31" s="82"/>
      <c r="I31" s="82"/>
      <c r="J3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1:10" ht="20.100000000000001" customHeight="1" x14ac:dyDescent="0.2">
      <c r="A32" s="5" t="str">
        <f>HYPERLINK("#'8.1.1.1-2 Transport fuel'!A1", "8.1.1.1-2 Transport fuel")</f>
        <v>8.1.1.1-2 Transport fuel</v>
      </c>
      <c r="D32" s="1" t="str">
        <f>"Diet - Ether extract"</f>
        <v>Diet - Ether extract</v>
      </c>
      <c r="E32" s="13" t="s">
        <v>199</v>
      </c>
      <c r="F32" s="13" t="s">
        <v>205</v>
      </c>
      <c r="G32" s="13" t="s">
        <v>209</v>
      </c>
      <c r="H32" s="82"/>
      <c r="I32" s="82"/>
      <c r="J32"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1:10" ht="20.100000000000001" customHeight="1" x14ac:dyDescent="0.2">
      <c r="A33" s="5" t="str">
        <f>HYPERLINK("#'8.2.1.1-2 Stationary fuel'!A1", "8.2.1.1-2 Stationary fuel")</f>
        <v>8.2.1.1-2 Stationary fuel</v>
      </c>
      <c r="D33" s="1" t="str">
        <f>"Diet - NDF"</f>
        <v>Diet - NDF</v>
      </c>
      <c r="E33" s="13"/>
      <c r="F33" s="13"/>
      <c r="G33" s="13"/>
      <c r="H33" s="82"/>
      <c r="I33" s="82"/>
      <c r="J33"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4" spans="1:10" ht="20.100000000000001" customHeight="1" x14ac:dyDescent="0.2">
      <c r="A34" s="5" t="str">
        <f>HYPERLINK("#'10.1.1-2 Solid waste treatment'!A1", "10.1.1.1-2 Solid waste")</f>
        <v>10.1.1.1-2 Solid waste</v>
      </c>
      <c r="D34" s="1" t="str">
        <f>"Diet - Dry matter digestibility"</f>
        <v>Diet - Dry matter digestibility</v>
      </c>
      <c r="E34" s="13"/>
      <c r="F34" s="13"/>
      <c r="G34" s="13"/>
      <c r="H34" s="82"/>
      <c r="I34" s="82"/>
      <c r="J34"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5" spans="1:10" ht="20.100000000000001" customHeight="1" x14ac:dyDescent="0.2">
      <c r="A35" s="5" t="str">
        <f>HYPERLINK("#'14.1.1-2 Purchased electricity'!A1", "14.1.1-2 Purchased electricity")</f>
        <v>14.1.1-2 Purchased electricity</v>
      </c>
      <c r="D35" s="1" t="str">
        <f>"Diet - Crude protein"</f>
        <v>Diet - Crude protein</v>
      </c>
      <c r="E35" s="13"/>
      <c r="F35" s="13"/>
      <c r="G35" s="13"/>
      <c r="H35" s="82"/>
      <c r="I35" s="82"/>
      <c r="J35"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6" spans="1:10" ht="20.100000000000001" customHeight="1" x14ac:dyDescent="0.2">
      <c r="A36" s="5" t="str">
        <f>HYPERLINK("#'15 Scope 3'!A1", "15 Scope 3")</f>
        <v>15 Scope 3</v>
      </c>
      <c r="D36" s="1" t="str">
        <f>"Diet - Nitrogen retention"</f>
        <v>Diet - Nitrogen retention</v>
      </c>
      <c r="E36" s="13"/>
      <c r="F36" s="13"/>
      <c r="G36" s="13"/>
      <c r="H36" s="82"/>
      <c r="I36" s="82"/>
      <c r="J36"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7" spans="1:10" ht="20.100000000000001" customHeight="1" x14ac:dyDescent="0.2">
      <c r="A37" s="5" t="str">
        <f>HYPERLINK("#'Calcs - Manure sent off-site'!A1", "Calcs - Manure sent off-site")</f>
        <v>Calcs - Manure sent off-site</v>
      </c>
      <c r="D37" s="1" t="str">
        <f>"Production and manure management systems"</f>
        <v>Production and manure management systems</v>
      </c>
      <c r="E37" s="13" t="s">
        <v>199</v>
      </c>
      <c r="F37" s="13" t="s">
        <v>205</v>
      </c>
      <c r="G37" s="13" t="s">
        <v>209</v>
      </c>
      <c r="H37" s="82"/>
      <c r="I37" s="82"/>
      <c r="J3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8" spans="1:10" ht="20.100000000000001" customHeight="1" x14ac:dyDescent="0.2">
      <c r="A38" s="5" t="str">
        <f>HYPERLINK("#'5.1.1.1-2 Inorganic fert N2O'!A1", "5.1.1.1-2 Inorganic fert N2O")</f>
        <v>5.1.1.1-2 Inorganic fert N2O</v>
      </c>
      <c r="D38" s="1" t="str">
        <f>"Livestock sales"</f>
        <v>Livestock sales</v>
      </c>
      <c r="E38" s="13"/>
      <c r="F38" s="13"/>
      <c r="G38" s="13"/>
      <c r="H38" s="82"/>
      <c r="I38" s="82"/>
      <c r="J3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9" spans="1:10" ht="20.100000000000001" customHeight="1" x14ac:dyDescent="0.2">
      <c r="A39" s="5" t="str">
        <f>HYPERLINK("#'5.1.1.3-4 Inorganic fert CO2'!A1", "5.1.1.3-4 Inorganic fert CO2")</f>
        <v>5.1.1.3-4 Inorganic fert CO2</v>
      </c>
      <c r="D39" s="1" t="str">
        <f>"Livestock purchases"</f>
        <v>Livestock purchases</v>
      </c>
      <c r="E39" s="13"/>
      <c r="F39" s="13"/>
      <c r="G39" s="13"/>
      <c r="H39" s="82"/>
      <c r="I39" s="82"/>
      <c r="J3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0" spans="1:10" ht="20.100000000000001" customHeight="1" x14ac:dyDescent="0.2">
      <c r="A40" s="5" t="str">
        <f>HYPERLINK("#'5.2.1.1-2 Organic Fert N2O'!A1", "5.2.1.1-2 Organic Fert N2O")</f>
        <v>5.2.1.1-2 Organic Fert N2O</v>
      </c>
    </row>
    <row r="41" spans="1:10" ht="20.100000000000001" customHeight="1" x14ac:dyDescent="0.2">
      <c r="A41" s="5" t="str">
        <f>HYPERLINK("#'5.3.1.1-2 Lime CO2'!A1", "5.3.1.1-2 Lime CO2")</f>
        <v>5.3.1.1-2 Lime CO2</v>
      </c>
      <c r="J41" s="83">
        <f>SUM(Table_Input_DataQuality_PastureManagement[Score])</f>
        <v>56</v>
      </c>
    </row>
    <row r="42" spans="1:10" ht="20.100000000000001" customHeight="1" x14ac:dyDescent="0.2">
      <c r="A42" s="5" t="str">
        <f>HYPERLINK("#'5.4.1.1-4 Atmos deposition'!A1", "5.4.1.1-4 Atmos deposition")</f>
        <v>5.4.1.1-4 Atmos deposition</v>
      </c>
      <c r="D42" s="2" t="s">
        <v>225</v>
      </c>
    </row>
    <row r="43" spans="1:10" ht="20.100000000000001" customHeight="1" x14ac:dyDescent="0.2">
      <c r="A43" s="5" t="str">
        <f>HYPERLINK("#'5.5.1.1-2 Leaching and runoff'!A1", "5.5.1.1-2 Leaching and runoff")</f>
        <v>5.5.1.1-2 Leaching and runoff</v>
      </c>
    </row>
    <row r="44" spans="1:10" ht="20.100000000000001" customHeight="1" x14ac:dyDescent="0.2">
      <c r="D44" s="78" t="s">
        <v>220</v>
      </c>
      <c r="E44" s="78" t="s">
        <v>221</v>
      </c>
      <c r="F44" s="78" t="s">
        <v>222</v>
      </c>
      <c r="G44" s="78" t="s">
        <v>223</v>
      </c>
      <c r="H44" s="78" t="s">
        <v>148</v>
      </c>
      <c r="I44" s="78" t="s">
        <v>149</v>
      </c>
      <c r="J44" s="78" t="s">
        <v>150</v>
      </c>
    </row>
    <row r="45" spans="1:10" ht="20.100000000000001" customHeight="1" x14ac:dyDescent="0.2">
      <c r="D45" s="1" t="str">
        <f>"Fuel purchases"</f>
        <v>Fuel purchases</v>
      </c>
      <c r="E45" s="13" t="s">
        <v>199</v>
      </c>
      <c r="F45" s="13" t="s">
        <v>205</v>
      </c>
      <c r="G45" s="13" t="s">
        <v>210</v>
      </c>
      <c r="H45" s="82"/>
      <c r="I45" s="82"/>
      <c r="J45"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6" spans="1:10" ht="20.100000000000001" customHeight="1" x14ac:dyDescent="0.2">
      <c r="A46" s="80" t="s">
        <v>1</v>
      </c>
      <c r="D46" s="1" t="str">
        <f>"Fuel consumption"</f>
        <v>Fuel consumption</v>
      </c>
      <c r="E46" s="13" t="s">
        <v>199</v>
      </c>
      <c r="F46" s="13" t="s">
        <v>205</v>
      </c>
      <c r="G46" s="13" t="s">
        <v>209</v>
      </c>
      <c r="H46" s="82"/>
      <c r="I46" s="82"/>
      <c r="J4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7" spans="1:10" ht="20.100000000000001" customHeight="1" x14ac:dyDescent="0.2">
      <c r="A47" s="5" t="str">
        <f>HYPERLINK("#'Constants - Feedlot'!A1", "Constants - Feedlot")</f>
        <v>Constants - Feedlot</v>
      </c>
      <c r="D47" s="1" t="str">
        <f>"Electricity consumption"</f>
        <v>Electricity consumption</v>
      </c>
      <c r="E47" s="13" t="s">
        <v>199</v>
      </c>
      <c r="F47" s="13" t="s">
        <v>205</v>
      </c>
      <c r="G47" s="13" t="s">
        <v>209</v>
      </c>
      <c r="H47" s="82"/>
      <c r="I47" s="82"/>
      <c r="J4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8" spans="1:10" ht="20.100000000000001" customHeight="1" x14ac:dyDescent="0.2">
      <c r="A48" s="5" t="str">
        <f>HYPERLINK("#'Constants - Common livestock'!A1", "Constants - Common Livestock")</f>
        <v>Constants - Common Livestock</v>
      </c>
      <c r="D48" s="1" t="str">
        <f>"Electricity generation"</f>
        <v>Electricity generation</v>
      </c>
      <c r="E48" s="13" t="s">
        <v>199</v>
      </c>
      <c r="F48" s="13" t="s">
        <v>205</v>
      </c>
      <c r="G48" s="13" t="s">
        <v>209</v>
      </c>
      <c r="H48" s="82"/>
      <c r="I48" s="82"/>
      <c r="J4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9" spans="1:10" ht="20.100000000000001" customHeight="1" x14ac:dyDescent="0.2">
      <c r="A49" s="5" t="str">
        <f>HYPERLINK("#'Constants - Electricity'!A1", "Constants - Electricity")</f>
        <v>Constants - Electricity</v>
      </c>
    </row>
    <row r="50" spans="1:10" ht="20.100000000000001" customHeight="1" x14ac:dyDescent="0.2">
      <c r="A50" s="5" t="str">
        <f>HYPERLINK("#'Constants - Fertiliser'!A1", "Constants - Fertiliser")</f>
        <v>Constants - Fertiliser</v>
      </c>
      <c r="J50" s="83">
        <f>SUM(Table_Input_DataQuality_FuelElectricity[Score])</f>
        <v>55</v>
      </c>
    </row>
    <row r="51" spans="1:10" ht="20.100000000000001" customHeight="1" x14ac:dyDescent="0.2">
      <c r="A51" s="5" t="str">
        <f>HYPERLINK("#'Constants - Fuel'!A1", "Constants - Fuel")</f>
        <v>Constants - Fuel</v>
      </c>
    </row>
    <row r="52" spans="1:10" ht="20.100000000000001" customHeight="1" x14ac:dyDescent="0.2">
      <c r="A52" s="5" t="str">
        <f>HYPERLINK("#'Constants - Scope 3'!A1", "Constants - Scope 3")</f>
        <v>Constants - Scope 3</v>
      </c>
      <c r="D52" s="2" t="s">
        <v>226</v>
      </c>
    </row>
    <row r="53" spans="1:10" ht="20.100000000000001" customHeight="1" x14ac:dyDescent="0.2">
      <c r="A53" s="5" t="str">
        <f>HYPERLINK("#'Constants - Solid Waste'!A1", "Constants - Solid Waste")</f>
        <v>Constants - Solid Waste</v>
      </c>
    </row>
    <row r="54" spans="1:10" ht="20.100000000000001" customHeight="1" x14ac:dyDescent="0.2">
      <c r="A54" s="5" t="str">
        <f>HYPERLINK("#'Constants - Common'!A1", "Constants - Common")</f>
        <v>Constants - Common</v>
      </c>
      <c r="D54" s="78" t="s">
        <v>220</v>
      </c>
      <c r="E54" s="78" t="s">
        <v>221</v>
      </c>
      <c r="F54" s="78" t="s">
        <v>222</v>
      </c>
      <c r="G54" s="78" t="s">
        <v>223</v>
      </c>
      <c r="H54" s="78" t="s">
        <v>148</v>
      </c>
      <c r="I54" s="78" t="s">
        <v>149</v>
      </c>
      <c r="J54" s="78" t="s">
        <v>150</v>
      </c>
    </row>
    <row r="55" spans="1:10" ht="20.100000000000001" customHeight="1" x14ac:dyDescent="0.2">
      <c r="A55" s="5" t="str">
        <f>HYPERLINK("#'Acknowledgements'!A1", "Acknowledgements")</f>
        <v>Acknowledgements</v>
      </c>
      <c r="D55" s="1" t="str">
        <f>"Farm input purchases"</f>
        <v>Farm input purchases</v>
      </c>
      <c r="E55" s="13" t="s">
        <v>199</v>
      </c>
      <c r="F55" s="13" t="s">
        <v>205</v>
      </c>
      <c r="G55" s="13" t="s">
        <v>210</v>
      </c>
      <c r="H55" s="82"/>
      <c r="I55" s="82"/>
      <c r="J55"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6" spans="1:10" ht="20.100000000000001" customHeight="1" x14ac:dyDescent="0.2">
      <c r="D56" s="1" t="str">
        <f>"Inbound freight use"</f>
        <v>Inbound freight use</v>
      </c>
      <c r="E56" s="13" t="s">
        <v>199</v>
      </c>
      <c r="F56" s="13" t="s">
        <v>205</v>
      </c>
      <c r="G56" s="13" t="s">
        <v>209</v>
      </c>
      <c r="H56" s="82"/>
      <c r="I56" s="82"/>
      <c r="J5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7" spans="1:10" ht="20.100000000000001" customHeight="1" x14ac:dyDescent="0.2">
      <c r="D57" s="1" t="str">
        <f>"Outbound freight use"</f>
        <v>Outbound freight use</v>
      </c>
      <c r="E57" s="13" t="s">
        <v>199</v>
      </c>
      <c r="F57" s="13" t="s">
        <v>205</v>
      </c>
      <c r="G57" s="13" t="s">
        <v>209</v>
      </c>
      <c r="H57" s="82"/>
      <c r="I57" s="82"/>
      <c r="J5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8" spans="1:10" ht="20.100000000000001" customHeight="1" x14ac:dyDescent="0.2">
      <c r="D58" s="1" t="str">
        <f>"Use of contractors and service providers"</f>
        <v>Use of contractors and service providers</v>
      </c>
      <c r="E58" s="13"/>
      <c r="F58" s="13"/>
      <c r="G58" s="13"/>
      <c r="H58" s="82"/>
      <c r="I58" s="82"/>
      <c r="J5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9" spans="1:10" ht="20.100000000000001" customHeight="1" x14ac:dyDescent="0.2">
      <c r="D59" s="1" t="str">
        <f>"Solid waste generation and treatment"</f>
        <v>Solid waste generation and treatment</v>
      </c>
      <c r="E59" s="13" t="s">
        <v>199</v>
      </c>
      <c r="F59" s="13" t="s">
        <v>205</v>
      </c>
      <c r="G59" s="13" t="s">
        <v>209</v>
      </c>
      <c r="H59" s="82"/>
      <c r="I59" s="82"/>
      <c r="J5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1:10" ht="20.100000000000001" customHeight="1" x14ac:dyDescent="0.2">
      <c r="J61" s="83">
        <f>SUM(Table_Input_DataQuality_FarmInputsFreightWaste[Score])</f>
        <v>55</v>
      </c>
    </row>
    <row r="63" spans="1:10" ht="20.100000000000001" customHeight="1" x14ac:dyDescent="0.2">
      <c r="D63" s="85" t="s">
        <v>227</v>
      </c>
      <c r="E63" s="86" t="str">
        <f>(J14+J25+J41+J50+J61)&amp;" out of "&amp;((COUNT(Table_Input_DataQuality_Enterprise[Score])*15)+(COUNT(Table_Input_DataQuality_Site[Score])*15)+(COUNT(Table_Input_DataQuality_PastureManagement[Score])*15)+(COUNT(Table_Input_DataQuality_FuelElectricity[Score])*15)+(COUNT(Table_Input_DataQuality_FarmInputsFreightWaste[Score])*15))</f>
        <v>293 out of 465</v>
      </c>
    </row>
  </sheetData>
  <dataValidations count="3">
    <dataValidation type="list" allowBlank="1" showInputMessage="1" showErrorMessage="1" sqref="G18:G23 G45:G48 G8:G12 G55:G59 G29:G39" xr:uid="{97D978E2-EFFF-4D26-AA9B-97907606C063}">
      <formula1>INDIRECT("Table_SourceData_DataQuality_SampleSize[User friendly description]")</formula1>
    </dataValidation>
    <dataValidation type="list" allowBlank="1" showInputMessage="1" showErrorMessage="1" sqref="E18:E23 E45:E48 E8:E12 E55:E59 E29:E39" xr:uid="{6365A925-6C5F-4576-82C6-82C3A3309F18}">
      <formula1>INDIRECT("Table_SourceData_DataQuality_TemporalRepresentativeness[User friendly description]")</formula1>
    </dataValidation>
    <dataValidation type="list" allowBlank="1" showInputMessage="1" showErrorMessage="1" sqref="F18:F23 F45:F48 F8:F12 F55:F59 F29:F39"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4ABDB-D7AF-4CB8-BE3F-228EFC65C701}">
  <sheetPr>
    <tabColor rgb="FF008000"/>
  </sheetPr>
  <dimension ref="A1:S7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508</v>
      </c>
      <c r="K1"/>
    </row>
    <row r="2" spans="1:19" s="3" customFormat="1" ht="20.100000000000001" customHeight="1" x14ac:dyDescent="0.2">
      <c r="A2"/>
      <c r="K2"/>
    </row>
    <row r="3" spans="1:19"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tr" cm="1">
        <f t="array" ref="D5">EntericMethane_Feedlot_Equations.VEERG_3_1_1_1__2_DailyEntericMethaneProduction_Title()</f>
        <v>Daily production of enteric methane</v>
      </c>
    </row>
    <row r="6" spans="1:19" ht="20.100000000000001" customHeight="1" x14ac:dyDescent="0.2">
      <c r="D6" s="17" t="str" cm="1">
        <f t="array" ref="D6">EntericMethane_Feedlot_Equations.VEERG_3_1_1_1__2_DailyEntericMethaneProduction_Source()</f>
        <v>VEERG 2026: 3.1.1.1, Equation (2)</v>
      </c>
    </row>
    <row r="7" spans="1:19" ht="20.100000000000001" customHeight="1" x14ac:dyDescent="0.2">
      <c r="D7" s="112" t="s">
        <v>321</v>
      </c>
      <c r="E7" s="112" t="str" cm="1">
        <f t="array" aca="1" ref="E7" ca="1">Common_InputFunctions.Utility_DisplayFunctionName(D35)</f>
        <v>=EntericMethane_Feedlot_Equations.VEERG_3_1_1_1__2_DailyEntericMethaneProduction</v>
      </c>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5" t="s">
        <v>322</v>
      </c>
      <c r="E10" s="1" t="str" cm="1">
        <f t="array" ref="E10">EntericMethane_Feedlot_Equations.VEERG_3_1_1_1__2_DailyEntericMethaneProduction_Variable()</f>
        <v>M_j</v>
      </c>
    </row>
    <row r="11" spans="1:19" ht="20.100000000000001" customHeight="1" x14ac:dyDescent="0.2">
      <c r="A11" s="5" t="str">
        <f>HYPERLINK("#'Input - Feedlot'!A1", "Feedlot")</f>
        <v>Feedlot</v>
      </c>
      <c r="D11" s="75" t="s">
        <v>118</v>
      </c>
      <c r="E11" s="9" t="str" cm="1">
        <f t="array" ref="E11">EntericMethane_Feedlot_Equations.VEERG_3_1_1_1__2_DailyEntericMethaneProduction_Unit()</f>
        <v>kg CH4/head/day</v>
      </c>
    </row>
    <row r="12" spans="1:19" ht="20.100000000000001" customHeight="1" x14ac:dyDescent="0.2">
      <c r="A12" s="5" t="str">
        <f>HYPERLINK("#'Input - Livestock sales'!A1", "Livestock sales")</f>
        <v>Livestock sales</v>
      </c>
    </row>
    <row r="13" spans="1:19" ht="20.100000000000001" customHeight="1" x14ac:dyDescent="0.2">
      <c r="A13" s="5" t="str">
        <f>HYPERLINK("#'Input - Beef cattle purchases'!A1", "Beef cattle purchases")</f>
        <v>Beef cattle purchases</v>
      </c>
      <c r="D13" s="113" t="str" cm="1">
        <f t="array" ref="D13:E15">_xlfn.CHOOSECOLS(EntericMethane_Feedlot_Equations.VEERG_3_1_1_1__2_DailyEntericMethaneProduction_Arguments(),1,2)</f>
        <v>I_j</v>
      </c>
      <c r="E13" s="121" t="str">
        <v>dry matter intake</v>
      </c>
      <c r="F13" s="122"/>
      <c r="G13" s="113" t="str" cm="1">
        <f t="array" ref="G13:H15">_xlfn.CHOOSECOLS(EntericMethane_Feedlot_Equations.VEERG_3_1_1_1__2_DailyEntericMethaneProduction_Arguments(),3,4)</f>
        <v>kg DM/head/day</v>
      </c>
      <c r="H13" s="114" t="str">
        <v>Input</v>
      </c>
      <c r="I13" s="116" t="str" cm="1">
        <f t="array" aca="1" ref="I13" ca="1">HYPERLINK(Common_InputFunctions.Utility_SourceHyperlink($D$17),$D$17)</f>
        <v>M1_Table_I_j</v>
      </c>
    </row>
    <row r="14" spans="1:19" ht="20.100000000000001" customHeight="1" x14ac:dyDescent="0.2">
      <c r="A14" s="5" t="str">
        <f>HYPERLINK("#'Input - Fuel'!A1", "Fuel")</f>
        <v>Fuel</v>
      </c>
      <c r="D14" s="113" t="str">
        <v>EE_j</v>
      </c>
      <c r="E14" s="121" t="str">
        <v>ether extract as a percentage of I_j</v>
      </c>
      <c r="F14" s="122"/>
      <c r="G14" s="113" t="str">
        <v>per cent</v>
      </c>
      <c r="H14" s="114" t="str">
        <v>Input</v>
      </c>
      <c r="I14" s="116" t="str" cm="1">
        <f t="array" aca="1" ref="I14" ca="1">HYPERLINK(Common_InputFunctions.Utility_SourceHyperlink($D$22),$D$22)</f>
        <v>M1_Table_EE_j</v>
      </c>
    </row>
    <row r="15" spans="1:19" ht="20.100000000000001" customHeight="1" x14ac:dyDescent="0.2">
      <c r="A15" s="5" t="str">
        <f>HYPERLINK("#'Input - Electricity'!A1", "Electricity")</f>
        <v>Electricity</v>
      </c>
      <c r="D15" s="113" t="str">
        <v>NDF_j</v>
      </c>
      <c r="E15" s="121" t="str">
        <v>neutral detergent fibre as a percentage of I_j</v>
      </c>
      <c r="F15" s="122"/>
      <c r="G15" s="113" t="str">
        <v>per cent</v>
      </c>
      <c r="H15" s="114" t="str">
        <v>Input</v>
      </c>
      <c r="I15" s="116" t="str" cm="1">
        <f t="array" aca="1" ref="I15" ca="1">HYPERLINK(Common_InputFunctions.Utility_SourceHyperlink($D$27),$D$27)</f>
        <v>M1_Table_NDF_j</v>
      </c>
    </row>
    <row r="16" spans="1:19" ht="20.100000000000001" customHeight="1" x14ac:dyDescent="0.2">
      <c r="A16" s="5" t="str">
        <f>HYPERLINK("#'Input - Common farm inputs'!A1", "Common farm inputs")</f>
        <v>Common farm inputs</v>
      </c>
    </row>
    <row r="17" spans="1:16" ht="20.100000000000001" customHeight="1" x14ac:dyDescent="0.2">
      <c r="A17" s="5" t="str">
        <f>HYPERLINK("#'Input - Livestock farm Inputs'!A1", "Livestock farm Inputs")</f>
        <v>Livestock farm Inputs</v>
      </c>
      <c r="D17" s="118" t="s">
        <v>323</v>
      </c>
      <c r="M17" s="118" t="s">
        <v>324</v>
      </c>
    </row>
    <row r="18" spans="1:16" ht="20.100000000000001" customHeight="1" x14ac:dyDescent="0.2">
      <c r="A18" s="5" t="str">
        <f>HYPERLINK("#'Input - Freight'!A1", "Freight")</f>
        <v>Freight</v>
      </c>
      <c r="D18" s="119" t="s">
        <v>325</v>
      </c>
      <c r="M18" s="119" t="s">
        <v>326</v>
      </c>
    </row>
    <row r="19" spans="1:16" ht="20.100000000000001" customHeight="1" x14ac:dyDescent="0.2">
      <c r="A19" s="5" t="str">
        <f>HYPERLINK("#'Input - Solid waste'!A1", "Solid waste")</f>
        <v>Solid waste</v>
      </c>
      <c r="D19" s="78" t="s">
        <v>289</v>
      </c>
      <c r="E19" s="78" t="s">
        <v>290</v>
      </c>
      <c r="F19" s="78" t="s">
        <v>291</v>
      </c>
      <c r="M19" s="78" t="s">
        <v>289</v>
      </c>
      <c r="N19" s="78" t="s">
        <v>290</v>
      </c>
      <c r="O19" s="78" t="s">
        <v>291</v>
      </c>
    </row>
    <row r="20" spans="1:16" ht="20.100000000000001" customHeight="1" x14ac:dyDescent="0.2">
      <c r="A20" s="5" t="str">
        <f>HYPERLINK("#'Input - Manure sent off-site'!A1", "Manure sent off-site")</f>
        <v>Manure sent off-site</v>
      </c>
      <c r="D20" s="15" cm="1">
        <f t="array" aca="1" ref="D20:F20" ca="1">OFFSET(X_Table_Feedlot_Intake_Method1, 1,1, 1,3)</f>
        <v>10.4</v>
      </c>
      <c r="E20" s="15">
        <f ca="1"/>
        <v>10.8</v>
      </c>
      <c r="F20" s="15">
        <f ca="1"/>
        <v>8.1999999999999993</v>
      </c>
      <c r="G20" s="16" t="str">
        <f>$G$13</f>
        <v>kg DM/head/day</v>
      </c>
      <c r="M20" s="15" cm="1">
        <f t="array" aca="1" ref="M20:O20" ca="1">OFFSET(X_Table_Feedlot_Intake_Method2, 1,1, 1,3)</f>
        <v>10.4</v>
      </c>
      <c r="N20" s="15">
        <f ca="1"/>
        <v>10.8</v>
      </c>
      <c r="O20" s="15">
        <f ca="1"/>
        <v>8.1999999999999993</v>
      </c>
      <c r="P20" s="16" t="str">
        <f>$G$13</f>
        <v>kg DM/head/day</v>
      </c>
    </row>
    <row r="21" spans="1:16" ht="20.100000000000001" customHeight="1" x14ac:dyDescent="0.2">
      <c r="A21" s="5" t="str">
        <f>HYPERLINK("#'Input - Data quality'!A1", "Data quality")</f>
        <v>Data quality</v>
      </c>
    </row>
    <row r="22" spans="1:16" ht="20.100000000000001" customHeight="1" x14ac:dyDescent="0.2">
      <c r="A22" s="5" t="str">
        <f>HYPERLINK("#'Input - Fert Prod System'!A1", "Fert Prod System")</f>
        <v>Fert Prod System</v>
      </c>
      <c r="D22" s="118" t="s">
        <v>509</v>
      </c>
      <c r="M22" s="118" t="s">
        <v>510</v>
      </c>
    </row>
    <row r="23" spans="1:16" ht="20.100000000000001" customHeight="1" x14ac:dyDescent="0.2">
      <c r="A23" s="5" t="str">
        <f>HYPERLINK("#'Input - Fertiliser'!A1", "Fertiliser")</f>
        <v>Fertiliser</v>
      </c>
      <c r="D23" s="119" t="s">
        <v>511</v>
      </c>
      <c r="M23" s="119" t="s">
        <v>512</v>
      </c>
    </row>
    <row r="24" spans="1:16" ht="20.100000000000001" customHeight="1" x14ac:dyDescent="0.2">
      <c r="D24" s="78" t="s">
        <v>289</v>
      </c>
      <c r="E24" s="78" t="s">
        <v>290</v>
      </c>
      <c r="F24" s="78" t="s">
        <v>291</v>
      </c>
      <c r="M24" s="78" t="s">
        <v>289</v>
      </c>
      <c r="N24" s="78" t="s">
        <v>290</v>
      </c>
      <c r="O24" s="78" t="s">
        <v>291</v>
      </c>
    </row>
    <row r="25" spans="1:16" ht="20.100000000000001" customHeight="1" x14ac:dyDescent="0.2">
      <c r="D25" s="15" cm="1">
        <f t="array" aca="1" ref="D25:F25" ca="1">OFFSET(X_Table_Feedlot_Intake_Method1, 2,1, 1,3)</f>
        <v>4.8</v>
      </c>
      <c r="E25" s="15">
        <f ca="1"/>
        <v>5</v>
      </c>
      <c r="F25" s="15">
        <f ca="1"/>
        <v>5.5</v>
      </c>
      <c r="G25" s="16" t="str">
        <f>$G$14</f>
        <v>per cent</v>
      </c>
      <c r="M25" s="15" cm="1">
        <f t="array" aca="1" ref="M25:O25" ca="1">OFFSET(X_Table_Feedlot_Intake_Method2, 2,1, 1,3)</f>
        <v>4.8</v>
      </c>
      <c r="N25" s="15">
        <f ca="1"/>
        <v>5</v>
      </c>
      <c r="O25" s="15">
        <f ca="1"/>
        <v>5.5</v>
      </c>
      <c r="P25" s="16" t="str">
        <f>$G$14</f>
        <v>per cent</v>
      </c>
    </row>
    <row r="26" spans="1:16" ht="20.100000000000001" customHeight="1" x14ac:dyDescent="0.2">
      <c r="A26" s="6" t="s">
        <v>2</v>
      </c>
    </row>
    <row r="27" spans="1:16" ht="20.100000000000001" customHeight="1" x14ac:dyDescent="0.2">
      <c r="A27" s="117" t="str">
        <f>HYPERLINK("#'3.1.1.1-2 Enteric Methane'!A1", "3.1.1.1-2 Enteric Methane")</f>
        <v>3.1.1.1-2 Enteric Methane</v>
      </c>
      <c r="D27" s="118" t="s">
        <v>513</v>
      </c>
      <c r="M27" s="118" t="s">
        <v>514</v>
      </c>
    </row>
    <row r="28" spans="1:16" ht="20.100000000000001" customHeight="1" x14ac:dyDescent="0.2">
      <c r="A28" s="5" t="str">
        <f>HYPERLINK("#'4.1.1.1-2 Methane'!A1", "4.1.1.1-2 Manure Methane")</f>
        <v>4.1.1.1-2 Manure Methane</v>
      </c>
      <c r="D28" s="119" t="s">
        <v>515</v>
      </c>
      <c r="M28" s="119" t="s">
        <v>516</v>
      </c>
    </row>
    <row r="29" spans="1:16" ht="20.100000000000001" customHeight="1" x14ac:dyDescent="0.2">
      <c r="A29" s="5" t="str">
        <f>HYPERLINK("#'4.1.1.3-4 Direct N20'!A1", "4.1.1.3-4 Manure Direct N2O")</f>
        <v>4.1.1.3-4 Manure Direct N2O</v>
      </c>
      <c r="D29" s="78" t="s">
        <v>289</v>
      </c>
      <c r="E29" s="78" t="s">
        <v>290</v>
      </c>
      <c r="F29" s="78" t="s">
        <v>291</v>
      </c>
      <c r="M29" s="78" t="s">
        <v>289</v>
      </c>
      <c r="N29" s="78" t="s">
        <v>290</v>
      </c>
      <c r="O29" s="78" t="s">
        <v>291</v>
      </c>
    </row>
    <row r="30" spans="1:16" ht="20.100000000000001" customHeight="1" x14ac:dyDescent="0.2">
      <c r="A30" s="5" t="str">
        <f>HYPERLINK("#'4.1.1.5-6 Atmos Deposition'!A1", "4.1.1.5-6 Manure Atmos Dep")</f>
        <v>4.1.1.5-6 Manure Atmos Dep</v>
      </c>
      <c r="D30" s="15" cm="1">
        <f t="array" aca="1" ref="D30:F30" ca="1">OFFSET(X_Table_Feedlot_Intake_Method1, 3,1, 1,3)</f>
        <v>22</v>
      </c>
      <c r="E30" s="15">
        <f ca="1"/>
        <v>22</v>
      </c>
      <c r="F30" s="15">
        <f ca="1"/>
        <v>24</v>
      </c>
      <c r="G30" s="16" t="str">
        <f>$G$15</f>
        <v>per cent</v>
      </c>
      <c r="M30" s="15" cm="1">
        <f t="array" aca="1" ref="M30:O30" ca="1">OFFSET(X_Table_Feedlot_Intake_Method2, 3,1, 1,3)</f>
        <v>22</v>
      </c>
      <c r="N30" s="15">
        <f ca="1"/>
        <v>22</v>
      </c>
      <c r="O30" s="15">
        <f ca="1"/>
        <v>24</v>
      </c>
      <c r="P30" s="16" t="str">
        <f>$G$15</f>
        <v>per cent</v>
      </c>
    </row>
    <row r="31" spans="1:16" ht="20.100000000000001" customHeight="1" x14ac:dyDescent="0.2">
      <c r="A31" s="5" t="str">
        <f>HYPERLINK("#'4.1.1.9 Manure applied to soils'!A1", "4.1.1.9 Manure applied to soils")</f>
        <v>4.1.1.9 Manure applied to soils</v>
      </c>
    </row>
    <row r="32" spans="1:16" ht="20.100000000000001" customHeight="1" x14ac:dyDescent="0.2">
      <c r="A32" s="5" t="str">
        <f>HYPERLINK("#'8.1.1.1-2 Transport fuel'!A1", "8.1.1.1-2 Transport fuel")</f>
        <v>8.1.1.1-2 Transport fuel</v>
      </c>
      <c r="D32" s="118" t="s">
        <v>517</v>
      </c>
      <c r="M32" s="118" t="s">
        <v>518</v>
      </c>
    </row>
    <row r="33" spans="1:18" ht="20.100000000000001" customHeight="1" x14ac:dyDescent="0.2">
      <c r="A33" s="5" t="str">
        <f>HYPERLINK("#'8.2.1.1-2 Stationary fuel'!A1", "8.2.1.1-2 Stationary fuel")</f>
        <v>8.2.1.1-2 Stationary fuel</v>
      </c>
      <c r="D33" s="119" t="s">
        <v>519</v>
      </c>
      <c r="M33" s="119" t="s">
        <v>520</v>
      </c>
    </row>
    <row r="34" spans="1:18" ht="20.100000000000001" customHeight="1" x14ac:dyDescent="0.2">
      <c r="A34" s="5" t="str">
        <f>HYPERLINK("#'10.1.1-2 Solid waste treatment'!A1", "10.1.1.1-2 Solid waste")</f>
        <v>10.1.1.1-2 Solid waste</v>
      </c>
      <c r="D34" s="120" t="s">
        <v>289</v>
      </c>
      <c r="E34" s="120" t="s">
        <v>290</v>
      </c>
      <c r="F34" s="120" t="s">
        <v>291</v>
      </c>
      <c r="M34" s="120" t="s">
        <v>289</v>
      </c>
      <c r="N34" s="120" t="s">
        <v>290</v>
      </c>
      <c r="O34" s="120" t="s">
        <v>291</v>
      </c>
    </row>
    <row r="35" spans="1:18" ht="20.100000000000001" customHeight="1" x14ac:dyDescent="0.2">
      <c r="A35" s="5" t="str">
        <f>HYPERLINK("#'14.1.1-2 Purchased electricity'!A1", "14.1.1-2 Purchased electricity")</f>
        <v>14.1.1-2 Purchased electricity</v>
      </c>
      <c r="D35" s="15" cm="1">
        <f t="array" aca="1" ref="D35" ca="1">EntericMethane_Feedlot_Equations.VEERG_3_1_1_1__2_DailyEntericMethaneProduction(D20,D25,D30)</f>
        <v>8.3664000000000002E-2</v>
      </c>
      <c r="E35" s="15" cm="1">
        <f t="array" aca="1" ref="E35" ca="1">EntericMethane_Feedlot_Equations.VEERG_3_1_1_1__2_DailyEntericMethaneProduction(E20,E25,E30)</f>
        <v>8.4908000000000011E-2</v>
      </c>
      <c r="F35" s="15" cm="1">
        <f t="array" aca="1" ref="F35" ca="1">EntericMethane_Feedlot_Equations.VEERG_3_1_1_1__2_DailyEntericMethaneProduction(F20,F25,F30)</f>
        <v>7.4142E-2</v>
      </c>
      <c r="G35" s="16" t="str">
        <f>$E$11</f>
        <v>kg CH4/head/day</v>
      </c>
      <c r="M35" s="15" cm="1">
        <f t="array" aca="1" ref="M35" ca="1">EntericMethane_Feedlot_Equations.VEERG_3_1_1_1__2_DailyEntericMethaneProduction(M20,M25,M30)</f>
        <v>8.3664000000000002E-2</v>
      </c>
      <c r="N35" s="15" cm="1">
        <f t="array" aca="1" ref="N35" ca="1">EntericMethane_Feedlot_Equations.VEERG_3_1_1_1__2_DailyEntericMethaneProduction(N20,N25,N30)</f>
        <v>8.4908000000000011E-2</v>
      </c>
      <c r="O35" s="15" cm="1">
        <f t="array" aca="1" ref="O35" ca="1">EntericMethane_Feedlot_Equations.VEERG_3_1_1_1__2_DailyEntericMethaneProduction(O20,O25,O30)</f>
        <v>7.4142E-2</v>
      </c>
      <c r="P35" s="16" t="str">
        <f>$E$11</f>
        <v>kg CH4/head/day</v>
      </c>
    </row>
    <row r="36" spans="1:18" ht="20.100000000000001" customHeight="1" x14ac:dyDescent="0.2">
      <c r="A36" s="5" t="str">
        <f>HYPERLINK("#'15 Scope 3'!A1", "15 Scope 3")</f>
        <v>15 Scope 3</v>
      </c>
    </row>
    <row r="37" spans="1:18" ht="20.100000000000001" customHeight="1" x14ac:dyDescent="0.2">
      <c r="A37" s="5" t="str">
        <f>HYPERLINK("#'Calcs - Manure sent off-site'!A1", "Calcs - Manure sent off-site")</f>
        <v>Calcs - Manure sent off-site</v>
      </c>
    </row>
    <row r="38" spans="1:18" ht="20.100000000000001" customHeight="1" x14ac:dyDescent="0.2">
      <c r="A38" s="5" t="str">
        <f>HYPERLINK("#'5.1.1.1-2 Inorganic fert N2O'!A1", "5.1.1.1-2 Inorganic fert N2O")</f>
        <v>5.1.1.1-2 Inorganic fert N2O</v>
      </c>
      <c r="C38" s="83"/>
      <c r="D38" s="83"/>
      <c r="E38" s="83"/>
      <c r="F38" s="83"/>
      <c r="G38" s="83"/>
      <c r="H38" s="83"/>
      <c r="I38" s="83"/>
      <c r="J38" s="83"/>
      <c r="L38" s="83"/>
      <c r="M38" s="83"/>
      <c r="N38" s="83"/>
      <c r="O38" s="83"/>
      <c r="P38" s="83"/>
      <c r="Q38" s="83"/>
      <c r="R38" s="83"/>
    </row>
    <row r="39" spans="1:18" ht="20.100000000000001" customHeight="1" x14ac:dyDescent="0.2">
      <c r="A39" s="5" t="str">
        <f>HYPERLINK("#'5.1.1.3-4 Inorganic fert CO2'!A1", "5.1.1.3-4 Inorganic fert CO2")</f>
        <v>5.1.1.3-4 Inorganic fert CO2</v>
      </c>
      <c r="D39" s="2" t="str" cm="1">
        <f t="array" ref="D39">EntericMethane_Feedlot_Equations.VEERG_3_1_1_1__1_TotalAnnualMethaneFromEntericFermentation_Title()</f>
        <v>Total annual methane production from enteric fermentation in feedlot beef cattle</v>
      </c>
    </row>
    <row r="40" spans="1:18" ht="20.100000000000001" customHeight="1" x14ac:dyDescent="0.2">
      <c r="A40" s="5" t="str">
        <f>HYPERLINK("#'5.2.1.1-2 Organic Fert N2O'!A1", "5.2.1.1-2 Organic Fert N2O")</f>
        <v>5.2.1.1-2 Organic Fert N2O</v>
      </c>
      <c r="D40" s="17" t="str" cm="1">
        <f t="array" ref="D40">EntericMethane_Feedlot_Equations.VEERG_3_1_1_1__1_TotalAnnualMethaneFromEntericFermentation_Source()</f>
        <v>VEERG 2026: 3.1.1.1, Equation (1)</v>
      </c>
    </row>
    <row r="41" spans="1:18" ht="20.100000000000001" customHeight="1" x14ac:dyDescent="0.2">
      <c r="A41" s="5" t="str">
        <f>HYPERLINK("#'5.3.1.1-2 Lime CO2'!A1", "5.3.1.1-2 Lime CO2")</f>
        <v>5.3.1.1-2 Lime CO2</v>
      </c>
      <c r="D41" s="112" t="s">
        <v>321</v>
      </c>
      <c r="E41" s="112" t="str" cm="1">
        <f t="array" aca="1" ref="E41" ca="1">Common_InputFunctions.Utility_DisplayFunctionName(D65)</f>
        <v>=EntericMethane_Feedlot_Equations.VEERG_3_1_1_1__1_TotalAnnualMethaneFromEntericFermentation</v>
      </c>
    </row>
    <row r="42" spans="1:18" ht="20.100000000000001" customHeight="1" x14ac:dyDescent="0.2">
      <c r="A42" s="5" t="str">
        <f>HYPERLINK("#'5.4.1.1-4 Atmos deposition'!A1", "5.4.1.1-4 Atmos deposition")</f>
        <v>5.4.1.1-4 Atmos deposition</v>
      </c>
    </row>
    <row r="43" spans="1:18" ht="20.100000000000001" customHeight="1" x14ac:dyDescent="0.2">
      <c r="A43" s="5" t="str">
        <f>HYPERLINK("#'5.5.1.1-2 Leaching and runoff'!A1", "5.5.1.1-2 Leaching and runoff")</f>
        <v>5.5.1.1-2 Leaching and runoff</v>
      </c>
      <c r="D43" s="2"/>
    </row>
    <row r="45" spans="1:18" ht="20.100000000000001" customHeight="1" x14ac:dyDescent="0.2">
      <c r="D45" s="75" t="s">
        <v>322</v>
      </c>
      <c r="E45" s="1" t="str" cm="1">
        <f t="array" ref="E45">EntericMethane_Feedlot_Equations.VEERG_3_1_1_1__1_TotalAnnualMethaneFromEntericFermentation_Variable()</f>
        <v>E_enteric</v>
      </c>
    </row>
    <row r="46" spans="1:18" ht="20.100000000000001" customHeight="1" x14ac:dyDescent="0.2">
      <c r="A46" s="80" t="s">
        <v>1</v>
      </c>
      <c r="D46" s="75" t="s">
        <v>118</v>
      </c>
      <c r="E46" s="9" t="str" cm="1">
        <f t="array" ref="E46">EntericMethane_Feedlot_Equations.VEERG_3_1_1_1__1_TotalAnnualMethaneFromEntericFermentation_Unit()</f>
        <v>t CH4</v>
      </c>
    </row>
    <row r="47" spans="1:18" ht="20.100000000000001" customHeight="1" x14ac:dyDescent="0.2">
      <c r="A47" s="5" t="str">
        <f>HYPERLINK("#'Constants - Feedlot'!A1", "Constants - Feedlot")</f>
        <v>Constants - Feedlot</v>
      </c>
    </row>
    <row r="48" spans="1:18" ht="20.100000000000001" customHeight="1" x14ac:dyDescent="0.2">
      <c r="A48" s="5" t="str">
        <f>HYPERLINK("#'Constants - Common livestock'!A1", "Constants - Common Livestock")</f>
        <v>Constants - Common Livestock</v>
      </c>
      <c r="D48" s="113" t="str" cm="1">
        <f t="array" ref="D48:E50">_xlfn.CHOOSECOLS(EntericMethane_Feedlot_Equations.VEERG_3_1_1_1__1_TotalAnnualMethaneFromEntericFermentation_Arguments(),1,2)</f>
        <v>D_j</v>
      </c>
      <c r="E48" s="121" t="str">
        <v>duration of stay of each cattle lot</v>
      </c>
      <c r="F48" s="122"/>
      <c r="G48" s="113" t="str" cm="1">
        <f t="array" ref="G48:H50">_xlfn.CHOOSECOLS(EntericMethane_Feedlot_Equations.VEERG_3_1_1_1__1_TotalAnnualMethaneFromEntericFermentation_Arguments(),3,4)</f>
        <v>days</v>
      </c>
      <c r="H48" s="114" t="str">
        <v>Input</v>
      </c>
      <c r="I48" s="116" t="str" cm="1">
        <f t="array" aca="1" ref="I48" ca="1">HYPERLINK(Common_InputFunctions.Utility_SourceHyperlink($D$52),$D$52)</f>
        <v>Table_D_j</v>
      </c>
    </row>
    <row r="49" spans="1:15" ht="20.100000000000001" customHeight="1" x14ac:dyDescent="0.2">
      <c r="A49" s="5" t="str">
        <f>HYPERLINK("#'Constants - Electricity'!A1", "Constants - Electricity")</f>
        <v>Constants - Electricity</v>
      </c>
      <c r="D49" s="113" t="str">
        <v>M_j</v>
      </c>
      <c r="E49" s="121" t="str">
        <v>daily methane production</v>
      </c>
      <c r="F49" s="122"/>
      <c r="G49" s="113" t="str">
        <v>kg CH4/head/day</v>
      </c>
      <c r="H49" s="115" t="str">
        <v>Calculated from 3.1.1.1, (2)</v>
      </c>
      <c r="I49" s="116" t="str" cm="1">
        <f t="array" aca="1" ref="I49" ca="1">HYPERLINK(Common_InputFunctions.Utility_SourceHyperlink($D$32),$D$32)</f>
        <v>M1_Table_M_j</v>
      </c>
    </row>
    <row r="50" spans="1:15" ht="20.100000000000001" customHeight="1" x14ac:dyDescent="0.2">
      <c r="A50" s="5" t="str">
        <f>HYPERLINK("#'Constants - Fertiliser'!A1", "Constants - Fertiliser")</f>
        <v>Constants - Fertiliser</v>
      </c>
      <c r="D50" s="113" t="str">
        <v>N_j</v>
      </c>
      <c r="E50" s="121" t="str">
        <v>numbers of feedlot cattle in each cattle lot</v>
      </c>
      <c r="F50" s="122"/>
      <c r="G50" s="113" t="str">
        <v>head</v>
      </c>
      <c r="H50" s="114" t="str">
        <v>Input</v>
      </c>
      <c r="I50" s="116" t="str" cm="1">
        <f t="array" aca="1" ref="I50" ca="1">HYPERLINK(Common_InputFunctions.Utility_SourceHyperlink($D$57),$D$57)</f>
        <v>Table_N_j</v>
      </c>
    </row>
    <row r="51" spans="1:15" ht="20.100000000000001" customHeight="1" x14ac:dyDescent="0.2">
      <c r="A51" s="5" t="str">
        <f>HYPERLINK("#'Constants - Fuel'!A1", "Constants - Fuel")</f>
        <v>Constants - Fuel</v>
      </c>
    </row>
    <row r="52" spans="1:15" ht="20.100000000000001" customHeight="1" x14ac:dyDescent="0.2">
      <c r="A52" s="5" t="str">
        <f>HYPERLINK("#'Constants - Scope 3'!A1", "Constants - Scope 3")</f>
        <v>Constants - Scope 3</v>
      </c>
      <c r="D52" s="118" t="s">
        <v>361</v>
      </c>
    </row>
    <row r="53" spans="1:15" ht="20.100000000000001" customHeight="1" x14ac:dyDescent="0.2">
      <c r="A53" s="5" t="str">
        <f>HYPERLINK("#'Constants - Solid Waste'!A1", "Constants - Solid Waste")</f>
        <v>Constants - Solid Waste</v>
      </c>
      <c r="D53" s="119" t="s">
        <v>362</v>
      </c>
    </row>
    <row r="54" spans="1:15" ht="20.100000000000001" customHeight="1" x14ac:dyDescent="0.2">
      <c r="A54" s="5" t="str">
        <f>HYPERLINK("#'Constants - Common'!A1", "Constants - Common")</f>
        <v>Constants - Common</v>
      </c>
      <c r="D54" s="78" t="s">
        <v>289</v>
      </c>
      <c r="E54" s="78" t="s">
        <v>290</v>
      </c>
      <c r="F54" s="78" t="s">
        <v>291</v>
      </c>
    </row>
    <row r="55" spans="1:15" ht="20.100000000000001" customHeight="1" x14ac:dyDescent="0.2">
      <c r="A55" s="5" t="str">
        <f>HYPERLINK("#'Acknowledgements'!A1", "Acknowledgements")</f>
        <v>Acknowledgements</v>
      </c>
      <c r="D55" s="125" cm="1">
        <f t="array" aca="1" ref="D55:F55" ca="1">OFFSET(X_Table_Feedlot_HerdMovement, 2, 1, 1, 3)</f>
        <v>90</v>
      </c>
      <c r="E55" s="125">
        <f ca="1"/>
        <v>140</v>
      </c>
      <c r="F55" s="125">
        <f ca="1"/>
        <v>250</v>
      </c>
      <c r="G55" s="16" t="str">
        <f>G48</f>
        <v>days</v>
      </c>
    </row>
    <row r="57" spans="1:15" ht="20.100000000000001" customHeight="1" x14ac:dyDescent="0.2">
      <c r="D57" s="118" t="s">
        <v>369</v>
      </c>
    </row>
    <row r="58" spans="1:15" ht="20.100000000000001" customHeight="1" x14ac:dyDescent="0.2">
      <c r="D58" s="119" t="s">
        <v>370</v>
      </c>
    </row>
    <row r="59" spans="1:15" ht="20.100000000000001" customHeight="1" x14ac:dyDescent="0.2">
      <c r="D59" s="78" t="s">
        <v>289</v>
      </c>
      <c r="E59" s="78" t="s">
        <v>290</v>
      </c>
      <c r="F59" s="78" t="s">
        <v>291</v>
      </c>
    </row>
    <row r="60" spans="1:15" ht="20.100000000000001" customHeight="1" x14ac:dyDescent="0.2">
      <c r="D60" s="125" cm="1">
        <f t="array" aca="1" ref="D60:F60" ca="1">OFFSET(X_Table_Feedlot_HerdMovement, 1, 1, 1, 3)</f>
        <v>1000</v>
      </c>
      <c r="E60" s="125">
        <f ca="1"/>
        <v>1000</v>
      </c>
      <c r="F60" s="125">
        <f ca="1"/>
        <v>1000</v>
      </c>
      <c r="G60" s="16" t="str">
        <f>G50</f>
        <v>head</v>
      </c>
    </row>
    <row r="62" spans="1:15" ht="20.100000000000001" customHeight="1" x14ac:dyDescent="0.2">
      <c r="D62" s="118" t="s">
        <v>521</v>
      </c>
      <c r="M62" s="118" t="s">
        <v>522</v>
      </c>
    </row>
    <row r="63" spans="1:15" ht="20.100000000000001" customHeight="1" x14ac:dyDescent="0.2">
      <c r="D63" s="119" t="s">
        <v>523</v>
      </c>
      <c r="M63" s="119" t="s">
        <v>524</v>
      </c>
    </row>
    <row r="64" spans="1:15" ht="20.100000000000001" customHeight="1" x14ac:dyDescent="0.2">
      <c r="D64" s="120" t="s">
        <v>289</v>
      </c>
      <c r="E64" s="120" t="s">
        <v>290</v>
      </c>
      <c r="F64" s="120" t="s">
        <v>291</v>
      </c>
      <c r="M64" s="120" t="s">
        <v>289</v>
      </c>
      <c r="N64" s="120" t="s">
        <v>290</v>
      </c>
      <c r="O64" s="120" t="s">
        <v>291</v>
      </c>
    </row>
    <row r="65" spans="1:17" ht="20.100000000000001" customHeight="1" x14ac:dyDescent="0.2">
      <c r="D65" s="15" cm="1">
        <f t="array" aca="1" ref="D65" ca="1">EntericMethane_Feedlot_Equations.VEERG_3_1_1_1__1_TotalAnnualMethaneFromEntericFermentation(D55,D35,D60)</f>
        <v>7.5297600000000005</v>
      </c>
      <c r="E65" s="15" cm="1">
        <f t="array" aca="1" ref="E65" ca="1">EntericMethane_Feedlot_Equations.VEERG_3_1_1_1__1_TotalAnnualMethaneFromEntericFermentation(E55,E35,E60)</f>
        <v>11.887120000000001</v>
      </c>
      <c r="F65" s="15" cm="1">
        <f t="array" aca="1" ref="F65" ca="1">EntericMethane_Feedlot_Equations.VEERG_3_1_1_1__1_TotalAnnualMethaneFromEntericFermentation(F55,F35,F60)</f>
        <v>18.535499999999999</v>
      </c>
      <c r="G65" s="16" t="str">
        <f>$E$46</f>
        <v>t CH4</v>
      </c>
      <c r="M65" s="15" cm="1">
        <f t="array" aca="1" ref="M65" ca="1">EntericMethane_Feedlot_Equations.VEERG_3_1_1_1__1_TotalAnnualMethaneFromEntericFermentation(D55,M35,D60)</f>
        <v>7.5297600000000005</v>
      </c>
      <c r="N65" s="15" cm="1">
        <f t="array" aca="1" ref="N65" ca="1">EntericMethane_Feedlot_Equations.VEERG_3_1_1_1__1_TotalAnnualMethaneFromEntericFermentation(E55,N35,E60)</f>
        <v>11.887120000000001</v>
      </c>
      <c r="O65" s="15" cm="1">
        <f t="array" aca="1" ref="O65" ca="1">EntericMethane_Feedlot_Equations.VEERG_3_1_1_1__1_TotalAnnualMethaneFromEntericFermentation(F55,O35,F60)</f>
        <v>18.535499999999999</v>
      </c>
      <c r="P65" s="16" t="str">
        <f>$E$46</f>
        <v>t CH4</v>
      </c>
    </row>
    <row r="66" spans="1:17" ht="20.100000000000001" customHeight="1" x14ac:dyDescent="0.2">
      <c r="A66" s="79" t="str">
        <f>HYPERLINK("#A1", "▲ Back to top")</f>
        <v>▲ Back to top</v>
      </c>
    </row>
    <row r="67" spans="1:17" ht="20.100000000000001" customHeight="1" x14ac:dyDescent="0.2">
      <c r="D67" s="85" t="s">
        <v>525</v>
      </c>
      <c r="E67" s="86">
        <f ca="1">SUM(D65:F65)</f>
        <v>37.952380000000005</v>
      </c>
      <c r="F67" s="95" t="str">
        <f>$E$46</f>
        <v>t CH4</v>
      </c>
      <c r="M67" s="85" t="s">
        <v>526</v>
      </c>
      <c r="N67" s="86">
        <f ca="1">SUM(M65:O65)</f>
        <v>37.952380000000005</v>
      </c>
      <c r="O67" s="95" t="str">
        <f>$E$46</f>
        <v>t CH4</v>
      </c>
    </row>
    <row r="69" spans="1:17" ht="20.100000000000001" customHeight="1" x14ac:dyDescent="0.2">
      <c r="D69" s="124" t="str" cm="1">
        <f t="array" ref="D69:E70">Common_Equations.Common_ConvertCH4ToCO2e_Arguments()</f>
        <v>ECH4</v>
      </c>
      <c r="E69" s="126" t="str">
        <v>Methane emissions (t CH4)</v>
      </c>
      <c r="F69" s="127"/>
      <c r="G69" s="15">
        <f ca="1">VEERG_3_1_1_1__1_TotalAnnualMethaneFromEntericFermentation_Result_Method1</f>
        <v>37.952380000000005</v>
      </c>
      <c r="H69" s="16" t="str">
        <f>$E$46</f>
        <v>t CH4</v>
      </c>
      <c r="M69" s="124" t="str" cm="1">
        <f t="array" ref="M69:N70">Common_Equations.Common_ConvertCH4ToCO2e_Arguments()</f>
        <v>ECH4</v>
      </c>
      <c r="N69" s="126" t="str">
        <v>Methane emissions (t CH4)</v>
      </c>
      <c r="O69" s="127"/>
      <c r="P69" s="15">
        <f ca="1">N67</f>
        <v>37.952380000000005</v>
      </c>
      <c r="Q69" s="16" t="str">
        <f>$E$46</f>
        <v>t CH4</v>
      </c>
    </row>
    <row r="70" spans="1:17" ht="20.100000000000001" customHeight="1" x14ac:dyDescent="0.2">
      <c r="D70" s="124" t="str">
        <v>GWPCH4</v>
      </c>
      <c r="E70" s="126" t="str">
        <v>Global warming potential for methane (t CO2-e / t CH4)</v>
      </c>
      <c r="F70" s="127"/>
      <c r="G70" s="15">
        <f>Common_InputFunctions.Utility_LookupValueInTableNumber("CH4",Table_GWPData[Gas],Table_GWPData[CO2-e factor])</f>
        <v>28</v>
      </c>
      <c r="M70" s="124" t="str">
        <v>GWPCH4</v>
      </c>
      <c r="N70" s="126" t="str">
        <v>Global warming potential for methane (t CO2-e / t CH4)</v>
      </c>
      <c r="O70" s="127"/>
      <c r="P70" s="15">
        <f>Common_InputFunctions.Utility_LookupValueInTableNumber("CH4",Table_GWPData[Gas],Table_GWPData[CO2-e factor])</f>
        <v>28</v>
      </c>
    </row>
    <row r="72" spans="1:17" ht="20.100000000000001" customHeight="1" x14ac:dyDescent="0.2">
      <c r="D72" s="83" t="s">
        <v>375</v>
      </c>
      <c r="E72" s="83" cm="1">
        <f t="array" aca="1" ref="E72" ca="1">Common_Equations.Common_ConvertCH4ToCO2e(G69,G70)</f>
        <v>1062.6666400000001</v>
      </c>
      <c r="F72" s="89" t="str" cm="1">
        <f t="array" ref="F72">Common_Equations.Common_ConvertN2OToCO2e_Unit()</f>
        <v>t CO2e</v>
      </c>
      <c r="M72" s="83" t="s">
        <v>376</v>
      </c>
      <c r="N72" s="83" cm="1">
        <f t="array" aca="1" ref="N72" ca="1">Common_Equations.Common_ConvertCH4ToCO2e(P69,P70)</f>
        <v>1062.6666400000001</v>
      </c>
      <c r="O72" s="89" t="str" cm="1">
        <f t="array" ref="O72">Common_Equations.Common_ConvertN2OToCO2e_Unit()</f>
        <v>t CO2e</v>
      </c>
    </row>
  </sheetData>
  <dataValidations count="1">
    <dataValidation operator="equal" allowBlank="1" showInputMessage="1" showErrorMessage="1" sqref="E133:G133 E138:G138 N138:P138 D55:F55 D60:F60" xr:uid="{87090C29-A3AF-4920-9874-159E1B8C59F9}"/>
  </dataValidation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3400-DE31-4671-AAED-EAF1CF3228A6}">
  <sheetPr>
    <tabColor rgb="FF008000"/>
  </sheetPr>
  <dimension ref="A1:S176"/>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282</v>
      </c>
    </row>
    <row r="2" spans="1:19" s="3" customFormat="1" ht="20.100000000000001" customHeight="1" x14ac:dyDescent="0.2">
      <c r="A2"/>
    </row>
    <row r="3" spans="1:19"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tr" cm="1">
        <f t="array" ref="D5">MMS_Feedlot_Methane_Equations.VEERG_4_1_1_1__5_VolatileSolidProduction_Title()</f>
        <v>Volatile solid production</v>
      </c>
    </row>
    <row r="6" spans="1:19" ht="20.100000000000001" customHeight="1" x14ac:dyDescent="0.2">
      <c r="D6" s="17" t="str" cm="1">
        <f t="array" ref="D6">MMS_Feedlot_Methane_Equations.VEERG_4_1_1_1__5_VolatileSolidProduction_Source()</f>
        <v>VEERG 2026: 4.1.1.1, Equation (5)</v>
      </c>
    </row>
    <row r="7" spans="1:19" ht="20.100000000000001" customHeight="1" x14ac:dyDescent="0.2">
      <c r="D7" s="112" t="s">
        <v>321</v>
      </c>
      <c r="E7" s="112" t="str" cm="1">
        <f t="array" aca="1" ref="E7" ca="1">Common_InputFunctions.Utility_DisplayFunctionName(D30)</f>
        <v>=MMS_Feedlot_Methane_Equations.VEERG_4_1_1_1__5_VolatileSolidProduction</v>
      </c>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5" t="s">
        <v>322</v>
      </c>
      <c r="E10" s="1" t="str" cm="1">
        <f t="array" ref="E10">MMS_Feedlot_Methane_Equations.VEERG_4_1_1_1__5_VolatileSolidProduction_Variable()</f>
        <v>VS_j</v>
      </c>
    </row>
    <row r="11" spans="1:19" ht="20.100000000000001" customHeight="1" x14ac:dyDescent="0.2">
      <c r="A11" s="5" t="str">
        <f>HYPERLINK("#'Input - Feedlot'!A1", "Feedlot")</f>
        <v>Feedlot</v>
      </c>
      <c r="D11" s="75" t="s">
        <v>118</v>
      </c>
      <c r="E11" s="9" t="str" cm="1">
        <f t="array" ref="E11">MMS_Feedlot_Methane_Equations.VEERG_4_1_1_1__5_VolatileSolidProduction_Unit()</f>
        <v>kg/head/day</v>
      </c>
    </row>
    <row r="12" spans="1:19" ht="20.100000000000001" customHeight="1" x14ac:dyDescent="0.2">
      <c r="A12" s="5" t="str">
        <f>HYPERLINK("#'Input - Livestock sales'!A1", "Livestock sales")</f>
        <v>Livestock sales</v>
      </c>
    </row>
    <row r="13" spans="1:19" ht="20.100000000000001" customHeight="1" x14ac:dyDescent="0.2">
      <c r="A13" s="5" t="str">
        <f>HYPERLINK("#'Input - Beef cattle purchases'!A1", "Beef cattle purchases")</f>
        <v>Beef cattle purchases</v>
      </c>
      <c r="D13" s="113" t="str" cm="1">
        <f t="array" ref="D13:G15">MMS_Feedlot_Methane_Equations.VEERG_4_1_1_1__5_VolatileSolidProduction_Arguments()</f>
        <v>I_j</v>
      </c>
      <c r="E13" s="113" t="str">
        <v>dry matter intake for each group j</v>
      </c>
      <c r="F13" s="113" t="str">
        <v>kg DM/head/day</v>
      </c>
      <c r="G13" s="114" t="str">
        <v>Input</v>
      </c>
      <c r="H13" s="116" t="str" cm="1">
        <f t="array" aca="1" ref="H13" ca="1">HYPERLINK(Common_InputFunctions.Utility_SourceHyperlink($D$17),$D$17)</f>
        <v>M1_Table_I_j</v>
      </c>
    </row>
    <row r="14" spans="1:19" ht="20.100000000000001" customHeight="1" x14ac:dyDescent="0.2">
      <c r="A14" s="5" t="str">
        <f>HYPERLINK("#'Input - Fuel'!A1", "Fuel")</f>
        <v>Fuel</v>
      </c>
      <c r="D14" s="113" t="str">
        <v>DMD_j</v>
      </c>
      <c r="E14" s="113" t="str">
        <v>dry matter digestibility for each group j</v>
      </c>
      <c r="F14" s="113" t="str">
        <v>fraction</v>
      </c>
      <c r="G14" s="114" t="str">
        <v>Input</v>
      </c>
      <c r="H14" s="116" t="str" cm="1">
        <f t="array" aca="1" ref="H14" ca="1">HYPERLINK(Common_InputFunctions.Utility_SourceHyperlink($D$22),$D$22)</f>
        <v>M1_Table_DMD_j</v>
      </c>
    </row>
    <row r="15" spans="1:19" ht="20.100000000000001" customHeight="1" x14ac:dyDescent="0.2">
      <c r="A15" s="5" t="str">
        <f>HYPERLINK("#'Input - Electricity'!A1", "Electricity")</f>
        <v>Electricity</v>
      </c>
      <c r="D15" s="113" t="str">
        <v>A</v>
      </c>
      <c r="E15" s="113" t="str">
        <v>ash content of manure</v>
      </c>
      <c r="F15" s="113" t="str">
        <v>fraction</v>
      </c>
      <c r="G15" s="115" t="str">
        <v>Constant</v>
      </c>
      <c r="H15" s="113">
        <f>SourceData_Feedlot_AshContent_Data</f>
        <v>0.16</v>
      </c>
    </row>
    <row r="16" spans="1:19" ht="20.100000000000001" customHeight="1" x14ac:dyDescent="0.2">
      <c r="A16" s="5" t="str">
        <f>HYPERLINK("#'Input - Common farm inputs'!A1", "Common farm inputs")</f>
        <v>Common farm inputs</v>
      </c>
    </row>
    <row r="17" spans="1:16" ht="20.100000000000001" customHeight="1" x14ac:dyDescent="0.2">
      <c r="A17" s="5" t="str">
        <f>HYPERLINK("#'Input - Livestock farm Inputs'!A1", "Livestock farm Inputs")</f>
        <v>Livestock farm Inputs</v>
      </c>
      <c r="D17" s="118" t="s">
        <v>323</v>
      </c>
      <c r="M17" s="118" t="s">
        <v>324</v>
      </c>
    </row>
    <row r="18" spans="1:16" ht="20.100000000000001" customHeight="1" x14ac:dyDescent="0.2">
      <c r="A18" s="5" t="str">
        <f>HYPERLINK("#'Input - Freight'!A1", "Freight")</f>
        <v>Freight</v>
      </c>
      <c r="D18" s="119" t="s">
        <v>325</v>
      </c>
      <c r="M18" s="119" t="s">
        <v>326</v>
      </c>
    </row>
    <row r="19" spans="1:16" ht="20.100000000000001" customHeight="1" x14ac:dyDescent="0.2">
      <c r="A19" s="5" t="str">
        <f>HYPERLINK("#'Input - Solid waste'!A1", "Solid waste")</f>
        <v>Solid waste</v>
      </c>
      <c r="D19" s="78" t="s">
        <v>289</v>
      </c>
      <c r="E19" s="78" t="s">
        <v>290</v>
      </c>
      <c r="F19" s="78" t="s">
        <v>291</v>
      </c>
      <c r="M19" s="78" t="s">
        <v>289</v>
      </c>
      <c r="N19" s="78" t="s">
        <v>290</v>
      </c>
      <c r="O19" s="78" t="s">
        <v>291</v>
      </c>
    </row>
    <row r="20" spans="1:16" ht="20.100000000000001" customHeight="1" x14ac:dyDescent="0.2">
      <c r="A20" s="5" t="str">
        <f>HYPERLINK("#'Input - Manure sent off-site'!A1", "Manure sent off-site")</f>
        <v>Manure sent off-site</v>
      </c>
      <c r="D20" s="15" cm="1">
        <f t="array" aca="1" ref="D20:F20" ca="1">OFFSET(X_Table_Feedlot_Intake_Method1, 1, 1, 1, 3)</f>
        <v>10.4</v>
      </c>
      <c r="E20" s="15">
        <f ca="1"/>
        <v>10.8</v>
      </c>
      <c r="F20" s="15">
        <f ca="1"/>
        <v>8.1999999999999993</v>
      </c>
      <c r="G20" s="16" t="s">
        <v>327</v>
      </c>
      <c r="M20" s="15" cm="1">
        <f t="array" aca="1" ref="M20:O20" ca="1">OFFSET(X_Table_Feedlot_Intake_Method2, 1, 1, 1, 3)</f>
        <v>10.4</v>
      </c>
      <c r="N20" s="15">
        <f ca="1"/>
        <v>10.8</v>
      </c>
      <c r="O20" s="15">
        <f ca="1"/>
        <v>8.1999999999999993</v>
      </c>
      <c r="P20" s="16" t="s">
        <v>327</v>
      </c>
    </row>
    <row r="21" spans="1:16" ht="20.100000000000001" customHeight="1" x14ac:dyDescent="0.2">
      <c r="A21" s="5" t="str">
        <f>HYPERLINK("#'Input - Data quality'!A1", "Data quality")</f>
        <v>Data quality</v>
      </c>
    </row>
    <row r="22" spans="1:16" ht="20.100000000000001" customHeight="1" x14ac:dyDescent="0.2">
      <c r="A22" s="5" t="str">
        <f>HYPERLINK("#'Input - Fert Prod System'!A1", "Fert Prod System")</f>
        <v>Fert Prod System</v>
      </c>
      <c r="D22" s="118" t="s">
        <v>328</v>
      </c>
      <c r="M22" s="118" t="s">
        <v>329</v>
      </c>
    </row>
    <row r="23" spans="1:16" ht="20.100000000000001" customHeight="1" x14ac:dyDescent="0.2">
      <c r="A23" s="5" t="str">
        <f>HYPERLINK("#'Input - Fertiliser'!A1", "Fertiliser")</f>
        <v>Fertiliser</v>
      </c>
      <c r="D23" s="119" t="s">
        <v>330</v>
      </c>
      <c r="M23" s="119" t="s">
        <v>331</v>
      </c>
    </row>
    <row r="24" spans="1:16" ht="20.100000000000001" customHeight="1" x14ac:dyDescent="0.2">
      <c r="D24" s="78" t="s">
        <v>289</v>
      </c>
      <c r="E24" s="78" t="s">
        <v>290</v>
      </c>
      <c r="F24" s="78" t="s">
        <v>291</v>
      </c>
      <c r="M24" s="78" t="s">
        <v>289</v>
      </c>
      <c r="N24" s="78" t="s">
        <v>290</v>
      </c>
      <c r="O24" s="78" t="s">
        <v>291</v>
      </c>
    </row>
    <row r="25" spans="1:16" ht="20.100000000000001" customHeight="1" x14ac:dyDescent="0.2">
      <c r="D25" s="15" cm="1">
        <f t="array" aca="1" ref="D25:F25" ca="1">OFFSET(X_Table_Feedlot_Intake_Method1, 4, 1, 1, 3)</f>
        <v>0.81</v>
      </c>
      <c r="E25" s="15">
        <f ca="1"/>
        <v>0.81</v>
      </c>
      <c r="F25" s="15">
        <f ca="1"/>
        <v>0.81</v>
      </c>
      <c r="G25" s="16" t="s">
        <v>299</v>
      </c>
      <c r="M25" s="15" cm="1">
        <f t="array" aca="1" ref="M25:O25" ca="1">OFFSET(X_Table_Feedlot_Intake_Method2, 4, 1, 1, 3)</f>
        <v>0.81</v>
      </c>
      <c r="N25" s="15">
        <f ca="1"/>
        <v>0.81</v>
      </c>
      <c r="O25" s="15">
        <f ca="1"/>
        <v>0.81</v>
      </c>
      <c r="P25" s="16" t="s">
        <v>299</v>
      </c>
    </row>
    <row r="26" spans="1:16" ht="20.100000000000001" customHeight="1" x14ac:dyDescent="0.2">
      <c r="A26" s="6" t="s">
        <v>2</v>
      </c>
    </row>
    <row r="27" spans="1:16" ht="20.100000000000001" customHeight="1" x14ac:dyDescent="0.2">
      <c r="A27" s="5" t="str">
        <f>HYPERLINK("#'3.1.1.1-2 Enteric Methane'!A1", "3.1.1.1-2 Enteric Methane")</f>
        <v>3.1.1.1-2 Enteric Methane</v>
      </c>
      <c r="D27" s="118" t="s">
        <v>332</v>
      </c>
      <c r="M27" s="118" t="s">
        <v>333</v>
      </c>
    </row>
    <row r="28" spans="1:16" ht="20.100000000000001" customHeight="1" x14ac:dyDescent="0.2">
      <c r="A28" s="117" t="str">
        <f>HYPERLINK("#'4.1.1.1-2 Methane'!A1", "4.1.1.1-2 Manure Methane")</f>
        <v>4.1.1.1-2 Manure Methane</v>
      </c>
      <c r="D28" s="119" t="s">
        <v>334</v>
      </c>
      <c r="M28" s="119" t="s">
        <v>335</v>
      </c>
    </row>
    <row r="29" spans="1:16" ht="20.100000000000001" customHeight="1" x14ac:dyDescent="0.2">
      <c r="A29" s="5" t="str">
        <f>HYPERLINK("#'4.1.1.3-4 Direct N20'!A1", "4.1.1.3-4 Manure Direct N2O")</f>
        <v>4.1.1.3-4 Manure Direct N2O</v>
      </c>
      <c r="D29" s="120" t="s">
        <v>289</v>
      </c>
      <c r="E29" s="120" t="s">
        <v>290</v>
      </c>
      <c r="F29" s="120" t="s">
        <v>291</v>
      </c>
      <c r="M29" s="120" t="s">
        <v>289</v>
      </c>
      <c r="N29" s="120" t="s">
        <v>290</v>
      </c>
      <c r="O29" s="120" t="s">
        <v>291</v>
      </c>
    </row>
    <row r="30" spans="1:16" ht="20.100000000000001" customHeight="1" x14ac:dyDescent="0.2">
      <c r="A30" s="5" t="str">
        <f>HYPERLINK("#'4.1.1.5-6 Atmos Deposition'!A1", "4.1.1.5-6 Manure Atmos Dep")</f>
        <v>4.1.1.5-6 Manure Atmos Dep</v>
      </c>
      <c r="D30" s="15" cm="1">
        <f t="array" aca="1" ref="D30" ca="1">MMS_Feedlot_Methane_Equations.VEERG_4_1_1_1__5_VolatileSolidProduction(D20,D25,$H$15)</f>
        <v>1.6598399999999995</v>
      </c>
      <c r="E30" s="15" cm="1">
        <f t="array" aca="1" ref="E30" ca="1">MMS_Feedlot_Methane_Equations.VEERG_4_1_1_1__5_VolatileSolidProduction(E20,E25,$H$15)</f>
        <v>1.7236799999999997</v>
      </c>
      <c r="F30" s="15" cm="1">
        <f t="array" aca="1" ref="F30" ca="1">MMS_Feedlot_Methane_Equations.VEERG_4_1_1_1__5_VolatileSolidProduction(F20,F25,$H$15)</f>
        <v>1.3087199999999994</v>
      </c>
      <c r="G30" s="16" t="str">
        <f>$E$11</f>
        <v>kg/head/day</v>
      </c>
      <c r="M30" s="15" cm="1">
        <f t="array" aca="1" ref="M30" ca="1">MMS_Feedlot_Methane_Equations.VEERG_4_1_1_1__5_VolatileSolidProduction(M20,M25,$H$15)</f>
        <v>1.6598399999999995</v>
      </c>
      <c r="N30" s="15" cm="1">
        <f t="array" aca="1" ref="N30" ca="1">MMS_Feedlot_Methane_Equations.VEERG_4_1_1_1__5_VolatileSolidProduction(N20,N25,$H$15)</f>
        <v>1.7236799999999997</v>
      </c>
      <c r="O30" s="15" cm="1">
        <f t="array" aca="1" ref="O30" ca="1">MMS_Feedlot_Methane_Equations.VEERG_4_1_1_1__5_VolatileSolidProduction(O20,O25,$H$15)</f>
        <v>1.3087199999999994</v>
      </c>
      <c r="P30" s="16" t="str">
        <f>$E$11</f>
        <v>kg/head/day</v>
      </c>
    </row>
    <row r="31" spans="1:16" ht="20.100000000000001" customHeight="1" x14ac:dyDescent="0.2">
      <c r="A31" s="5" t="str">
        <f>HYPERLINK("#'4.1.1.9 Manure applied to soils'!A1", "4.1.1.9 Manure applied to soils")</f>
        <v>4.1.1.9 Manure applied to soils</v>
      </c>
    </row>
    <row r="32" spans="1:16" ht="20.100000000000001" customHeight="1" x14ac:dyDescent="0.2">
      <c r="A32" s="5" t="str">
        <f>HYPERLINK("#'8.1.1.1-2 Transport fuel'!A1", "8.1.1.1-2 Transport fuel")</f>
        <v>8.1.1.1-2 Transport fuel</v>
      </c>
    </row>
    <row r="33" spans="1:18" ht="20.100000000000001" customHeight="1" x14ac:dyDescent="0.2">
      <c r="A33" s="5" t="str">
        <f>HYPERLINK("#'8.2.1.1-2 Stationary fuel'!A1", "8.2.1.1-2 Stationary fuel")</f>
        <v>8.2.1.1-2 Stationary fuel</v>
      </c>
      <c r="C33" s="83"/>
      <c r="D33" s="83"/>
      <c r="E33" s="83"/>
      <c r="F33" s="83"/>
      <c r="G33" s="83"/>
      <c r="H33" s="83"/>
      <c r="I33" s="83"/>
      <c r="J33" s="83"/>
      <c r="L33" s="83"/>
      <c r="M33" s="83"/>
      <c r="N33" s="83"/>
      <c r="O33" s="83"/>
      <c r="P33" s="83"/>
      <c r="Q33" s="83"/>
      <c r="R33" s="83"/>
    </row>
    <row r="34" spans="1:18" ht="20.100000000000001" customHeight="1" x14ac:dyDescent="0.2">
      <c r="A34" s="5" t="str">
        <f>HYPERLINK("#'10.1.1-2 Solid waste treatment'!A1", "10.1.1.1-2 Solid waste")</f>
        <v>10.1.1.1-2 Solid waste</v>
      </c>
      <c r="D34" s="2" t="str" cm="1">
        <f t="array" ref="D34">MMS_Feedlot_Methane_Equations.VEERG_4_1_1_1__2_Stage1MethaneProductionDrylot_Title()</f>
        <v>Production of methane in treatment stage 1 MMS</v>
      </c>
    </row>
    <row r="35" spans="1:18" ht="20.100000000000001" customHeight="1" x14ac:dyDescent="0.2">
      <c r="A35" s="5" t="str">
        <f>HYPERLINK("#'14.1.1-2 Purchased electricity'!A1", "14.1.1-2 Purchased electricity")</f>
        <v>14.1.1-2 Purchased electricity</v>
      </c>
      <c r="D35" s="17" t="str" cm="1">
        <f t="array" ref="D35">MMS_Feedlot_Methane_Equations.VEERG_4_1_1_1__2_Stage1MethaneProductionDrylot_Source()</f>
        <v>VEERG 2026: 4.1.1.1, Equation (2)</v>
      </c>
    </row>
    <row r="36" spans="1:18" ht="20.100000000000001" customHeight="1" x14ac:dyDescent="0.2">
      <c r="A36" s="5" t="str">
        <f>HYPERLINK("#'15 Scope 3'!A1", "15 Scope 3")</f>
        <v>15 Scope 3</v>
      </c>
      <c r="D36" s="112" t="s">
        <v>321</v>
      </c>
      <c r="E36" s="112" t="str" cm="1">
        <f t="array" aca="1" ref="E36" ca="1">Common_InputFunctions.Utility_DisplayFunctionName(E57)</f>
        <v>=MMS_Feedlot_Methane_Equations.VEERG_4_1_1_1__2_Stage1MethaneProductionDrylot</v>
      </c>
    </row>
    <row r="37" spans="1:18" ht="20.100000000000001" customHeight="1" x14ac:dyDescent="0.2">
      <c r="A37" s="5" t="str">
        <f>HYPERLINK("#'Calcs - Manure sent off-site'!A1", "Calcs - Manure sent off-site")</f>
        <v>Calcs - Manure sent off-site</v>
      </c>
    </row>
    <row r="38" spans="1:18" ht="20.100000000000001" customHeight="1" x14ac:dyDescent="0.2">
      <c r="A38" s="5" t="str">
        <f>HYPERLINK("#'5.1.1.1-2 Inorganic fert N2O'!A1", "5.1.1.1-2 Inorganic fert N2O")</f>
        <v>5.1.1.1-2 Inorganic fert N2O</v>
      </c>
    </row>
    <row r="39" spans="1:18" ht="20.100000000000001" customHeight="1" x14ac:dyDescent="0.2">
      <c r="A39" s="5" t="str">
        <f>HYPERLINK("#'5.1.1.3-4 Inorganic fert CO2'!A1", "5.1.1.3-4 Inorganic fert CO2")</f>
        <v>5.1.1.3-4 Inorganic fert CO2</v>
      </c>
      <c r="D39" s="75" t="s">
        <v>322</v>
      </c>
      <c r="E39" s="1" t="str" cm="1">
        <f t="array" ref="E39">MMS_Feedlot_Methane_Equations.VEERG_4_1_1_1__2_Stage1MethaneProductionDrylot_Variable()</f>
        <v>M_jm5T1</v>
      </c>
    </row>
    <row r="40" spans="1:18" ht="20.100000000000001" customHeight="1" x14ac:dyDescent="0.2">
      <c r="A40" s="5" t="str">
        <f>HYPERLINK("#'5.2.1.1-2 Organic Fert N2O'!A1", "5.2.1.1-2 Organic Fert N2O")</f>
        <v>5.2.1.1-2 Organic Fert N2O</v>
      </c>
      <c r="D40" s="75" t="s">
        <v>118</v>
      </c>
      <c r="E40" s="9" t="str" cm="1">
        <f t="array" ref="E40">MMS_Feedlot_Methane_Equations.VEERG_4_1_1_1__2_Stage1MethaneProductionDrylot_Unit()</f>
        <v>kg CH4/head/day</v>
      </c>
      <c r="M40" s="35" t="s">
        <v>336</v>
      </c>
      <c r="N40" s="38"/>
    </row>
    <row r="41" spans="1:18" ht="20.100000000000001" customHeight="1" x14ac:dyDescent="0.2">
      <c r="A41" s="5" t="str">
        <f>HYPERLINK("#'5.3.1.1-2 Lime CO2'!A1", "5.3.1.1-2 Lime CO2")</f>
        <v>5.3.1.1-2 Lime CO2</v>
      </c>
    </row>
    <row r="42" spans="1:18" ht="20.100000000000001" customHeight="1" x14ac:dyDescent="0.2">
      <c r="A42" s="5" t="str">
        <f>HYPERLINK("#'5.4.1.1-4 Atmos deposition'!A1", "5.4.1.1-4 Atmos deposition")</f>
        <v>5.4.1.1-4 Atmos deposition</v>
      </c>
      <c r="D42" s="113" t="str" cm="1">
        <f t="array" ref="D42:E47">_xlfn.CHOOSECOLS(MMS_Feedlot_Methane_Equations.VEERG_4_1_1_1__2_Stage1MethaneProductionDrylot_Arguments(),1,2)</f>
        <v>VS_j</v>
      </c>
      <c r="E42" s="121" t="str">
        <v>volatile solid production from feedlot cattle in each group</v>
      </c>
      <c r="F42" s="122"/>
      <c r="G42" s="113" t="str" cm="1">
        <f t="array" ref="G42:H47">_xlfn.CHOOSECOLS(MMS_Feedlot_Methane_Equations.VEERG_4_1_1_1__2_Stage1MethaneProductionDrylot_Arguments(),3,4)</f>
        <v>kg/head/day</v>
      </c>
      <c r="H42" s="115" t="str">
        <v>Calculated from 4.1.1.1 (5)</v>
      </c>
      <c r="I42" s="116" t="str" cm="1">
        <f t="array" aca="1" ref="I42" ca="1">HYPERLINK(Common_InputFunctions.Utility_SourceHyperlink($D$27),$D$27)</f>
        <v>M1_Table_VS_j</v>
      </c>
      <c r="M42" s="113" t="str" cm="1">
        <f t="array" ref="M42:N47">_xlfn.CHOOSECOLS(MMS_Feedlot_Methane_Equations.VEERG_4_1_1_1__2_Stage1MethaneProductionDrylot_Arguments_Method2(),1,2)</f>
        <v>VS_j</v>
      </c>
      <c r="N42" s="121" t="str">
        <v>volatile solid production from feedlot cattle in each group</v>
      </c>
      <c r="O42" s="122"/>
      <c r="P42" s="113" t="str" cm="1">
        <f t="array" ref="P42:Q47">_xlfn.CHOOSECOLS(MMS_Feedlot_Methane_Equations.VEERG_4_1_1_1__2_Stage1MethaneProductionDrylot_Arguments_Method2(),3,4)</f>
        <v>kg/head/day</v>
      </c>
      <c r="Q42" s="115" t="str">
        <v>Calculated from 4.1.1.1 (5)</v>
      </c>
      <c r="R42" s="116" t="str" cm="1">
        <f t="array" aca="1" ref="R42" ca="1">HYPERLINK(Common_InputFunctions.Utility_SourceHyperlink($D$27),$D$27)</f>
        <v>M1_Table_VS_j</v>
      </c>
    </row>
    <row r="43" spans="1:18" ht="20.100000000000001" customHeight="1" x14ac:dyDescent="0.2">
      <c r="A43" s="5" t="str">
        <f>HYPERLINK("#'5.5.1.1-2 Leaching and runoff'!A1", "5.5.1.1-2 Leaching and runoff")</f>
        <v>5.5.1.1-2 Leaching and runoff</v>
      </c>
      <c r="D43" s="113" t="str">
        <v>BO</v>
      </c>
      <c r="E43" s="121" t="str">
        <v>emissions potential</v>
      </c>
      <c r="F43" s="122"/>
      <c r="G43" s="113" t="str">
        <v>m3 CH4/kg VS</v>
      </c>
      <c r="H43" s="115" t="str">
        <v>Constant</v>
      </c>
      <c r="I43" s="113">
        <f>SourceData_Feedlot_MethaneEmissionsPotential_Data</f>
        <v>0.19</v>
      </c>
      <c r="M43" s="113" t="str">
        <v>BO</v>
      </c>
      <c r="N43" s="121" t="str">
        <v>emissions potential</v>
      </c>
      <c r="O43" s="122"/>
      <c r="P43" s="113" t="str">
        <v>m3 CH4/kg VS</v>
      </c>
      <c r="Q43" s="115" t="str">
        <v>Constant</v>
      </c>
      <c r="R43" s="113">
        <f>SourceData_Feedlot_MethaneEmissionsPotential_Data</f>
        <v>0.19</v>
      </c>
    </row>
    <row r="44" spans="1:18" ht="20.100000000000001" customHeight="1" x14ac:dyDescent="0.2">
      <c r="D44" s="113" t="str">
        <v>MMS_m5T1</v>
      </c>
      <c r="E44" s="121" t="str">
        <v>fraction of manure in primary system drylot MMS</v>
      </c>
      <c r="F44" s="122"/>
      <c r="G44" s="113" t="str">
        <v>fraction</v>
      </c>
      <c r="H44" s="114" t="str">
        <v>Input</v>
      </c>
      <c r="I44" s="116" t="str" cm="1">
        <f t="array" aca="1" ref="I44" ca="1">HYPERLINK(Common_InputFunctions.Utility_SourceHyperlink($D$49),$D$49)</f>
        <v>Table_MMS_m-5_T-1</v>
      </c>
      <c r="M44" s="113" t="str">
        <v>MMS_m5T1</v>
      </c>
      <c r="N44" s="121" t="str">
        <v>fraction of manure in primary system drylot MMS</v>
      </c>
      <c r="O44" s="122"/>
      <c r="P44" s="113" t="str">
        <v>fraction</v>
      </c>
      <c r="Q44" s="114" t="str">
        <v>Input</v>
      </c>
      <c r="R44" s="116" t="str" cm="1">
        <f t="array" aca="1" ref="R44" ca="1">HYPERLINK(Common_InputFunctions.Utility_SourceHyperlink($D$49),$D$49)</f>
        <v>Table_MMS_m-5_T-1</v>
      </c>
    </row>
    <row r="45" spans="1:18" ht="20.100000000000001" customHeight="1" x14ac:dyDescent="0.2">
      <c r="D45" s="113" t="str">
        <v>MCF_im5</v>
      </c>
      <c r="E45" s="121" t="str">
        <v>methane conversion factor for state and drylot system</v>
      </c>
      <c r="F45" s="122"/>
      <c r="G45" s="113" t="str">
        <v>fraction</v>
      </c>
      <c r="H45" s="115" t="str">
        <v>Constant</v>
      </c>
      <c r="I45" s="113">
        <f>HLOOKUP(I47, Table_SourceData_Feedlot_MCF[#All], 2, FALSE)</f>
        <v>0.01</v>
      </c>
      <c r="M45" s="113" t="str">
        <v>MCF_im5</v>
      </c>
      <c r="N45" s="121" t="str">
        <v>methane conversion factor for state and drylot system</v>
      </c>
      <c r="O45" s="122"/>
      <c r="P45" s="113" t="str">
        <v>fraction</v>
      </c>
      <c r="Q45" s="115" t="str">
        <v>Constant</v>
      </c>
      <c r="R45" s="113">
        <f>HLOOKUP(I47, Table_SourceData_Feedlot_MCF[#All], 2, FALSE)</f>
        <v>0.01</v>
      </c>
    </row>
    <row r="46" spans="1:18" ht="20.100000000000001" customHeight="1" x14ac:dyDescent="0.2">
      <c r="A46" s="80" t="s">
        <v>1</v>
      </c>
      <c r="D46" s="113" t="str">
        <v>rho</v>
      </c>
      <c r="E46" s="121" t="str">
        <v>density of methane</v>
      </c>
      <c r="F46" s="122"/>
      <c r="G46" s="113" t="str">
        <v>kg/m3</v>
      </c>
      <c r="H46" s="115" t="str">
        <v>Constant</v>
      </c>
      <c r="I46" s="113">
        <f>Common_SourceData_DensityOfMethane_Data</f>
        <v>0.6784</v>
      </c>
      <c r="M46" s="113" t="str">
        <v>rho</v>
      </c>
      <c r="N46" s="121" t="str">
        <v>density of methane</v>
      </c>
      <c r="O46" s="122"/>
      <c r="P46" s="113" t="str">
        <v>kg/m3</v>
      </c>
      <c r="Q46" s="115" t="str">
        <v>Constant</v>
      </c>
      <c r="R46" s="113">
        <f>Common_SourceData_DensityOfMethane_Data</f>
        <v>0.6784</v>
      </c>
    </row>
    <row r="47" spans="1:18" ht="20.100000000000001" customHeight="1" x14ac:dyDescent="0.2">
      <c r="A47" s="5" t="str">
        <f>HYPERLINK("#'Constants - Feedlot'!A1", "Constants - Feedlot")</f>
        <v>Constants - Feedlot</v>
      </c>
      <c r="D47" s="113" t="str">
        <v>i</v>
      </c>
      <c r="E47" s="121" t="str">
        <v>state</v>
      </c>
      <c r="F47" s="122"/>
      <c r="G47" s="113" t="str">
        <v/>
      </c>
      <c r="H47" s="114" t="str">
        <v>Input</v>
      </c>
      <c r="I47" s="113" t="str">
        <f>Common_InputFunctions.Utility_LookupValueInTable(X_Cell_Site_State,Table_AustralianStates[Common Name],Table_AustralianStates[Abbreviation])</f>
        <v>WA</v>
      </c>
      <c r="M47" s="113" t="str">
        <v>i</v>
      </c>
      <c r="N47" s="121" t="str">
        <v>state</v>
      </c>
      <c r="O47" s="122"/>
      <c r="P47" s="113" t="str">
        <v/>
      </c>
      <c r="Q47" s="114" t="str">
        <v>Input</v>
      </c>
      <c r="R47" s="113" t="str">
        <f>Common_InputFunctions.Utility_LookupValueInTable(X_Cell_Site_State,Table_AustralianStates[Common Name],Table_AustralianStates[Abbreviation])</f>
        <v>WA</v>
      </c>
    </row>
    <row r="48" spans="1:18" ht="20.100000000000001" customHeight="1" x14ac:dyDescent="0.2">
      <c r="A48" s="5" t="str">
        <f>HYPERLINK("#'Constants - Common livestock'!A1", "Constants - Common Livestock")</f>
        <v>Constants - Common Livestock</v>
      </c>
    </row>
    <row r="49" spans="1:18" ht="20.100000000000001" customHeight="1" x14ac:dyDescent="0.2">
      <c r="A49" s="5" t="str">
        <f>HYPERLINK("#'Constants - Electricity'!A1", "Constants - Electricity")</f>
        <v>Constants - Electricity</v>
      </c>
      <c r="D49" s="118" t="s">
        <v>337</v>
      </c>
    </row>
    <row r="50" spans="1:18" ht="20.100000000000001" customHeight="1" x14ac:dyDescent="0.2">
      <c r="A50" s="5" t="str">
        <f>HYPERLINK("#'Constants - Fertiliser'!A1", "Constants - Fertiliser")</f>
        <v>Constants - Fertiliser</v>
      </c>
      <c r="D50" s="119" t="s">
        <v>338</v>
      </c>
    </row>
    <row r="51" spans="1:18" ht="20.100000000000001" customHeight="1" x14ac:dyDescent="0.2">
      <c r="A51" s="5" t="str">
        <f>HYPERLINK("#'Constants - Fuel'!A1", "Constants - Fuel")</f>
        <v>Constants - Fuel</v>
      </c>
      <c r="D51" s="78" t="s">
        <v>307</v>
      </c>
      <c r="E51" s="78" t="s">
        <v>289</v>
      </c>
      <c r="F51" s="78" t="s">
        <v>290</v>
      </c>
      <c r="G51" s="78" t="s">
        <v>291</v>
      </c>
    </row>
    <row r="52" spans="1:18" ht="20.100000000000001" customHeight="1" x14ac:dyDescent="0.2">
      <c r="A52" s="5" t="str">
        <f>HYPERLINK("#'Constants - Scope 3'!A1", "Constants - Scope 3")</f>
        <v>Constants - Scope 3</v>
      </c>
      <c r="D52" s="15" t="str">
        <f>INDEX(X_Table_Feedlot_MMS_Stage1,2,1)</f>
        <v>Drylot (feed pad)</v>
      </c>
      <c r="E52" s="15" cm="1">
        <f t="array" aca="1" ref="E52:G52" ca="1">OFFSET(X_Table_Feedlot_MMS_Stage1, 1,1,1,3)</f>
        <v>1</v>
      </c>
      <c r="F52" s="15">
        <f ca="1"/>
        <v>1</v>
      </c>
      <c r="G52" s="15">
        <f ca="1"/>
        <v>1</v>
      </c>
      <c r="H52" s="16" t="s">
        <v>299</v>
      </c>
    </row>
    <row r="53" spans="1:18" ht="20.100000000000001" customHeight="1" x14ac:dyDescent="0.2">
      <c r="A53" s="5" t="str">
        <f>HYPERLINK("#'Constants - Solid Waste'!A1", "Constants - Solid Waste")</f>
        <v>Constants - Solid Waste</v>
      </c>
    </row>
    <row r="54" spans="1:18" ht="20.100000000000001" customHeight="1" x14ac:dyDescent="0.2">
      <c r="A54" s="5" t="str">
        <f>HYPERLINK("#'Constants - Common'!A1", "Constants - Common")</f>
        <v>Constants - Common</v>
      </c>
      <c r="D54" s="118" t="s">
        <v>339</v>
      </c>
      <c r="M54" s="118" t="s">
        <v>340</v>
      </c>
    </row>
    <row r="55" spans="1:18" ht="20.100000000000001" customHeight="1" x14ac:dyDescent="0.2">
      <c r="A55" s="5" t="str">
        <f>HYPERLINK("#'Acknowledgements'!A1", "Acknowledgements")</f>
        <v>Acknowledgements</v>
      </c>
      <c r="D55" s="119" t="s">
        <v>341</v>
      </c>
      <c r="M55" s="119" t="s">
        <v>342</v>
      </c>
    </row>
    <row r="56" spans="1:18" ht="20.100000000000001" customHeight="1" x14ac:dyDescent="0.2">
      <c r="D56" s="120" t="s">
        <v>307</v>
      </c>
      <c r="E56" s="120" t="s">
        <v>289</v>
      </c>
      <c r="F56" s="120" t="s">
        <v>290</v>
      </c>
      <c r="G56" s="120" t="s">
        <v>291</v>
      </c>
      <c r="M56" s="120" t="s">
        <v>307</v>
      </c>
      <c r="N56" s="120" t="s">
        <v>289</v>
      </c>
      <c r="O56" s="120" t="s">
        <v>290</v>
      </c>
      <c r="P56" s="120" t="s">
        <v>291</v>
      </c>
    </row>
    <row r="57" spans="1:18" ht="20.100000000000001" customHeight="1" x14ac:dyDescent="0.2">
      <c r="D57" s="15" t="str">
        <f>INDEX(X_Table_Feedlot_MMS_Stage1,2,1)</f>
        <v>Drylot (feed pad)</v>
      </c>
      <c r="E57" s="15" cm="1">
        <f t="array" aca="1" ref="E57" ca="1">MMS_Feedlot_Methane_Equations.VEERG_4_1_1_1__2_Stage1MethaneProductionDrylot(D30,$I$43,E52,$I$45,$I$46)</f>
        <v>2.1394673663999997E-3</v>
      </c>
      <c r="F57" s="15" cm="1">
        <f t="array" aca="1" ref="F57" ca="1">MMS_Feedlot_Methane_Equations.VEERG_4_1_1_1__2_Stage1MethaneProductionDrylot(E30,$I$43,F52,$I$45,$I$46)</f>
        <v>2.2217545727999995E-3</v>
      </c>
      <c r="G57" s="15" cm="1">
        <f t="array" aca="1" ref="G57" ca="1">MMS_Feedlot_Methane_Equations.VEERG_4_1_1_1__2_Stage1MethaneProductionDrylot(F30,$I$43,G52,$I$45,$I$46)</f>
        <v>1.6868877311999992E-3</v>
      </c>
      <c r="H57" s="16" t="str">
        <f>$E$40</f>
        <v>kg CH4/head/day</v>
      </c>
      <c r="M57" s="15" t="str">
        <f>INDEX(X_Table_Feedlot_MMS_Stage1,2,1)</f>
        <v>Drylot (feed pad)</v>
      </c>
      <c r="N57" s="15" cm="1">
        <f t="array" aca="1" ref="N57" ca="1">MMS_Feedlot_Methane_Equations.VEERG_4_1_1_1__2_Stage1MethaneProductionDrylot(M30,$I$43,E52,$I$45,$I$46)</f>
        <v>2.1394673663999997E-3</v>
      </c>
      <c r="O57" s="15" cm="1">
        <f t="array" aca="1" ref="O57" ca="1">MMS_Feedlot_Methane_Equations.VEERG_4_1_1_1__2_Stage1MethaneProductionDrylot(N30,$I$43,F52,$I$45,$I$46)</f>
        <v>2.2217545727999995E-3</v>
      </c>
      <c r="P57" s="15" cm="1">
        <f t="array" aca="1" ref="P57" ca="1">MMS_Feedlot_Methane_Equations.VEERG_4_1_1_1__2_Stage1MethaneProductionDrylot(O30,$I$43,G52,$I$45,$I$46)</f>
        <v>1.6868877311999992E-3</v>
      </c>
      <c r="Q57" s="16" t="str">
        <f>$E$40</f>
        <v>kg CH4/head/day</v>
      </c>
    </row>
    <row r="58" spans="1:18" ht="20.100000000000001" customHeight="1" x14ac:dyDescent="0.2">
      <c r="D58" s="123" t="str">
        <f>IF(ISNUMBER($I$45),"", "⚠️ ALERT: No MCFim5 data provided. Zero is used instead.")</f>
        <v/>
      </c>
    </row>
    <row r="60" spans="1:18" ht="20.100000000000001" customHeight="1" x14ac:dyDescent="0.2">
      <c r="C60" s="83"/>
      <c r="D60" s="83"/>
      <c r="E60" s="83"/>
      <c r="F60" s="83"/>
      <c r="G60" s="83"/>
      <c r="H60" s="83"/>
      <c r="I60" s="83"/>
      <c r="J60" s="83"/>
      <c r="L60" s="83"/>
      <c r="M60" s="83"/>
      <c r="N60" s="83"/>
      <c r="O60" s="83"/>
      <c r="P60" s="83"/>
      <c r="Q60" s="83"/>
      <c r="R60" s="83"/>
    </row>
    <row r="61" spans="1:18" ht="20.100000000000001" customHeight="1" x14ac:dyDescent="0.2">
      <c r="D61" s="2" t="str" cm="1">
        <f t="array" ref="D61">MMS_Feedlot_Methane_Equations.VEERG_4_1_1_1__3_Stage2MethaneProduction_Title()</f>
        <v>Production of methane in treatment stage 2 MMS</v>
      </c>
    </row>
    <row r="62" spans="1:18" ht="20.100000000000001" customHeight="1" x14ac:dyDescent="0.2">
      <c r="D62" s="17" t="str" cm="1">
        <f t="array" ref="D62">MMS_Feedlot_Methane_Equations.VEERG_4_1_1_1__3_Stage2MethaneProduction_Source()</f>
        <v>VEERG 2026: 4.1.1.1, Equation (3)</v>
      </c>
    </row>
    <row r="63" spans="1:18" ht="20.100000000000001" customHeight="1" x14ac:dyDescent="0.2">
      <c r="D63" s="112" t="s">
        <v>321</v>
      </c>
      <c r="E63" s="112" t="str" cm="1">
        <f t="array" aca="1" ref="E63" ca="1">Common_InputFunctions.Utility_DisplayFunctionName(E96)</f>
        <v>=MMS_Feedlot_Methane_Equations.VEERG_4_1_1_1__3_Stage2MethaneProduction</v>
      </c>
    </row>
    <row r="65" spans="1:18" ht="20.100000000000001" customHeight="1" x14ac:dyDescent="0.2">
      <c r="D65" s="2"/>
    </row>
    <row r="66" spans="1:18" ht="20.100000000000001" customHeight="1" x14ac:dyDescent="0.2">
      <c r="A66" s="79" t="str">
        <f>HYPERLINK("#A1", "▲ Back to top")</f>
        <v>▲ Back to top</v>
      </c>
      <c r="D66" s="75" t="s">
        <v>322</v>
      </c>
      <c r="E66" s="1" t="str" cm="1">
        <f t="array" ref="E66">MMS_Feedlot_Methane_Equations.VEERG_4_1_1_1__3_Stage2MethaneProduction_Variable()</f>
        <v>M_jmT2</v>
      </c>
    </row>
    <row r="67" spans="1:18" ht="20.100000000000001" customHeight="1" x14ac:dyDescent="0.2">
      <c r="D67" s="75" t="s">
        <v>118</v>
      </c>
      <c r="E67" s="9" t="str" cm="1">
        <f t="array" ref="E67">MMS_Feedlot_Methane_Equations.VEERG_4_1_1_1__3_Stage2MethaneProduction_Unit()</f>
        <v>kg CH4/head/day</v>
      </c>
    </row>
    <row r="69" spans="1:18" ht="20.100000000000001" customHeight="1" x14ac:dyDescent="0.2">
      <c r="D69" s="113" t="str" cm="1">
        <f t="array" ref="D69:E75">_xlfn.CHOOSECOLS(MMS_Feedlot_Methane_Equations.VEERG_4_1_1_1__3_Stage2MethaneProduction_Arguments(),1,2)</f>
        <v>VSL</v>
      </c>
      <c r="E69" s="121" t="str">
        <v>fraction of volatile solids lost during storage in the primary system</v>
      </c>
      <c r="F69" s="122"/>
      <c r="G69" s="113" t="str" cm="1">
        <f t="array" ref="G69:H75">_xlfn.CHOOSECOLS(MMS_Feedlot_Methane_Equations.VEERG_4_1_1_1__3_Stage2MethaneProduction_Arguments(),3,4)</f>
        <v>fraction</v>
      </c>
      <c r="H69" s="115" t="str">
        <v>Constant</v>
      </c>
      <c r="I69" s="124">
        <f>SourceData_Feedlot_VSL_Data</f>
        <v>0.5</v>
      </c>
      <c r="M69" s="113" t="str" cm="1">
        <f t="array" ref="M69:N75">_xlfn.CHOOSECOLS(MMS_Feedlot_Methane_Equations.VEERG_4_1_1_1__3_Stage2MethaneProduction_Arguments_Method2(),1,2)</f>
        <v>VSL</v>
      </c>
      <c r="N69" s="121" t="str">
        <v>fraction of volatile solids lost during storage in the primary system</v>
      </c>
      <c r="O69" s="122"/>
      <c r="P69" s="113" t="str" cm="1">
        <f t="array" ref="P69:Q75">_xlfn.CHOOSECOLS(MMS_Feedlot_Methane_Equations.VEERG_4_1_1_1__3_Stage2MethaneProduction_Arguments_Method2(),3,4)</f>
        <v>fraction</v>
      </c>
      <c r="Q69" s="115" t="str">
        <v>Constant</v>
      </c>
      <c r="R69" s="124"/>
    </row>
    <row r="70" spans="1:18" ht="20.100000000000001" customHeight="1" x14ac:dyDescent="0.2">
      <c r="D70" s="113" t="str">
        <v>VS_j</v>
      </c>
      <c r="E70" s="121" t="str">
        <v>volatile solid production from feedlot cattle in each group</v>
      </c>
      <c r="F70" s="122"/>
      <c r="G70" s="113" t="str">
        <v>kg/head/day</v>
      </c>
      <c r="H70" s="115" t="str">
        <v>Calculated from 4.1.1.1 (5)</v>
      </c>
      <c r="I70" s="116" t="str" cm="1">
        <f t="array" aca="1" ref="I70" ca="1">HYPERLINK(Common_InputFunctions.Utility_SourceHyperlink($D$27),$D$27)</f>
        <v>M1_Table_VS_j</v>
      </c>
      <c r="M70" s="113" t="str">
        <v>VS_j</v>
      </c>
      <c r="N70" s="121" t="str">
        <v>volatile solid production from feedlot cattle in each group</v>
      </c>
      <c r="O70" s="122"/>
      <c r="P70" s="113" t="str">
        <v>kg/head/day</v>
      </c>
      <c r="Q70" s="115" t="str">
        <v>Calculated from 4.1.1.1 (5)</v>
      </c>
      <c r="R70" s="116"/>
    </row>
    <row r="71" spans="1:18" ht="20.100000000000001" customHeight="1" x14ac:dyDescent="0.2">
      <c r="D71" s="113" t="str">
        <v>BO</v>
      </c>
      <c r="E71" s="121" t="str">
        <v>emissions potential</v>
      </c>
      <c r="F71" s="122"/>
      <c r="G71" s="113" t="str">
        <v>m3 CH4/kg VS</v>
      </c>
      <c r="H71" s="115" t="str">
        <v>Constant</v>
      </c>
      <c r="I71" s="124">
        <f>SourceData_Feedlot_MethaneEmissionsPotential_Data</f>
        <v>0.19</v>
      </c>
      <c r="M71" s="113" t="str">
        <v>BO</v>
      </c>
      <c r="N71" s="121" t="str">
        <v>emissions potential</v>
      </c>
      <c r="O71" s="122"/>
      <c r="P71" s="113" t="str">
        <v>m3 CH4/kg VS</v>
      </c>
      <c r="Q71" s="115" t="str">
        <v>Constant</v>
      </c>
      <c r="R71" s="124"/>
    </row>
    <row r="72" spans="1:18" ht="20.100000000000001" customHeight="1" x14ac:dyDescent="0.2">
      <c r="D72" s="113" t="str">
        <v>MMS_mT2</v>
      </c>
      <c r="E72" s="121" t="str">
        <v>fraction of manure in each secondary system</v>
      </c>
      <c r="F72" s="122"/>
      <c r="G72" s="113" t="str">
        <v>fraction</v>
      </c>
      <c r="H72" s="114" t="str">
        <v>Input</v>
      </c>
      <c r="I72" s="116" t="str" cm="1">
        <f t="array" aca="1" ref="I72" ca="1">HYPERLINK(Common_InputFunctions.Utility_SourceHyperlink($D$77),$D$77)</f>
        <v>Table_MMS_m_T-2</v>
      </c>
      <c r="M72" s="113" t="str">
        <v>MMS_mT2</v>
      </c>
      <c r="N72" s="121" t="str">
        <v>fraction of manure in each secondary system</v>
      </c>
      <c r="O72" s="122"/>
      <c r="P72" s="113" t="str">
        <v>fraction</v>
      </c>
      <c r="Q72" s="114" t="str">
        <v>Input</v>
      </c>
      <c r="R72" s="116"/>
    </row>
    <row r="73" spans="1:18" ht="20.100000000000001" customHeight="1" x14ac:dyDescent="0.2">
      <c r="D73" s="113" t="str">
        <v>MCF_im</v>
      </c>
      <c r="E73" s="121" t="str">
        <v>methane conversion factor for state and MMS</v>
      </c>
      <c r="F73" s="122"/>
      <c r="G73" s="113" t="str">
        <v>fraction</v>
      </c>
      <c r="H73" s="115" t="str">
        <v>Constant</v>
      </c>
      <c r="I73" s="116" t="str" cm="1">
        <f t="array" aca="1" ref="I73" ca="1">HYPERLINK(Common_InputFunctions.Utility_SourceHyperlink($D$84),$D$84)</f>
        <v>M1_Table_MCF_i_m</v>
      </c>
      <c r="M73" s="113" t="str">
        <v>MCF_im</v>
      </c>
      <c r="N73" s="121" t="str">
        <v>methane conversion factor for mean annual temperature and MMS</v>
      </c>
      <c r="O73" s="122"/>
      <c r="P73" s="113" t="str">
        <v>fraction</v>
      </c>
      <c r="Q73" s="115" t="str">
        <v>Constant</v>
      </c>
      <c r="R73" s="116" t="str" cm="1">
        <f t="array" aca="1" ref="R73" ca="1">HYPERLINK(Common_InputFunctions.Utility_SourceHyperlink($M$84),$M$84)</f>
        <v>M2_Table_MCF_i_m</v>
      </c>
    </row>
    <row r="74" spans="1:18" ht="20.100000000000001" customHeight="1" x14ac:dyDescent="0.2">
      <c r="D74" s="113" t="str">
        <v>rho</v>
      </c>
      <c r="E74" s="121" t="str">
        <v>density of methane</v>
      </c>
      <c r="F74" s="122"/>
      <c r="G74" s="113" t="str">
        <v>kg/m3</v>
      </c>
      <c r="H74" s="115" t="str">
        <v>Constant</v>
      </c>
      <c r="I74" s="124">
        <f>Common_SourceData_DensityOfMethane_Data</f>
        <v>0.6784</v>
      </c>
      <c r="M74" s="113" t="str">
        <v>rho</v>
      </c>
      <c r="N74" s="121" t="str">
        <v>density of methane</v>
      </c>
      <c r="O74" s="122"/>
      <c r="P74" s="113" t="str">
        <v>kg/m3</v>
      </c>
      <c r="Q74" s="115" t="str">
        <v>Constant</v>
      </c>
      <c r="R74" s="124"/>
    </row>
    <row r="75" spans="1:18" ht="20.100000000000001" customHeight="1" x14ac:dyDescent="0.2">
      <c r="D75" s="113" t="str">
        <v>i</v>
      </c>
      <c r="E75" s="121" t="str">
        <v>state</v>
      </c>
      <c r="F75" s="122"/>
      <c r="G75" s="113" t="str">
        <v/>
      </c>
      <c r="H75" s="114" t="str">
        <v>Input</v>
      </c>
      <c r="I75" s="124" t="str">
        <f>Common_InputFunctions.Utility_LookupValueInTable(X_Cell_Site_State,Table_AustralianStates[Common Name],Table_AustralianStates[Abbreviation])</f>
        <v>WA</v>
      </c>
      <c r="M75" s="113" t="str">
        <v>i</v>
      </c>
      <c r="N75" s="121" t="str">
        <v>Mean annual temperature</v>
      </c>
      <c r="O75" s="122"/>
      <c r="P75" s="113" t="str">
        <v/>
      </c>
      <c r="Q75" s="114" t="str">
        <v>Input</v>
      </c>
      <c r="R75" s="124">
        <f>X_Cell_Site_AverageTemperature</f>
        <v>18</v>
      </c>
    </row>
    <row r="77" spans="1:18" ht="20.100000000000001" customHeight="1" x14ac:dyDescent="0.2">
      <c r="D77" s="118" t="s">
        <v>343</v>
      </c>
    </row>
    <row r="78" spans="1:18" ht="20.100000000000001" customHeight="1" x14ac:dyDescent="0.2">
      <c r="D78" s="119" t="s">
        <v>344</v>
      </c>
    </row>
    <row r="79" spans="1:18" ht="20.100000000000001" customHeight="1" x14ac:dyDescent="0.2">
      <c r="D79" s="78" t="s">
        <v>307</v>
      </c>
      <c r="E79" s="78" t="s">
        <v>310</v>
      </c>
      <c r="F79" s="78" t="s">
        <v>289</v>
      </c>
      <c r="G79" s="78" t="s">
        <v>290</v>
      </c>
      <c r="H79" s="78" t="s">
        <v>291</v>
      </c>
    </row>
    <row r="80" spans="1:18" ht="20.100000000000001" customHeight="1" x14ac:dyDescent="0.2">
      <c r="D80" s="15" t="s">
        <v>308</v>
      </c>
      <c r="E80" s="15" t="str" cm="1">
        <f t="array" aca="1" ref="E80:H82" ca="1">OFFSET(X_Table_Feedlot_MMS_Stage2,2, 0, 3, 4)</f>
        <v>Solid storage</v>
      </c>
      <c r="F80" s="15">
        <f ca="1"/>
        <v>0.2</v>
      </c>
      <c r="G80" s="15">
        <f ca="1"/>
        <v>0.2</v>
      </c>
      <c r="H80" s="15">
        <f ca="1"/>
        <v>0.2</v>
      </c>
      <c r="I80" s="16" t="str">
        <f>G72</f>
        <v>fraction</v>
      </c>
    </row>
    <row r="81" spans="1:17" ht="20.100000000000001" customHeight="1" x14ac:dyDescent="0.2">
      <c r="D81" s="15" t="s">
        <v>308</v>
      </c>
      <c r="E81" s="15" t="str">
        <f ca="1"/>
        <v>Composting (passive windrow)</v>
      </c>
      <c r="F81" s="15">
        <f ca="1"/>
        <v>0.2</v>
      </c>
      <c r="G81" s="15">
        <f ca="1"/>
        <v>0.2</v>
      </c>
      <c r="H81" s="15">
        <f ca="1"/>
        <v>0.2</v>
      </c>
      <c r="I81" s="16"/>
    </row>
    <row r="82" spans="1:17" ht="20.100000000000001" customHeight="1" x14ac:dyDescent="0.2">
      <c r="D82" s="15" t="s">
        <v>308</v>
      </c>
      <c r="E82" s="15" t="str">
        <f ca="1"/>
        <v>Direct application</v>
      </c>
      <c r="F82" s="15">
        <f ca="1"/>
        <v>0.6</v>
      </c>
      <c r="G82" s="15">
        <f ca="1"/>
        <v>0.6</v>
      </c>
      <c r="H82" s="15">
        <f ca="1"/>
        <v>0.6</v>
      </c>
      <c r="I82" s="16"/>
    </row>
    <row r="84" spans="1:17" ht="20.100000000000001" customHeight="1" x14ac:dyDescent="0.2">
      <c r="D84" s="118" t="s">
        <v>345</v>
      </c>
      <c r="M84" s="118" t="s">
        <v>346</v>
      </c>
    </row>
    <row r="85" spans="1:17" ht="20.100000000000001" customHeight="1" x14ac:dyDescent="0.2">
      <c r="D85" s="119" t="s">
        <v>347</v>
      </c>
      <c r="M85" s="119" t="s">
        <v>348</v>
      </c>
    </row>
    <row r="86" spans="1:17" ht="20.100000000000001" customHeight="1" x14ac:dyDescent="0.2">
      <c r="D86" s="120" t="s">
        <v>307</v>
      </c>
      <c r="E86" s="120" t="s">
        <v>310</v>
      </c>
      <c r="F86" s="120" t="s">
        <v>349</v>
      </c>
      <c r="M86" s="120" t="s">
        <v>307</v>
      </c>
      <c r="N86" s="120" t="s">
        <v>310</v>
      </c>
      <c r="O86" s="120" t="s">
        <v>349</v>
      </c>
    </row>
    <row r="87" spans="1:17" ht="20.100000000000001" customHeight="1" x14ac:dyDescent="0.2">
      <c r="D87" s="15" t="s">
        <v>308</v>
      </c>
      <c r="E87" s="15" t="str">
        <f>INDEX(X_Table_Feedlot_MMS_Stage2,3,1)</f>
        <v>Solid storage</v>
      </c>
      <c r="F87" s="15" cm="1">
        <f t="array" ref="F87">_xlfn.XLOOKUP($I$75, Table_SourceData_Feedlot_MCF[#Headers], _xlfn.XLOOKUP(E87, Table_SourceData_Feedlot_MCF[NIR definition], Table_SourceData_Feedlot_MCF[#Data]))</f>
        <v>0.02</v>
      </c>
      <c r="G87" s="16" t="str">
        <f>G73</f>
        <v>fraction</v>
      </c>
      <c r="M87" s="15" t="str">
        <f>INDEX(X_Table_Feedlot_MMS_Stage1,2,1)</f>
        <v>Drylot (feed pad)</v>
      </c>
      <c r="N87" s="15" t="str">
        <f>INDEX(X_Table_Feedlot_MMS_Stage2,3,1)</f>
        <v>Solid storage</v>
      </c>
      <c r="O87" s="15">
        <f>Common_InputFunctions.Common_GetMCFTemperatureZone($R$75,N87,Table_SourceData_Common_MCFTemperatureZone[MAT (ºC)],Table_SourceData_Common_MCFTemperatureZone[#Headers],Table_SourceData_Common_MCFTemperatureZone[#Data])</f>
        <v>0.02</v>
      </c>
      <c r="P87" s="16" t="str">
        <f>P73</f>
        <v>fraction</v>
      </c>
    </row>
    <row r="88" spans="1:17" ht="20.100000000000001" customHeight="1" x14ac:dyDescent="0.2">
      <c r="D88" s="15" t="s">
        <v>308</v>
      </c>
      <c r="E88" s="15" t="str">
        <f>INDEX(X_Table_Feedlot_MMS_Stage2,4,1)</f>
        <v>Composting (passive windrow)</v>
      </c>
      <c r="F88" s="15" cm="1">
        <f t="array" ref="F88">_xlfn.XLOOKUP($I$75, Table_SourceData_Feedlot_MCF[#Headers], _xlfn.XLOOKUP(E88, Table_SourceData_Feedlot_MCF[NIR definition], Table_SourceData_Feedlot_MCF[#Data]))</f>
        <v>0.01</v>
      </c>
      <c r="G88" s="16"/>
      <c r="M88" s="15" t="str">
        <f>INDEX(X_Table_Feedlot_MMS_Stage1,2,1)</f>
        <v>Drylot (feed pad)</v>
      </c>
      <c r="N88" s="15" t="str">
        <f>INDEX(X_Table_Feedlot_MMS_Stage2,4,1)</f>
        <v>Composting (passive windrow)</v>
      </c>
      <c r="O88" s="15">
        <f>Common_InputFunctions.Common_GetMCFTemperatureZone($R$75,N88,Table_SourceData_Common_MCFTemperatureZone[MAT (ºC)],Table_SourceData_Common_MCFTemperatureZone[#Headers],Table_SourceData_Common_MCFTemperatureZone[#Data])</f>
        <v>0.01</v>
      </c>
      <c r="P88" s="16"/>
    </row>
    <row r="89" spans="1:17" ht="20.100000000000001" customHeight="1" x14ac:dyDescent="0.2">
      <c r="D89" s="15" t="s">
        <v>308</v>
      </c>
      <c r="E89" s="15" t="str">
        <f>INDEX(X_Table_Feedlot_MMS_Stage2,5,1)</f>
        <v>Direct application</v>
      </c>
      <c r="F89" s="15" cm="1">
        <f t="array" ref="F89">_xlfn.XLOOKUP($I$75, Table_SourceData_Feedlot_MCF[#Headers], _xlfn.XLOOKUP(E89, Table_SourceData_Feedlot_MCF[NIR definition], Table_SourceData_Feedlot_MCF[#Data]))</f>
        <v>0</v>
      </c>
      <c r="M89" s="15" t="str">
        <f>INDEX(X_Table_Feedlot_MMS_Stage1,2,1)</f>
        <v>Drylot (feed pad)</v>
      </c>
      <c r="N89" s="15" t="str">
        <f>INDEX(X_Table_Feedlot_MMS_Stage2,5,1)</f>
        <v>Direct application</v>
      </c>
      <c r="O89" s="15">
        <f>Common_InputFunctions.Common_GetMCFTemperatureZone($R$75,N89,Table_SourceData_Common_MCFTemperatureZone[MAT (ºC)],Table_SourceData_Common_MCFTemperatureZone[#Headers],Table_SourceData_Common_MCFTemperatureZone[#Data])</f>
        <v>0</v>
      </c>
    </row>
    <row r="91" spans="1:17" ht="20.100000000000001" customHeight="1" x14ac:dyDescent="0.2">
      <c r="D91" s="35" t="s">
        <v>350</v>
      </c>
      <c r="E91" s="37"/>
      <c r="F91" s="37"/>
      <c r="G91" s="37"/>
      <c r="H91" s="38"/>
    </row>
    <row r="93" spans="1:17" ht="20.100000000000001" customHeight="1" x14ac:dyDescent="0.2">
      <c r="D93" s="118" t="s">
        <v>351</v>
      </c>
      <c r="M93" s="118" t="s">
        <v>352</v>
      </c>
    </row>
    <row r="94" spans="1:17" ht="20.100000000000001" customHeight="1" x14ac:dyDescent="0.2">
      <c r="D94" s="119" t="s">
        <v>353</v>
      </c>
      <c r="M94" s="119" t="s">
        <v>354</v>
      </c>
    </row>
    <row r="95" spans="1:17" ht="20.100000000000001" customHeight="1" x14ac:dyDescent="0.2">
      <c r="D95" s="120" t="s">
        <v>310</v>
      </c>
      <c r="E95" s="120" t="s">
        <v>289</v>
      </c>
      <c r="F95" s="120" t="s">
        <v>290</v>
      </c>
      <c r="G95" s="120" t="s">
        <v>291</v>
      </c>
      <c r="M95" s="120" t="s">
        <v>310</v>
      </c>
      <c r="N95" s="120" t="s">
        <v>289</v>
      </c>
      <c r="O95" s="120" t="s">
        <v>290</v>
      </c>
      <c r="P95" s="120" t="s">
        <v>291</v>
      </c>
    </row>
    <row r="96" spans="1:17" ht="20.100000000000001" customHeight="1" x14ac:dyDescent="0.2">
      <c r="A96" s="79" t="str">
        <f>HYPERLINK("#A1", "▲ Back to top")</f>
        <v>▲ Back to top</v>
      </c>
      <c r="D96" s="15" t="str">
        <f>INDEX(X_Table_Feedlot_MMS_Stage2,3,1)</f>
        <v>Solid storage</v>
      </c>
      <c r="E96" s="15" cm="1">
        <f t="array" aca="1" ref="E96" ca="1">MMS_Feedlot_Methane_Equations.VEERG_4_1_1_1__3_Stage2MethaneProduction($I$69,D$30,$I$71,F80,_xlfn.XLOOKUP($D96,$E$87:$E$89,$F$87:$F$89),$I$74)</f>
        <v>4.2789347327999993E-4</v>
      </c>
      <c r="F96" s="15" cm="1">
        <f t="array" aca="1" ref="F96" ca="1">MMS_Feedlot_Methane_Equations.VEERG_4_1_1_1__3_Stage2MethaneProduction($I$69,E$30,$I$71,G80,_xlfn.XLOOKUP($D96,$E$87:$E$89,$F$87:$F$89),$I$74)</f>
        <v>4.4435091455999993E-4</v>
      </c>
      <c r="G96" s="15" cm="1">
        <f t="array" aca="1" ref="G96" ca="1">MMS_Feedlot_Methane_Equations.VEERG_4_1_1_1__3_Stage2MethaneProduction($I$69,F$30,$I$71,H80,_xlfn.XLOOKUP($D96,$E$87:$E$89,$F$87:$F$89),$I$74)</f>
        <v>3.3737754623999993E-4</v>
      </c>
      <c r="H96" s="16" t="str">
        <f>$E$67</f>
        <v>kg CH4/head/day</v>
      </c>
      <c r="M96" s="15" t="str">
        <f>INDEX(X_Table_Feedlot_MMS_Stage2,3,1)</f>
        <v>Solid storage</v>
      </c>
      <c r="N96" s="15" cm="1">
        <f t="array" aca="1" ref="N96" ca="1">MMS_Feedlot_Methane_Equations.VEERG_4_1_1_1__3_Stage2MethaneProduction($I$69,M$30,$I$71,F80,_xlfn.XLOOKUP($M96,$N$87:$N$89,$O$87:$O$89),$I$74)</f>
        <v>4.2789347327999993E-4</v>
      </c>
      <c r="O96" s="15" cm="1">
        <f t="array" aca="1" ref="O96" ca="1">MMS_Feedlot_Methane_Equations.VEERG_4_1_1_1__3_Stage2MethaneProduction($I$69,N$30,$I$71,G80,_xlfn.XLOOKUP($M96,$N$87:$N$89,$O$87:$O$89),$I$74)</f>
        <v>4.4435091455999993E-4</v>
      </c>
      <c r="P96" s="15" cm="1">
        <f t="array" aca="1" ref="P96" ca="1">MMS_Feedlot_Methane_Equations.VEERG_4_1_1_1__3_Stage2MethaneProduction($I$69,O$30,$I$71,H80,_xlfn.XLOOKUP($M96,$N$87:$N$89,$O$87:$O$89),$I$74)</f>
        <v>3.3737754623999993E-4</v>
      </c>
      <c r="Q96" s="16" t="str">
        <f>$E$67</f>
        <v>kg CH4/head/day</v>
      </c>
    </row>
    <row r="97" spans="3:18" ht="20.100000000000001" customHeight="1" x14ac:dyDescent="0.2">
      <c r="D97" s="15" t="str">
        <f>INDEX(X_Table_Feedlot_MMS_Stage2,4,1)</f>
        <v>Composting (passive windrow)</v>
      </c>
      <c r="E97" s="15" cm="1">
        <f t="array" aca="1" ref="E97" ca="1">MMS_Feedlot_Methane_Equations.VEERG_4_1_1_1__3_Stage2MethaneProduction($I$69,D$30,$I$71,F81,_xlfn.XLOOKUP($D97,$E$87:$E$89,$F$87:$F$89),$I$74)</f>
        <v>2.1394673663999996E-4</v>
      </c>
      <c r="F97" s="15" cm="1">
        <f t="array" aca="1" ref="F97" ca="1">MMS_Feedlot_Methane_Equations.VEERG_4_1_1_1__3_Stage2MethaneProduction($I$69,E$30,$I$71,G81,_xlfn.XLOOKUP($D97,$E$87:$E$89,$F$87:$F$89),$I$74)</f>
        <v>2.2217545727999996E-4</v>
      </c>
      <c r="G97" s="15" cm="1">
        <f t="array" aca="1" ref="G97" ca="1">MMS_Feedlot_Methane_Equations.VEERG_4_1_1_1__3_Stage2MethaneProduction($I$69,F$30,$I$71,H81,_xlfn.XLOOKUP($D97,$E$87:$E$89,$F$87:$F$89),$I$74)</f>
        <v>1.6868877311999997E-4</v>
      </c>
      <c r="H97" s="16"/>
      <c r="M97" s="15" t="str">
        <f>INDEX(X_Table_Feedlot_MMS_Stage2,4,1)</f>
        <v>Composting (passive windrow)</v>
      </c>
      <c r="N97" s="15" cm="1">
        <f t="array" aca="1" ref="N97" ca="1">MMS_Feedlot_Methane_Equations.VEERG_4_1_1_1__3_Stage2MethaneProduction($I$69,M$30,$I$71,F81,_xlfn.XLOOKUP($M97,$N$87:$N$89,$O$87:$O$89),$I$74)</f>
        <v>2.1394673663999996E-4</v>
      </c>
      <c r="O97" s="15" cm="1">
        <f t="array" aca="1" ref="O97" ca="1">MMS_Feedlot_Methane_Equations.VEERG_4_1_1_1__3_Stage2MethaneProduction($I$69,N$30,$I$71,G81,_xlfn.XLOOKUP($M97,$N$87:$N$89,$O$87:$O$89),$I$74)</f>
        <v>2.2217545727999996E-4</v>
      </c>
      <c r="P97" s="15" cm="1">
        <f t="array" aca="1" ref="P97" ca="1">MMS_Feedlot_Methane_Equations.VEERG_4_1_1_1__3_Stage2MethaneProduction($I$69,O$30,$I$71,H81,_xlfn.XLOOKUP($M97,$N$87:$N$89,$O$87:$O$89),$I$74)</f>
        <v>1.6868877311999997E-4</v>
      </c>
      <c r="Q97" s="16"/>
    </row>
    <row r="98" spans="3:18" ht="20.100000000000001" customHeight="1" x14ac:dyDescent="0.2">
      <c r="D98" s="15" t="str">
        <f>INDEX(X_Table_Feedlot_MMS_Stage2,5,1)</f>
        <v>Direct application</v>
      </c>
      <c r="E98" s="15" cm="1">
        <f t="array" aca="1" ref="E98" ca="1">MMS_Feedlot_Methane_Equations.VEERG_4_1_1_1__3_Stage2MethaneProduction($I$69,D$30,$I$71,F82,_xlfn.XLOOKUP($D98,$E$87:$E$89,$F$87:$F$89),$I$74)</f>
        <v>0</v>
      </c>
      <c r="F98" s="15" cm="1">
        <f t="array" aca="1" ref="F98" ca="1">MMS_Feedlot_Methane_Equations.VEERG_4_1_1_1__3_Stage2MethaneProduction($I$69,E$30,$I$71,G82,_xlfn.XLOOKUP($D98,$E$87:$E$89,$F$87:$F$89),$I$74)</f>
        <v>0</v>
      </c>
      <c r="G98" s="15" cm="1">
        <f t="array" aca="1" ref="G98" ca="1">MMS_Feedlot_Methane_Equations.VEERG_4_1_1_1__3_Stage2MethaneProduction($I$69,F$30,$I$71,H82,_xlfn.XLOOKUP($D98,$E$87:$E$89,$F$87:$F$89),$I$74)</f>
        <v>0</v>
      </c>
      <c r="H98" s="16"/>
      <c r="M98" s="15" t="str">
        <f>INDEX(X_Table_Feedlot_MMS_Stage2,5,1)</f>
        <v>Direct application</v>
      </c>
      <c r="N98" s="15" cm="1">
        <f t="array" aca="1" ref="N98" ca="1">MMS_Feedlot_Methane_Equations.VEERG_4_1_1_1__3_Stage2MethaneProduction($I$69,M$30,$I$71,F82,_xlfn.XLOOKUP($M98,$N$87:$N$89,$O$87:$O$89),$I$74)</f>
        <v>0</v>
      </c>
      <c r="O98" s="15" cm="1">
        <f t="array" aca="1" ref="O98" ca="1">MMS_Feedlot_Methane_Equations.VEERG_4_1_1_1__3_Stage2MethaneProduction($I$69,N$30,$I$71,G82,_xlfn.XLOOKUP($M98,$N$87:$N$89,$O$87:$O$89),$I$74)</f>
        <v>0</v>
      </c>
      <c r="P98" s="15" cm="1">
        <f t="array" aca="1" ref="P98" ca="1">MMS_Feedlot_Methane_Equations.VEERG_4_1_1_1__3_Stage2MethaneProduction($I$69,O$30,$I$71,H82,_xlfn.XLOOKUP($M98,$N$87:$N$89,$O$87:$O$89),$I$74)</f>
        <v>0</v>
      </c>
      <c r="Q98" s="16"/>
    </row>
    <row r="101" spans="3:18" ht="20.100000000000001" customHeight="1" x14ac:dyDescent="0.2">
      <c r="C101" s="83"/>
      <c r="D101" s="83"/>
      <c r="E101" s="83"/>
      <c r="F101" s="83"/>
      <c r="G101" s="83"/>
      <c r="H101" s="83"/>
      <c r="I101" s="83"/>
      <c r="J101" s="83"/>
      <c r="L101" s="83"/>
      <c r="M101" s="83"/>
      <c r="N101" s="83"/>
      <c r="O101" s="83"/>
      <c r="P101" s="83"/>
      <c r="Q101" s="83"/>
      <c r="R101" s="83"/>
    </row>
    <row r="102" spans="3:18" ht="20.100000000000001" customHeight="1" x14ac:dyDescent="0.2">
      <c r="D102" s="2" t="str" cm="1">
        <f t="array" ref="D102">MMS_Feedlot_Methane_Equations.VEERG_4_1_1_1__4_Stage3MethaneProductionAnaerobicLagoon_Title()</f>
        <v>Production of methane in treatment stage 3 MMS</v>
      </c>
    </row>
    <row r="103" spans="3:18" ht="20.100000000000001" customHeight="1" x14ac:dyDescent="0.2">
      <c r="D103" s="17" t="str" cm="1">
        <f t="array" ref="D103">MMS_Feedlot_Methane_Equations.VEERG_4_1_1_1__4_Stage3MethaneProductionAnaerobicLagoon_Source()</f>
        <v>VEERG 2026: 4.1.1.1, Equation (4)</v>
      </c>
    </row>
    <row r="104" spans="3:18" ht="20.100000000000001" customHeight="1" x14ac:dyDescent="0.2">
      <c r="D104" s="112" t="s">
        <v>321</v>
      </c>
      <c r="E104" s="112" t="str" cm="1">
        <f t="array" aca="1" ref="E104" ca="1">Common_InputFunctions.Utility_DisplayFunctionName(E125)</f>
        <v>=MMS_Feedlot_Methane_Equations.VEERG_4_1_1_1__4_Stage3MethaneProductionAnaerobicLagoon</v>
      </c>
    </row>
    <row r="106" spans="3:18" ht="20.100000000000001" customHeight="1" x14ac:dyDescent="0.2">
      <c r="D106" s="2"/>
    </row>
    <row r="107" spans="3:18" ht="20.100000000000001" customHeight="1" x14ac:dyDescent="0.2">
      <c r="D107" s="75" t="s">
        <v>322</v>
      </c>
      <c r="E107" s="1" t="str" cm="1">
        <f t="array" ref="E107">MMS_Feedlot_Methane_Equations.VEERG_4_1_1_1__4_Stage3MethaneProductionAnaerobicLagoon_Variable()</f>
        <v>M_jm1T3</v>
      </c>
    </row>
    <row r="108" spans="3:18" ht="20.100000000000001" customHeight="1" x14ac:dyDescent="0.2">
      <c r="D108" s="75" t="s">
        <v>118</v>
      </c>
      <c r="E108" s="9" t="str" cm="1">
        <f t="array" ref="E108">MMS_Feedlot_Methane_Equations.VEERG_4_1_1_1__4_Stage3MethaneProductionAnaerobicLagoon_Unit()</f>
        <v>kg CH4/head/day</v>
      </c>
    </row>
    <row r="110" spans="3:18" ht="20.100000000000001" customHeight="1" x14ac:dyDescent="0.2">
      <c r="D110" s="113" t="str" cm="1">
        <f t="array" ref="D110:E115">_xlfn.CHOOSECOLS(MMS_Feedlot_Methane_Equations.VEERG_4_1_1_1__4_Stage3MethaneProductionAnaerobicLagoon_Arguments(),1,2)</f>
        <v>VS_j</v>
      </c>
      <c r="E110" s="121" t="str">
        <v>volatile solid production from feedlot cattle in each group j</v>
      </c>
      <c r="F110" s="122"/>
      <c r="G110" s="113" t="str" cm="1">
        <f t="array" ref="G110:H115">_xlfn.CHOOSECOLS(MMS_Feedlot_Methane_Equations.VEERG_4_1_1_1__4_Stage3MethaneProductionAnaerobicLagoon_Arguments(),3,4)</f>
        <v>kg/head/day</v>
      </c>
      <c r="H110" s="115" t="str">
        <v>Calculated from 4.1.1.1 (5)</v>
      </c>
      <c r="I110" s="116" t="str" cm="1">
        <f t="array" aca="1" ref="I110" ca="1">HYPERLINK(Common_InputFunctions.Utility_SourceHyperlink($D$27),$D$27)</f>
        <v>M1_Table_VS_j</v>
      </c>
      <c r="M110" s="113" t="str" cm="1">
        <f t="array" ref="M110:N115">_xlfn.CHOOSECOLS(MMS_Feedlot_Methane_Equations.VEERG_4_1_1_1__4_Stage3MethaneProductionAnaerobicLagoon_Arguments_Method2(),1,2)</f>
        <v>VS_j</v>
      </c>
      <c r="N110" s="121" t="str">
        <v>volatile solid production from feedlot cattle in each group j</v>
      </c>
      <c r="O110" s="122"/>
      <c r="P110" s="113" t="str" cm="1">
        <f t="array" ref="P110:Q115">_xlfn.CHOOSECOLS(MMS_Feedlot_Methane_Equations.VEERG_4_1_1_1__4_Stage3MethaneProductionAnaerobicLagoon_Arguments_Method2(),3,4)</f>
        <v>kg/head/day</v>
      </c>
      <c r="Q110" s="115" t="str">
        <v>Calculated from 4.1.1.1 (5)</v>
      </c>
      <c r="R110" s="116"/>
    </row>
    <row r="111" spans="3:18" ht="20.100000000000001" customHeight="1" x14ac:dyDescent="0.2">
      <c r="D111" s="113" t="str">
        <v>BO</v>
      </c>
      <c r="E111" s="121" t="str">
        <v>emissions potential</v>
      </c>
      <c r="F111" s="122"/>
      <c r="G111" s="113" t="str">
        <v>m3 CH4/kg VS</v>
      </c>
      <c r="H111" s="115" t="str">
        <v>Constant</v>
      </c>
      <c r="I111" s="113">
        <f>SourceData_Feedlot_MethaneEmissionsPotential_Data</f>
        <v>0.19</v>
      </c>
      <c r="M111" s="113" t="str">
        <v>BO</v>
      </c>
      <c r="N111" s="121" t="str">
        <v>emissions potential</v>
      </c>
      <c r="O111" s="122"/>
      <c r="P111" s="113" t="str">
        <v>m3 CH4/kg VS</v>
      </c>
      <c r="Q111" s="115" t="str">
        <v>Constant</v>
      </c>
      <c r="R111" s="113"/>
    </row>
    <row r="112" spans="3:18" ht="20.100000000000001" customHeight="1" x14ac:dyDescent="0.2">
      <c r="D112" s="113" t="str">
        <v>MMS_m1T3</v>
      </c>
      <c r="E112" s="121" t="str">
        <v>fraction of manure to tertiary anaerobic lagoon system</v>
      </c>
      <c r="F112" s="122"/>
      <c r="G112" s="113" t="str">
        <v>fraction</v>
      </c>
      <c r="H112" s="114" t="str">
        <v>Input</v>
      </c>
      <c r="I112" s="116" t="str" cm="1">
        <f t="array" aca="1" ref="I112" ca="1">HYPERLINK(Common_InputFunctions.Utility_SourceHyperlink($D$117),$D$117)</f>
        <v>Table_MMS_m-1_T-3</v>
      </c>
      <c r="M112" s="113" t="str">
        <v>MMS_m1T3</v>
      </c>
      <c r="N112" s="121" t="str">
        <v>fraction of manure to tertiary anaerobic lagoon system</v>
      </c>
      <c r="O112" s="122"/>
      <c r="P112" s="113" t="str">
        <v>fraction</v>
      </c>
      <c r="Q112" s="114" t="str">
        <v>Input</v>
      </c>
      <c r="R112" s="116" t="str" cm="1">
        <f t="array" aca="1" ref="R112" ca="1">HYPERLINK(Common_InputFunctions.Utility_SourceHyperlink($D$117),$D$117)</f>
        <v>Table_MMS_m-1_T-3</v>
      </c>
    </row>
    <row r="113" spans="1:18" ht="20.100000000000001" customHeight="1" x14ac:dyDescent="0.2">
      <c r="D113" s="113" t="str">
        <v>MCF_im1</v>
      </c>
      <c r="E113" s="121" t="str">
        <v>methane conversion factor for state and anaerobic lagoon system</v>
      </c>
      <c r="F113" s="122"/>
      <c r="G113" s="113" t="str">
        <v>fraction</v>
      </c>
      <c r="H113" s="115" t="str">
        <v>Constant</v>
      </c>
      <c r="I113" s="113">
        <f>HLOOKUP(I115, Table_SourceData_Feedlot_MCF[#All], 6, FALSE)</f>
        <v>0.77</v>
      </c>
      <c r="M113" s="113" t="str">
        <v>MCF_im1</v>
      </c>
      <c r="N113" s="121" t="str">
        <v>methane conversion factor for mean annual temperature and anaerobic lagoon system</v>
      </c>
      <c r="O113" s="122"/>
      <c r="P113" s="113" t="str">
        <v>fraction</v>
      </c>
      <c r="Q113" s="115" t="str">
        <v>Constant</v>
      </c>
      <c r="R113" s="113">
        <f>Common_InputFunctions.Common_GetMCFTemperatureZone(R115,M125,Table_SourceData_Common_MCFTemperatureZone[MAT (ºC)],Table_SourceData_Common_MCFTemperatureZone[#Headers],Table_SourceData_Common_MCFTemperatureZone[#Data])</f>
        <v>0.77</v>
      </c>
    </row>
    <row r="114" spans="1:18" ht="20.100000000000001" customHeight="1" x14ac:dyDescent="0.2">
      <c r="D114" s="113" t="str">
        <v>rho</v>
      </c>
      <c r="E114" s="121" t="str">
        <v>density of methane</v>
      </c>
      <c r="F114" s="122"/>
      <c r="G114" s="113" t="str">
        <v>kg/m3</v>
      </c>
      <c r="H114" s="115" t="str">
        <v>Constant</v>
      </c>
      <c r="I114" s="113">
        <f>Common_SourceData_DensityOfMethane_Data</f>
        <v>0.6784</v>
      </c>
      <c r="M114" s="113" t="str">
        <v>rho</v>
      </c>
      <c r="N114" s="121" t="str">
        <v>density of methane</v>
      </c>
      <c r="O114" s="122"/>
      <c r="P114" s="113" t="str">
        <v>kg/m3</v>
      </c>
      <c r="Q114" s="115" t="str">
        <v>Constant</v>
      </c>
      <c r="R114" s="113"/>
    </row>
    <row r="115" spans="1:18" ht="20.100000000000001" customHeight="1" x14ac:dyDescent="0.2">
      <c r="D115" s="113" t="str">
        <v>i</v>
      </c>
      <c r="E115" s="121" t="str">
        <v>state</v>
      </c>
      <c r="F115" s="122"/>
      <c r="G115" s="113" t="str">
        <v/>
      </c>
      <c r="H115" s="114" t="str">
        <v>Input</v>
      </c>
      <c r="I115" s="113" t="str">
        <f>Common_InputFunctions.Utility_LookupValueInTable(X_Cell_Site_State,Table_AustralianStates[Common Name],Table_AustralianStates[Abbreviation])</f>
        <v>WA</v>
      </c>
      <c r="M115" s="113" t="str">
        <v>i</v>
      </c>
      <c r="N115" s="121" t="str">
        <v>Mean annual temperature</v>
      </c>
      <c r="O115" s="122"/>
      <c r="P115" s="113" t="str">
        <v/>
      </c>
      <c r="Q115" s="114" t="str">
        <v>Input</v>
      </c>
      <c r="R115" s="124">
        <f>X_Cell_Site_AverageTemperature</f>
        <v>18</v>
      </c>
    </row>
    <row r="117" spans="1:18" ht="20.100000000000001" customHeight="1" x14ac:dyDescent="0.2">
      <c r="D117" s="118" t="s">
        <v>355</v>
      </c>
    </row>
    <row r="118" spans="1:18" ht="20.100000000000001" customHeight="1" x14ac:dyDescent="0.2">
      <c r="D118" s="119" t="s">
        <v>356</v>
      </c>
    </row>
    <row r="119" spans="1:18" ht="20.100000000000001" customHeight="1" x14ac:dyDescent="0.2">
      <c r="D119" s="78" t="s">
        <v>316</v>
      </c>
      <c r="E119" s="78" t="s">
        <v>289</v>
      </c>
      <c r="F119" s="78" t="s">
        <v>290</v>
      </c>
      <c r="G119" s="78" t="s">
        <v>291</v>
      </c>
    </row>
    <row r="120" spans="1:18" ht="20.100000000000001" customHeight="1" x14ac:dyDescent="0.2">
      <c r="D120" s="15" t="str" cm="1">
        <f t="array" aca="1" ref="D120:G120" ca="1">OFFSET(X_Table_Feedlot_MMS_Stage3,2,0,1,4)</f>
        <v>Anaerobic lagoon</v>
      </c>
      <c r="E120" s="15">
        <f ca="1"/>
        <v>0.02</v>
      </c>
      <c r="F120" s="15">
        <f ca="1"/>
        <v>0.02</v>
      </c>
      <c r="G120" s="15">
        <f ca="1"/>
        <v>0.02</v>
      </c>
      <c r="H120" s="16" t="str">
        <f>G112</f>
        <v>fraction</v>
      </c>
    </row>
    <row r="122" spans="1:18" ht="20.100000000000001" customHeight="1" x14ac:dyDescent="0.2">
      <c r="D122" s="118" t="s">
        <v>357</v>
      </c>
      <c r="M122" s="118" t="s">
        <v>358</v>
      </c>
    </row>
    <row r="123" spans="1:18" ht="20.100000000000001" customHeight="1" x14ac:dyDescent="0.2">
      <c r="D123" s="119" t="s">
        <v>359</v>
      </c>
      <c r="M123" s="119" t="s">
        <v>360</v>
      </c>
    </row>
    <row r="124" spans="1:18" ht="20.100000000000001" customHeight="1" x14ac:dyDescent="0.2">
      <c r="D124" s="120" t="s">
        <v>316</v>
      </c>
      <c r="E124" s="120" t="s">
        <v>289</v>
      </c>
      <c r="F124" s="120" t="s">
        <v>290</v>
      </c>
      <c r="G124" s="120" t="s">
        <v>291</v>
      </c>
      <c r="M124" s="120" t="s">
        <v>316</v>
      </c>
      <c r="N124" s="120" t="s">
        <v>289</v>
      </c>
      <c r="O124" s="120" t="s">
        <v>290</v>
      </c>
      <c r="P124" s="120" t="s">
        <v>291</v>
      </c>
    </row>
    <row r="125" spans="1:18" ht="20.100000000000001" customHeight="1" x14ac:dyDescent="0.2">
      <c r="D125" s="15" t="str">
        <f>INDEX(X_Table_Feedlot_MMS_Stage3,3,1)</f>
        <v>Anaerobic lagoon</v>
      </c>
      <c r="E125" s="15" cm="1">
        <f t="array" aca="1" ref="E125" ca="1">MMS_Feedlot_Methane_Equations.VEERG_4_1_1_1__4_Stage3MethaneProductionAnaerobicLagoon(D$30, $I$111,E120,$I$113,$I$114)</f>
        <v>3.2947797442559996E-3</v>
      </c>
      <c r="F125" s="15" cm="1">
        <f t="array" aca="1" ref="F125" ca="1">MMS_Feedlot_Methane_Equations.VEERG_4_1_1_1__4_Stage3MethaneProductionAnaerobicLagoon(E$30, $I$111,F120,$I$113,$I$114)</f>
        <v>3.4215020421119995E-3</v>
      </c>
      <c r="G125" s="15" cm="1">
        <f t="array" aca="1" ref="G125" ca="1">MMS_Feedlot_Methane_Equations.VEERG_4_1_1_1__4_Stage3MethaneProductionAnaerobicLagoon(F$30, $I$111,G120,$I$113,$I$114)</f>
        <v>2.5978071060479987E-3</v>
      </c>
      <c r="H125" s="16" t="str">
        <f>$E$108</f>
        <v>kg CH4/head/day</v>
      </c>
      <c r="M125" s="15" t="str">
        <f>INDEX(X_Table_Feedlot_MMS_Stage3,3,1)</f>
        <v>Anaerobic lagoon</v>
      </c>
      <c r="N125" s="15" cm="1">
        <f t="array" aca="1" ref="N125" ca="1">MMS_Feedlot_Methane_Equations.VEERG_4_1_1_1__4_Stage3MethaneProductionAnaerobicLagoon(M$30, $I$111,E120,$R$113,$I$114)</f>
        <v>3.2947797442559996E-3</v>
      </c>
      <c r="O125" s="15" cm="1">
        <f t="array" aca="1" ref="O125" ca="1">MMS_Feedlot_Methane_Equations.VEERG_4_1_1_1__4_Stage3MethaneProductionAnaerobicLagoon(N$30, $I$111,F120,$R$113,$I$114)</f>
        <v>3.4215020421119995E-3</v>
      </c>
      <c r="P125" s="15" cm="1">
        <f t="array" aca="1" ref="P125" ca="1">MMS_Feedlot_Methane_Equations.VEERG_4_1_1_1__4_Stage3MethaneProductionAnaerobicLagoon(O$30, $I$111,G120,$R$113,$I$114)</f>
        <v>2.5978071060479987E-3</v>
      </c>
      <c r="Q125" s="16" t="str">
        <f>$E$108</f>
        <v>kg CH4/head/day</v>
      </c>
    </row>
    <row r="126" spans="1:18" ht="20.100000000000001" customHeight="1" x14ac:dyDescent="0.2">
      <c r="A126" s="79" t="str">
        <f>HYPERLINK("#A1", "▲ Back to top")</f>
        <v>▲ Back to top</v>
      </c>
    </row>
    <row r="128" spans="1:18" ht="20.100000000000001" customHeight="1" x14ac:dyDescent="0.2">
      <c r="C128" s="83"/>
      <c r="D128" s="83"/>
      <c r="E128" s="83"/>
      <c r="F128" s="83"/>
      <c r="G128" s="83"/>
      <c r="H128" s="83"/>
      <c r="I128" s="83"/>
      <c r="J128" s="83"/>
      <c r="L128" s="83"/>
      <c r="M128" s="83"/>
      <c r="N128" s="83"/>
      <c r="O128" s="83"/>
      <c r="P128" s="83"/>
      <c r="Q128" s="83"/>
      <c r="R128" s="83"/>
    </row>
    <row r="129" spans="4:9" ht="20.100000000000001" customHeight="1" x14ac:dyDescent="0.2">
      <c r="D129" s="2" t="str" cm="1">
        <f t="array" ref="D129">MMS_Feedlot_Methane_Equations.VEERG_4_1_1_1__1_TotalAnnualMethaneEmissions_Title()</f>
        <v>Total annual methane emissions from manure management</v>
      </c>
    </row>
    <row r="130" spans="4:9" ht="20.100000000000001" customHeight="1" x14ac:dyDescent="0.2">
      <c r="D130" s="17" t="str" cm="1">
        <f t="array" ref="D130">MMS_Feedlot_Methane_Equations.VEERG_4_1_1_1__1_TotalAnnualMethaneEmissions_Source()</f>
        <v>VEERG 2026: 4.1.1.1, Equation (1)</v>
      </c>
    </row>
    <row r="131" spans="4:9" ht="20.100000000000001" customHeight="1" x14ac:dyDescent="0.2">
      <c r="D131" s="112" t="s">
        <v>321</v>
      </c>
      <c r="E131" s="112" t="str" cm="1">
        <f t="array" aca="1" ref="E131" ca="1">Common_InputFunctions.Utility_DisplayFunctionName(F164)</f>
        <v>=MMS_Feedlot_Methane_Equations.VEERG_4_1_1_1__1_TotalAnnualMethaneEmissions</v>
      </c>
    </row>
    <row r="133" spans="4:9" ht="20.100000000000001" customHeight="1" x14ac:dyDescent="0.2">
      <c r="D133" s="2"/>
    </row>
    <row r="135" spans="4:9" ht="20.100000000000001" customHeight="1" x14ac:dyDescent="0.2">
      <c r="D135" s="75" t="s">
        <v>322</v>
      </c>
      <c r="E135" s="1" t="str" cm="1">
        <f t="array" ref="E135">MMS_Feedlot_Methane_Equations.VEERG_4_1_1_1__1_TotalAnnualMethaneEmissions_Variable()</f>
        <v>E_CH4</v>
      </c>
    </row>
    <row r="136" spans="4:9" ht="20.100000000000001" customHeight="1" x14ac:dyDescent="0.2">
      <c r="D136" s="75" t="s">
        <v>118</v>
      </c>
      <c r="E136" s="9" t="str" cm="1">
        <f t="array" ref="E136">MMS_Feedlot_Methane_Equations.VEERG_4_1_1_1__1_TotalAnnualMethaneEmissions_Unit()</f>
        <v>t CH4</v>
      </c>
    </row>
    <row r="138" spans="4:9" ht="20.100000000000001" customHeight="1" x14ac:dyDescent="0.2">
      <c r="D138" s="113" t="str" cm="1">
        <f t="array" ref="D138:E140">_xlfn.CHOOSECOLS(MMS_Feedlot_Methane_Equations.VEERG_4_1_1_1__1_TotalAnnualMethaneEmissions_Arguments(),1,2)</f>
        <v>D_j</v>
      </c>
      <c r="E138" s="121" t="str">
        <v>length of stay of each cattle group</v>
      </c>
      <c r="F138" s="122"/>
      <c r="G138" s="113" t="str" cm="1">
        <f t="array" ref="G138:H140">_xlfn.CHOOSECOLS(MMS_Feedlot_Methane_Equations.VEERG_4_1_1_1__1_TotalAnnualMethaneEmissions_Arguments(),3,4)</f>
        <v>days</v>
      </c>
      <c r="H138" s="114" t="str">
        <v>Input</v>
      </c>
      <c r="I138" s="116" t="str" cm="1">
        <f t="array" aca="1" ref="I138" ca="1">HYPERLINK(Common_InputFunctions.Utility_SourceHyperlink($D$142),$D$142)</f>
        <v>Table_D_j</v>
      </c>
    </row>
    <row r="139" spans="4:9" ht="20.100000000000001" customHeight="1" x14ac:dyDescent="0.2">
      <c r="D139" s="113" t="str">
        <v>M_jmT</v>
      </c>
      <c r="E139" s="121" t="str">
        <v>methane production from manure per cattle group, MMS, and treatment stage</v>
      </c>
      <c r="F139" s="122"/>
      <c r="G139" s="113" t="str">
        <v>kg CH4/head/day</v>
      </c>
      <c r="H139" s="115" t="str">
        <v>Calculated from 4.1.1.1 (2)(3)(4)</v>
      </c>
      <c r="I139" s="116" t="str" cm="1">
        <f t="array" aca="1" ref="I139" ca="1">HYPERLINK(Common_InputFunctions.Utility_SourceHyperlink($D$147),$D$147)</f>
        <v>M1_Table_M_j_m_T</v>
      </c>
    </row>
    <row r="140" spans="4:9" ht="20.100000000000001" customHeight="1" x14ac:dyDescent="0.2">
      <c r="D140" s="113" t="str">
        <v>N_j</v>
      </c>
      <c r="E140" s="121" t="str">
        <v>numbers of beef cattle in each group</v>
      </c>
      <c r="F140" s="122"/>
      <c r="G140" s="113" t="str">
        <v>head</v>
      </c>
      <c r="H140" s="114" t="str">
        <v>Input</v>
      </c>
      <c r="I140" s="116" t="str" cm="1">
        <f t="array" aca="1" ref="I140" ca="1">HYPERLINK(Common_InputFunctions.Utility_SourceHyperlink($D$156),$D$156)</f>
        <v>Table_N_j</v>
      </c>
    </row>
    <row r="142" spans="4:9" ht="20.100000000000001" customHeight="1" x14ac:dyDescent="0.2">
      <c r="D142" s="118" t="s">
        <v>361</v>
      </c>
    </row>
    <row r="143" spans="4:9" ht="20.100000000000001" customHeight="1" x14ac:dyDescent="0.2">
      <c r="D143" s="119" t="s">
        <v>362</v>
      </c>
    </row>
    <row r="144" spans="4:9" ht="20.100000000000001" customHeight="1" x14ac:dyDescent="0.2">
      <c r="D144" s="78" t="s">
        <v>289</v>
      </c>
      <c r="E144" s="78" t="s">
        <v>290</v>
      </c>
      <c r="F144" s="78" t="s">
        <v>291</v>
      </c>
    </row>
    <row r="145" spans="1:18" ht="20.100000000000001" customHeight="1" x14ac:dyDescent="0.2">
      <c r="D145" s="125" cm="1">
        <f t="array" aca="1" ref="D145:F145" ca="1">OFFSET(X_Table_Feedlot_HerdMovement,2,1,1,3)</f>
        <v>90</v>
      </c>
      <c r="E145" s="125">
        <f ca="1"/>
        <v>140</v>
      </c>
      <c r="F145" s="125">
        <f ca="1"/>
        <v>250</v>
      </c>
      <c r="G145" s="16" t="str">
        <f>G138</f>
        <v>days</v>
      </c>
    </row>
    <row r="147" spans="1:18" ht="20.100000000000001" customHeight="1" x14ac:dyDescent="0.2">
      <c r="D147" s="118" t="s">
        <v>363</v>
      </c>
      <c r="M147" s="118" t="s">
        <v>364</v>
      </c>
    </row>
    <row r="148" spans="1:18" ht="20.100000000000001" customHeight="1" x14ac:dyDescent="0.2">
      <c r="D148" s="119" t="s">
        <v>365</v>
      </c>
      <c r="M148" s="119" t="s">
        <v>366</v>
      </c>
    </row>
    <row r="149" spans="1:18" ht="20.100000000000001" customHeight="1" x14ac:dyDescent="0.2">
      <c r="D149" s="120" t="s">
        <v>367</v>
      </c>
      <c r="E149" s="120" t="s">
        <v>368</v>
      </c>
      <c r="F149" s="120" t="s">
        <v>289</v>
      </c>
      <c r="G149" s="120" t="s">
        <v>290</v>
      </c>
      <c r="H149" s="120" t="s">
        <v>291</v>
      </c>
      <c r="M149" s="120" t="s">
        <v>367</v>
      </c>
      <c r="N149" s="120" t="s">
        <v>368</v>
      </c>
      <c r="O149" s="120" t="s">
        <v>289</v>
      </c>
      <c r="P149" s="120" t="s">
        <v>290</v>
      </c>
      <c r="Q149" s="120" t="s">
        <v>291</v>
      </c>
    </row>
    <row r="150" spans="1:18" ht="20.100000000000001" customHeight="1" x14ac:dyDescent="0.2">
      <c r="D150" s="15">
        <v>1</v>
      </c>
      <c r="E150" s="15" t="str">
        <f>INDEX(X_Table_Feedlot_MMS_Stage1,2,1)</f>
        <v>Drylot (feed pad)</v>
      </c>
      <c r="F150" s="15">
        <f ca="1">$E$57</f>
        <v>2.1394673663999997E-3</v>
      </c>
      <c r="G150" s="15">
        <f ca="1">$F$57</f>
        <v>2.2217545727999995E-3</v>
      </c>
      <c r="H150" s="15">
        <f ca="1">$G$57</f>
        <v>1.6868877311999992E-3</v>
      </c>
      <c r="I150" s="16" t="str">
        <f>$G$139</f>
        <v>kg CH4/head/day</v>
      </c>
      <c r="M150" s="15">
        <v>1</v>
      </c>
      <c r="N150" s="15" t="str">
        <f>INDEX(X_Table_Feedlot_MMS_Stage1,2,1)</f>
        <v>Drylot (feed pad)</v>
      </c>
      <c r="O150" s="15">
        <f ca="1">$N$57</f>
        <v>2.1394673663999997E-3</v>
      </c>
      <c r="P150" s="15">
        <f ca="1">$O$57</f>
        <v>2.2217545727999995E-3</v>
      </c>
      <c r="Q150" s="15">
        <f ca="1">$P$57</f>
        <v>1.6868877311999992E-3</v>
      </c>
      <c r="R150" s="16" t="str">
        <f>$G$139</f>
        <v>kg CH4/head/day</v>
      </c>
    </row>
    <row r="151" spans="1:18" ht="20.100000000000001" customHeight="1" x14ac:dyDescent="0.2">
      <c r="D151" s="15">
        <v>2</v>
      </c>
      <c r="E151" s="15" t="str">
        <f>INDEX(X_Table_Feedlot_MMS_Stage2,3,1)</f>
        <v>Solid storage</v>
      </c>
      <c r="F151" s="15">
        <f ca="1">$E$96</f>
        <v>4.2789347327999993E-4</v>
      </c>
      <c r="G151" s="15">
        <f ca="1">$F$96</f>
        <v>4.4435091455999993E-4</v>
      </c>
      <c r="H151" s="15">
        <f ca="1">$G$96</f>
        <v>3.3737754623999993E-4</v>
      </c>
      <c r="I151" s="16"/>
      <c r="M151" s="15">
        <v>2</v>
      </c>
      <c r="N151" s="15" t="str">
        <f>INDEX(X_Table_Feedlot_MMS_Stage2,3,1)</f>
        <v>Solid storage</v>
      </c>
      <c r="O151" s="15">
        <f ca="1">$N$96</f>
        <v>4.2789347327999993E-4</v>
      </c>
      <c r="P151" s="15">
        <f ca="1">$O$96</f>
        <v>4.4435091455999993E-4</v>
      </c>
      <c r="Q151" s="15">
        <f ca="1">$P$96</f>
        <v>3.3737754623999993E-4</v>
      </c>
      <c r="R151" s="16"/>
    </row>
    <row r="152" spans="1:18" ht="20.100000000000001" customHeight="1" x14ac:dyDescent="0.2">
      <c r="D152" s="15">
        <v>2</v>
      </c>
      <c r="E152" s="15" t="str">
        <f>INDEX(X_Table_Feedlot_MMS_Stage2,4,1)</f>
        <v>Composting (passive windrow)</v>
      </c>
      <c r="F152" s="15">
        <f ca="1">$E$97</f>
        <v>2.1394673663999996E-4</v>
      </c>
      <c r="G152" s="15">
        <f ca="1">$F$97</f>
        <v>2.2217545727999996E-4</v>
      </c>
      <c r="H152" s="15">
        <f ca="1">$G$97</f>
        <v>1.6868877311999997E-4</v>
      </c>
      <c r="I152" s="16"/>
      <c r="M152" s="15">
        <v>2</v>
      </c>
      <c r="N152" s="15" t="str">
        <f>INDEX(X_Table_Feedlot_MMS_Stage2,4,1)</f>
        <v>Composting (passive windrow)</v>
      </c>
      <c r="O152" s="15">
        <f ca="1">$N$97</f>
        <v>2.1394673663999996E-4</v>
      </c>
      <c r="P152" s="15">
        <f ca="1">$O$97</f>
        <v>2.2217545727999996E-4</v>
      </c>
      <c r="Q152" s="15">
        <f ca="1">$P$97</f>
        <v>1.6868877311999997E-4</v>
      </c>
      <c r="R152" s="16"/>
    </row>
    <row r="153" spans="1:18" ht="20.100000000000001" customHeight="1" x14ac:dyDescent="0.2">
      <c r="D153" s="15">
        <v>2</v>
      </c>
      <c r="E153" s="15" t="str">
        <f>INDEX(X_Table_Feedlot_MMS_Stage2,5,1)</f>
        <v>Direct application</v>
      </c>
      <c r="F153" s="15">
        <f ca="1">$E$98</f>
        <v>0</v>
      </c>
      <c r="G153" s="15">
        <f ca="1">$F$98</f>
        <v>0</v>
      </c>
      <c r="H153" s="15">
        <f ca="1">$G$98</f>
        <v>0</v>
      </c>
      <c r="I153" s="16"/>
      <c r="M153" s="15">
        <v>2</v>
      </c>
      <c r="N153" s="15" t="str">
        <f>INDEX(X_Table_Feedlot_MMS_Stage2,5,1)</f>
        <v>Direct application</v>
      </c>
      <c r="O153" s="15">
        <f ca="1">$N$98</f>
        <v>0</v>
      </c>
      <c r="P153" s="15">
        <f ca="1">$O$98</f>
        <v>0</v>
      </c>
      <c r="Q153" s="15">
        <f ca="1">$P$98</f>
        <v>0</v>
      </c>
      <c r="R153" s="16"/>
    </row>
    <row r="154" spans="1:18" ht="20.100000000000001" customHeight="1" x14ac:dyDescent="0.2">
      <c r="D154" s="15">
        <v>3</v>
      </c>
      <c r="E154" s="15" t="str">
        <f>INDEX(X_Table_Feedlot_MMS_Stage3,3,1)</f>
        <v>Anaerobic lagoon</v>
      </c>
      <c r="F154" s="15">
        <f ca="1">$E$125</f>
        <v>3.2947797442559996E-3</v>
      </c>
      <c r="G154" s="15">
        <f ca="1">$F$125</f>
        <v>3.4215020421119995E-3</v>
      </c>
      <c r="H154" s="15">
        <f ca="1">$G$125</f>
        <v>2.5978071060479987E-3</v>
      </c>
      <c r="I154" s="16"/>
      <c r="M154" s="15">
        <v>3</v>
      </c>
      <c r="N154" s="15" t="str">
        <f>INDEX(X_Table_Feedlot_MMS_Stage3,3,1)</f>
        <v>Anaerobic lagoon</v>
      </c>
      <c r="O154" s="15">
        <f ca="1">$N$125</f>
        <v>3.2947797442559996E-3</v>
      </c>
      <c r="P154" s="15">
        <f ca="1">$O$125</f>
        <v>3.4215020421119995E-3</v>
      </c>
      <c r="Q154" s="15">
        <f ca="1">$P$125</f>
        <v>2.5978071060479987E-3</v>
      </c>
      <c r="R154" s="16"/>
    </row>
    <row r="156" spans="1:18" ht="20.100000000000001" customHeight="1" x14ac:dyDescent="0.2">
      <c r="A156" s="79" t="str">
        <f>HYPERLINK("#A1", "▲ Back to top")</f>
        <v>▲ Back to top</v>
      </c>
      <c r="D156" s="118" t="s">
        <v>369</v>
      </c>
    </row>
    <row r="157" spans="1:18" ht="20.100000000000001" customHeight="1" x14ac:dyDescent="0.2">
      <c r="D157" s="119" t="s">
        <v>370</v>
      </c>
    </row>
    <row r="158" spans="1:18" ht="20.100000000000001" customHeight="1" x14ac:dyDescent="0.2">
      <c r="D158" s="78" t="s">
        <v>289</v>
      </c>
      <c r="E158" s="78" t="s">
        <v>290</v>
      </c>
      <c r="F158" s="78" t="s">
        <v>291</v>
      </c>
    </row>
    <row r="159" spans="1:18" ht="20.100000000000001" customHeight="1" x14ac:dyDescent="0.2">
      <c r="D159" s="125" cm="1">
        <f t="array" aca="1" ref="D159:F159" ca="1">OFFSET(X_Table_Feedlot_HerdMovement,1,1,1,3)</f>
        <v>1000</v>
      </c>
      <c r="E159" s="125">
        <f ca="1"/>
        <v>1000</v>
      </c>
      <c r="F159" s="125">
        <f ca="1"/>
        <v>1000</v>
      </c>
      <c r="G159" s="16" t="str">
        <f>G140</f>
        <v>head</v>
      </c>
    </row>
    <row r="161" spans="4:18" ht="20.100000000000001" customHeight="1" x14ac:dyDescent="0.2">
      <c r="D161" s="118" t="s">
        <v>371</v>
      </c>
      <c r="M161" s="118" t="s">
        <v>371</v>
      </c>
    </row>
    <row r="162" spans="4:18" ht="20.100000000000001" customHeight="1" x14ac:dyDescent="0.2">
      <c r="D162" s="119" t="s">
        <v>372</v>
      </c>
      <c r="M162" s="119" t="s">
        <v>372</v>
      </c>
    </row>
    <row r="163" spans="4:18" ht="20.100000000000001" customHeight="1" x14ac:dyDescent="0.2">
      <c r="D163" s="120" t="s">
        <v>367</v>
      </c>
      <c r="E163" s="120" t="s">
        <v>368</v>
      </c>
      <c r="F163" s="120" t="s">
        <v>289</v>
      </c>
      <c r="G163" s="120" t="s">
        <v>290</v>
      </c>
      <c r="H163" s="120" t="s">
        <v>291</v>
      </c>
      <c r="M163" s="120" t="s">
        <v>367</v>
      </c>
      <c r="N163" s="120" t="s">
        <v>368</v>
      </c>
      <c r="O163" s="120" t="s">
        <v>289</v>
      </c>
      <c r="P163" s="120" t="s">
        <v>290</v>
      </c>
      <c r="Q163" s="120" t="s">
        <v>291</v>
      </c>
    </row>
    <row r="164" spans="4:18" ht="20.100000000000001" customHeight="1" x14ac:dyDescent="0.2">
      <c r="D164" s="15">
        <v>1</v>
      </c>
      <c r="E164" s="15" t="str">
        <f>INDEX(X_Table_Feedlot_MMS_Stage1,2,1)</f>
        <v>Drylot (feed pad)</v>
      </c>
      <c r="F164" s="15" cm="1">
        <f t="array" aca="1" ref="F164" ca="1">MMS_Feedlot_Methane_Equations.VEERG_4_1_1_1__1_TotalAnnualMethaneEmissions(D$145, F150, D$159)</f>
        <v>0.19255206297599997</v>
      </c>
      <c r="G164" s="15" cm="1">
        <f t="array" aca="1" ref="G164" ca="1">MMS_Feedlot_Methane_Equations.VEERG_4_1_1_1__1_TotalAnnualMethaneEmissions(E$145, G150, E$159)</f>
        <v>0.31104564019199998</v>
      </c>
      <c r="H164" s="15" cm="1">
        <f t="array" aca="1" ref="H164" ca="1">MMS_Feedlot_Methane_Equations.VEERG_4_1_1_1__1_TotalAnnualMethaneEmissions(F$145, H150, F$159)</f>
        <v>0.42172193279999981</v>
      </c>
      <c r="I164" s="16" t="str">
        <f>$E$136</f>
        <v>t CH4</v>
      </c>
      <c r="M164" s="15">
        <v>1</v>
      </c>
      <c r="N164" s="15" t="str">
        <f>INDEX(X_Table_Feedlot_MMS_Stage1,2,1)</f>
        <v>Drylot (feed pad)</v>
      </c>
      <c r="O164" s="15" cm="1">
        <f t="array" aca="1" ref="O164" ca="1">MMS_Feedlot_Methane_Equations.VEERG_4_1_1_1__1_TotalAnnualMethaneEmissions(D$145, O150, D$159)</f>
        <v>0.19255206297599997</v>
      </c>
      <c r="P164" s="15" cm="1">
        <f t="array" aca="1" ref="P164" ca="1">MMS_Feedlot_Methane_Equations.VEERG_4_1_1_1__1_TotalAnnualMethaneEmissions(E$145, P150, E$159)</f>
        <v>0.31104564019199998</v>
      </c>
      <c r="Q164" s="15" cm="1">
        <f t="array" aca="1" ref="Q164" ca="1">MMS_Feedlot_Methane_Equations.VEERG_4_1_1_1__1_TotalAnnualMethaneEmissions(F$145, Q150, F$159)</f>
        <v>0.42172193279999981</v>
      </c>
      <c r="R164" s="16" t="str">
        <f>$E$136</f>
        <v>t CH4</v>
      </c>
    </row>
    <row r="165" spans="4:18" ht="20.100000000000001" customHeight="1" x14ac:dyDescent="0.2">
      <c r="D165" s="15">
        <v>2</v>
      </c>
      <c r="E165" s="15" t="str">
        <f>INDEX(X_Table_Feedlot_MMS_Stage2,3,1)</f>
        <v>Solid storage</v>
      </c>
      <c r="F165" s="15" cm="1">
        <f t="array" aca="1" ref="F165" ca="1">MMS_Feedlot_Methane_Equations.VEERG_4_1_1_1__1_TotalAnnualMethaneEmissions(D$145, F151, D$159)</f>
        <v>3.8510412595199994E-2</v>
      </c>
      <c r="G165" s="15" cm="1">
        <f t="array" aca="1" ref="G165" ca="1">MMS_Feedlot_Methane_Equations.VEERG_4_1_1_1__1_TotalAnnualMethaneEmissions(E$145, G151, E$159)</f>
        <v>6.2209128038399987E-2</v>
      </c>
      <c r="H165" s="15" cm="1">
        <f t="array" aca="1" ref="H165" ca="1">MMS_Feedlot_Methane_Equations.VEERG_4_1_1_1__1_TotalAnnualMethaneEmissions(F$145, H151, F$159)</f>
        <v>8.4344386559999998E-2</v>
      </c>
      <c r="I165" s="16"/>
      <c r="M165" s="15">
        <v>2</v>
      </c>
      <c r="N165" s="15" t="str">
        <f>INDEX(X_Table_Feedlot_MMS_Stage2,3,1)</f>
        <v>Solid storage</v>
      </c>
      <c r="O165" s="15" cm="1">
        <f t="array" aca="1" ref="O165" ca="1">MMS_Feedlot_Methane_Equations.VEERG_4_1_1_1__1_TotalAnnualMethaneEmissions(D$145, O151, D$159)</f>
        <v>3.8510412595199994E-2</v>
      </c>
      <c r="P165" s="15" cm="1">
        <f t="array" aca="1" ref="P165" ca="1">MMS_Feedlot_Methane_Equations.VEERG_4_1_1_1__1_TotalAnnualMethaneEmissions(E$145, P151, E$159)</f>
        <v>6.2209128038399987E-2</v>
      </c>
      <c r="Q165" s="15" cm="1">
        <f t="array" aca="1" ref="Q165" ca="1">MMS_Feedlot_Methane_Equations.VEERG_4_1_1_1__1_TotalAnnualMethaneEmissions(F$145, Q151, F$159)</f>
        <v>8.4344386559999998E-2</v>
      </c>
      <c r="R165" s="16"/>
    </row>
    <row r="166" spans="4:18" ht="20.100000000000001" customHeight="1" x14ac:dyDescent="0.2">
      <c r="D166" s="15">
        <v>2</v>
      </c>
      <c r="E166" s="15" t="str">
        <f>INDEX(X_Table_Feedlot_MMS_Stage2,4,1)</f>
        <v>Composting (passive windrow)</v>
      </c>
      <c r="F166" s="15" cm="1">
        <f t="array" aca="1" ref="F166" ca="1">MMS_Feedlot_Methane_Equations.VEERG_4_1_1_1__1_TotalAnnualMethaneEmissions(D$145, F152, D$159)</f>
        <v>1.9255206297599997E-2</v>
      </c>
      <c r="G166" s="15" cm="1">
        <f t="array" aca="1" ref="G166" ca="1">MMS_Feedlot_Methane_Equations.VEERG_4_1_1_1__1_TotalAnnualMethaneEmissions(E$145, G152, E$159)</f>
        <v>3.1104564019199994E-2</v>
      </c>
      <c r="H166" s="15" cm="1">
        <f t="array" aca="1" ref="H166" ca="1">MMS_Feedlot_Methane_Equations.VEERG_4_1_1_1__1_TotalAnnualMethaneEmissions(F$145, H152, F$159)</f>
        <v>4.2172193279999999E-2</v>
      </c>
      <c r="I166" s="16"/>
      <c r="M166" s="15">
        <v>2</v>
      </c>
      <c r="N166" s="15" t="str">
        <f>INDEX(X_Table_Feedlot_MMS_Stage2,4,1)</f>
        <v>Composting (passive windrow)</v>
      </c>
      <c r="O166" s="15" cm="1">
        <f t="array" aca="1" ref="O166" ca="1">MMS_Feedlot_Methane_Equations.VEERG_4_1_1_1__1_TotalAnnualMethaneEmissions(D$145, O152, D$159)</f>
        <v>1.9255206297599997E-2</v>
      </c>
      <c r="P166" s="15" cm="1">
        <f t="array" aca="1" ref="P166" ca="1">MMS_Feedlot_Methane_Equations.VEERG_4_1_1_1__1_TotalAnnualMethaneEmissions(E$145, P152, E$159)</f>
        <v>3.1104564019199994E-2</v>
      </c>
      <c r="Q166" s="15" cm="1">
        <f t="array" aca="1" ref="Q166" ca="1">MMS_Feedlot_Methane_Equations.VEERG_4_1_1_1__1_TotalAnnualMethaneEmissions(F$145, Q152, F$159)</f>
        <v>4.2172193279999999E-2</v>
      </c>
      <c r="R166" s="16"/>
    </row>
    <row r="167" spans="4:18" ht="20.100000000000001" customHeight="1" x14ac:dyDescent="0.2">
      <c r="D167" s="15">
        <v>2</v>
      </c>
      <c r="E167" s="15" t="str">
        <f>INDEX(X_Table_Feedlot_MMS_Stage2,5,1)</f>
        <v>Direct application</v>
      </c>
      <c r="F167" s="15" cm="1">
        <f t="array" aca="1" ref="F167" ca="1">MMS_Feedlot_Methane_Equations.VEERG_4_1_1_1__1_TotalAnnualMethaneEmissions(D$145, F153, D$159)</f>
        <v>0</v>
      </c>
      <c r="G167" s="15" cm="1">
        <f t="array" aca="1" ref="G167" ca="1">MMS_Feedlot_Methane_Equations.VEERG_4_1_1_1__1_TotalAnnualMethaneEmissions(E$145, G153, E$159)</f>
        <v>0</v>
      </c>
      <c r="H167" s="15" cm="1">
        <f t="array" aca="1" ref="H167" ca="1">MMS_Feedlot_Methane_Equations.VEERG_4_1_1_1__1_TotalAnnualMethaneEmissions(F$145, H153, F$159)</f>
        <v>0</v>
      </c>
      <c r="I167" s="16"/>
      <c r="M167" s="15">
        <v>2</v>
      </c>
      <c r="N167" s="15" t="str">
        <f>INDEX(X_Table_Feedlot_MMS_Stage2,5,1)</f>
        <v>Direct application</v>
      </c>
      <c r="O167" s="15" cm="1">
        <f t="array" aca="1" ref="O167" ca="1">MMS_Feedlot_Methane_Equations.VEERG_4_1_1_1__1_TotalAnnualMethaneEmissions(D$145, O153, D$159)</f>
        <v>0</v>
      </c>
      <c r="P167" s="15" cm="1">
        <f t="array" aca="1" ref="P167" ca="1">MMS_Feedlot_Methane_Equations.VEERG_4_1_1_1__1_TotalAnnualMethaneEmissions(E$145, P153, E$159)</f>
        <v>0</v>
      </c>
      <c r="Q167" s="15" cm="1">
        <f t="array" aca="1" ref="Q167" ca="1">MMS_Feedlot_Methane_Equations.VEERG_4_1_1_1__1_TotalAnnualMethaneEmissions(F$145, Q153, F$159)</f>
        <v>0</v>
      </c>
      <c r="R167" s="16"/>
    </row>
    <row r="168" spans="4:18" ht="20.100000000000001" customHeight="1" x14ac:dyDescent="0.2">
      <c r="D168" s="15">
        <v>3</v>
      </c>
      <c r="E168" s="15" t="str">
        <f>INDEX(X_Table_Feedlot_MMS_Stage3,3,1)</f>
        <v>Anaerobic lagoon</v>
      </c>
      <c r="F168" s="15" cm="1">
        <f t="array" aca="1" ref="F168" ca="1">MMS_Feedlot_Methane_Equations.VEERG_4_1_1_1__1_TotalAnnualMethaneEmissions(D$145, F154, D$159)</f>
        <v>0.29653017698303996</v>
      </c>
      <c r="G168" s="15" cm="1">
        <f t="array" aca="1" ref="G168" ca="1">MMS_Feedlot_Methane_Equations.VEERG_4_1_1_1__1_TotalAnnualMethaneEmissions(E$145, G154, E$159)</f>
        <v>0.47901028589567995</v>
      </c>
      <c r="H168" s="15" cm="1">
        <f t="array" aca="1" ref="H168" ca="1">MMS_Feedlot_Methane_Equations.VEERG_4_1_1_1__1_TotalAnnualMethaneEmissions(F$145, H154, F$159)</f>
        <v>0.6494517765119997</v>
      </c>
      <c r="I168" s="16"/>
      <c r="M168" s="15">
        <v>3</v>
      </c>
      <c r="N168" s="15" t="str">
        <f>INDEX(X_Table_Feedlot_MMS_Stage3,3,1)</f>
        <v>Anaerobic lagoon</v>
      </c>
      <c r="O168" s="15" cm="1">
        <f t="array" aca="1" ref="O168" ca="1">MMS_Feedlot_Methane_Equations.VEERG_4_1_1_1__1_TotalAnnualMethaneEmissions(D$145, O154, D$159)</f>
        <v>0.29653017698303996</v>
      </c>
      <c r="P168" s="15" cm="1">
        <f t="array" aca="1" ref="P168" ca="1">MMS_Feedlot_Methane_Equations.VEERG_4_1_1_1__1_TotalAnnualMethaneEmissions(E$145, P154, E$159)</f>
        <v>0.47901028589567995</v>
      </c>
      <c r="Q168" s="15" cm="1">
        <f t="array" aca="1" ref="Q168" ca="1">MMS_Feedlot_Methane_Equations.VEERG_4_1_1_1__1_TotalAnnualMethaneEmissions(F$145, Q154, F$159)</f>
        <v>0.6494517765119997</v>
      </c>
      <c r="R168" s="16"/>
    </row>
    <row r="171" spans="4:18" ht="20.100000000000001" customHeight="1" x14ac:dyDescent="0.2">
      <c r="D171" s="85" t="s">
        <v>373</v>
      </c>
      <c r="E171" s="86">
        <f ca="1">SUM(F164:H168)</f>
        <v>2.6279077661491193</v>
      </c>
      <c r="F171" s="95" t="str">
        <f>$E$136</f>
        <v>t CH4</v>
      </c>
      <c r="M171" s="85" t="s">
        <v>374</v>
      </c>
      <c r="N171" s="86">
        <f ca="1">SUM(O164:Q168)</f>
        <v>2.6279077661491193</v>
      </c>
      <c r="O171" s="95" t="str">
        <f>$E$136</f>
        <v>t CH4</v>
      </c>
    </row>
    <row r="173" spans="4:18" ht="20.100000000000001" customHeight="1" x14ac:dyDescent="0.2">
      <c r="D173" s="124" t="str" cm="1">
        <f t="array" ref="D173:E174">Common_Equations.Common_ConvertCH4ToCO2e_Arguments()</f>
        <v>ECH4</v>
      </c>
      <c r="E173" s="126" t="str">
        <v>Methane emissions (t CH4)</v>
      </c>
      <c r="F173" s="127"/>
      <c r="G173" s="15">
        <f ca="1">VEERG_4_1_1_1__1_TotalAnnualMethaneEmissions_Result_Method1</f>
        <v>2.6279077661491193</v>
      </c>
      <c r="H173" s="16" t="str">
        <f>$E$136</f>
        <v>t CH4</v>
      </c>
      <c r="M173" s="124" t="str" cm="1">
        <f t="array" ref="M173:N174">Common_Equations.Common_ConvertCH4ToCO2e_Arguments()</f>
        <v>ECH4</v>
      </c>
      <c r="N173" s="126" t="str">
        <v>Methane emissions (t CH4)</v>
      </c>
      <c r="O173" s="127"/>
      <c r="P173" s="15">
        <f ca="1">VEERG_4_1_1_1__1_TotalAnnualMethaneEmissions_Result_Method2</f>
        <v>2.6279077661491193</v>
      </c>
      <c r="Q173" s="16" t="str">
        <f>$E$136</f>
        <v>t CH4</v>
      </c>
    </row>
    <row r="174" spans="4:18" ht="20.100000000000001" customHeight="1" x14ac:dyDescent="0.2">
      <c r="D174" s="124" t="str">
        <v>GWPCH4</v>
      </c>
      <c r="E174" s="126" t="str">
        <v>Global warming potential for methane (t CO2-e / t CH4)</v>
      </c>
      <c r="F174" s="127"/>
      <c r="G174" s="15">
        <f>Common_InputFunctions.Utility_LookupValueInTableNumber("CH4",Table_GWPData[Gas],Table_GWPData[CO2-e factor])</f>
        <v>28</v>
      </c>
      <c r="M174" s="124" t="str">
        <v>GWPCH4</v>
      </c>
      <c r="N174" s="126" t="str">
        <v>Global warming potential for methane (t CO2-e / t CH4)</v>
      </c>
      <c r="O174" s="127"/>
      <c r="P174" s="15">
        <f>Common_InputFunctions.Utility_LookupValueInTableNumber("CH4",Table_GWPData[Gas],Table_GWPData[CO2-e factor])</f>
        <v>28</v>
      </c>
    </row>
    <row r="176" spans="4:18" ht="20.100000000000001" customHeight="1" x14ac:dyDescent="0.2">
      <c r="D176" s="83" t="s">
        <v>375</v>
      </c>
      <c r="E176" s="83" cm="1">
        <f t="array" aca="1" ref="E176" ca="1">Common_Equations.Common_ConvertCH4ToCO2e(G173,G174)</f>
        <v>73.581417452175344</v>
      </c>
      <c r="F176" s="89" t="str" cm="1">
        <f t="array" ref="F176">Common_Equations.Common_ConvertN2OToCO2e_Unit()</f>
        <v>t CO2e</v>
      </c>
      <c r="M176" s="83" t="s">
        <v>376</v>
      </c>
      <c r="N176" s="83" cm="1">
        <f t="array" aca="1" ref="N176" ca="1">Common_Equations.Common_ConvertCH4ToCO2e(P173,P174)</f>
        <v>73.581417452175344</v>
      </c>
      <c r="O176" s="89" t="str" cm="1">
        <f t="array" ref="O176">Common_Equations.Common_ConvertN2OToCO2e_Unit()</f>
        <v>t CO2e</v>
      </c>
    </row>
  </sheetData>
  <dataValidations count="1">
    <dataValidation operator="equal" allowBlank="1" showInputMessage="1" showErrorMessage="1" sqref="E52:G52 E57:G57 E120:G120 E125:G125 D145:F145 N125:P125 N57:P57 D159:F159" xr:uid="{CAD7B7AA-9190-4925-B0EB-89EF847B26D9}"/>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D086D-CEB3-4632-89D4-90193365C87D}">
  <sheetPr>
    <tabColor rgb="FF008000"/>
  </sheetPr>
  <dimension ref="A1:T217"/>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20" customFormat="1" ht="30" customHeight="1" x14ac:dyDescent="0.35">
      <c r="A1" s="10" t="e" vm="1">
        <v>#VALUE!</v>
      </c>
      <c r="C1" s="20" t="s">
        <v>377</v>
      </c>
    </row>
    <row r="2" spans="1:20" s="3" customFormat="1" ht="20.100000000000001" customHeight="1" x14ac:dyDescent="0.2">
      <c r="A2"/>
    </row>
    <row r="3" spans="1:20"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tr" cm="1">
        <f t="array" ref="D5">MMS_Feedlot_N2ODirect_Equations.VEERG_4_1_1_3__5_NitrogenIntake_Title()</f>
        <v>Nitrogen intake of feedlot cattle</v>
      </c>
    </row>
    <row r="6" spans="1:20" ht="20.100000000000001" customHeight="1" x14ac:dyDescent="0.2">
      <c r="D6" s="17" t="str" cm="1">
        <f t="array" ref="D6">MMS_Feedlot_N2ODirect_Equations.VEERG_4_1_1_3__5_NitrogenIntake_Source()</f>
        <v>VEERG 2026: 4.1.1.3, Equation (5)</v>
      </c>
    </row>
    <row r="7" spans="1:20" ht="20.100000000000001" customHeight="1" x14ac:dyDescent="0.2">
      <c r="D7" s="112" t="s">
        <v>378</v>
      </c>
      <c r="E7" s="112" t="str" cm="1">
        <f t="array" aca="1" ref="E7" ca="1">Common_InputFunctions.Utility_DisplayFunctionName(D30)</f>
        <v>=MMS_Feedlot_N2ODirect_Equations.VEERG_4_1_1_3__5_NitrogenIntake</v>
      </c>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5" t="s">
        <v>322</v>
      </c>
      <c r="E10" s="1" t="str" cm="1">
        <f t="array" ref="E10">MMS_Feedlot_N2ODirect_Equations.VEERG_4_1_1_3__5_NitrogenIntake_Variable()</f>
        <v>NI_j</v>
      </c>
    </row>
    <row r="11" spans="1:20" ht="20.100000000000001" customHeight="1" x14ac:dyDescent="0.2">
      <c r="A11" s="5" t="str">
        <f>HYPERLINK("#'Input - Feedlot'!A1", "Feedlot")</f>
        <v>Feedlot</v>
      </c>
      <c r="D11" s="75" t="s">
        <v>118</v>
      </c>
      <c r="E11" s="9" t="str" cm="1">
        <f t="array" ref="E11">MMS_Feedlot_N2ODirect_Equations.VEERG_4_1_1_3__5_NitrogenIntake_Unit()</f>
        <v>kg N/head/day</v>
      </c>
    </row>
    <row r="12" spans="1:20" ht="20.100000000000001" customHeight="1" x14ac:dyDescent="0.2">
      <c r="A12" s="5" t="str">
        <f>HYPERLINK("#'Input - Livestock sales'!A1", "Livestock sales")</f>
        <v>Livestock sales</v>
      </c>
    </row>
    <row r="13" spans="1:20" ht="20.100000000000001" customHeight="1" x14ac:dyDescent="0.2">
      <c r="A13" s="5" t="str">
        <f>HYPERLINK("#'Input - Beef cattle purchases'!A1", "Beef cattle purchases")</f>
        <v>Beef cattle purchases</v>
      </c>
      <c r="D13" s="113" t="str" cm="1">
        <f t="array" ref="D13:E15">_xlfn.CHOOSECOLS(MMS_Feedlot_N2ODirect_Equations.VEERG_4_1_1_3__5_NitrogenIntake_Arguments(),1,2)</f>
        <v>I_j</v>
      </c>
      <c r="E13" s="121" t="str">
        <v>dry matter intake</v>
      </c>
      <c r="F13" s="122"/>
      <c r="G13" s="113" t="str" cm="1">
        <f t="array" ref="G13:H15">_xlfn.CHOOSECOLS(MMS_Feedlot_N2ODirect_Equations.VEERG_4_1_1_3__5_NitrogenIntake_Arguments(),3,4)</f>
        <v>kg DM/head/day</v>
      </c>
      <c r="H13" s="114" t="str">
        <v>Input</v>
      </c>
      <c r="I13" s="116" t="str" cm="1">
        <f t="array" aca="1" ref="I13" ca="1">HYPERLINK(Common_InputFunctions.Utility_SourceHyperlink($D$17),$D$17)</f>
        <v>M1_Table_I_j</v>
      </c>
    </row>
    <row r="14" spans="1:20" ht="20.100000000000001" customHeight="1" x14ac:dyDescent="0.2">
      <c r="A14" s="5" t="str">
        <f>HYPERLINK("#'Input - Fuel'!A1", "Fuel")</f>
        <v>Fuel</v>
      </c>
      <c r="D14" s="113" t="str">
        <v>CP_j</v>
      </c>
      <c r="E14" s="121" t="str">
        <v>crude protein content of feed</v>
      </c>
      <c r="F14" s="122"/>
      <c r="G14" s="113" t="str">
        <v>fraction</v>
      </c>
      <c r="H14" s="114" t="str">
        <v>Input</v>
      </c>
      <c r="I14" s="116" t="str" cm="1">
        <f t="array" aca="1" ref="I14" ca="1">HYPERLINK(Common_InputFunctions.Utility_SourceHyperlink($D$22),$D$22)</f>
        <v>M1_Table_CP_j</v>
      </c>
    </row>
    <row r="15" spans="1:20" ht="20.100000000000001" customHeight="1" x14ac:dyDescent="0.2">
      <c r="A15" s="5" t="str">
        <f>HYPERLINK("#'Input - Electricity'!A1", "Electricity")</f>
        <v>Electricity</v>
      </c>
      <c r="D15" s="113" t="str">
        <v>6.25</v>
      </c>
      <c r="E15" s="121" t="str">
        <v>factor for converting crude protein into nitrogen</v>
      </c>
      <c r="F15" s="122"/>
      <c r="G15" s="113" t="str">
        <v>ratio</v>
      </c>
      <c r="H15" s="115" t="str">
        <v>Constant</v>
      </c>
      <c r="I15" s="113" t="str">
        <f>D15</f>
        <v>6.25</v>
      </c>
    </row>
    <row r="16" spans="1:20" ht="20.100000000000001" customHeight="1" x14ac:dyDescent="0.2">
      <c r="A16" s="5" t="str">
        <f>HYPERLINK("#'Input - Common farm inputs'!A1", "Common farm inputs")</f>
        <v>Common farm inputs</v>
      </c>
    </row>
    <row r="17" spans="1:19" ht="20.100000000000001" customHeight="1" x14ac:dyDescent="0.2">
      <c r="A17" s="5" t="str">
        <f>HYPERLINK("#'Input - Livestock farm Inputs'!A1", "Livestock farm Inputs")</f>
        <v>Livestock farm Inputs</v>
      </c>
      <c r="D17" s="118" t="s">
        <v>323</v>
      </c>
      <c r="O17" s="118" t="s">
        <v>324</v>
      </c>
    </row>
    <row r="18" spans="1:19" ht="20.100000000000001" customHeight="1" x14ac:dyDescent="0.2">
      <c r="A18" s="5" t="str">
        <f>HYPERLINK("#'Input - Freight'!A1", "Freight")</f>
        <v>Freight</v>
      </c>
      <c r="D18" s="119" t="s">
        <v>325</v>
      </c>
      <c r="O18" s="119" t="s">
        <v>326</v>
      </c>
    </row>
    <row r="19" spans="1:19" ht="20.100000000000001" customHeight="1" x14ac:dyDescent="0.2">
      <c r="A19" s="5" t="str">
        <f>HYPERLINK("#'Input - Solid waste'!A1", "Solid waste")</f>
        <v>Solid waste</v>
      </c>
      <c r="D19" s="78" t="s">
        <v>289</v>
      </c>
      <c r="E19" s="78" t="s">
        <v>290</v>
      </c>
      <c r="F19" s="78" t="s">
        <v>291</v>
      </c>
      <c r="O19" s="78" t="s">
        <v>289</v>
      </c>
      <c r="P19" s="78" t="s">
        <v>290</v>
      </c>
      <c r="Q19" s="78" t="s">
        <v>291</v>
      </c>
    </row>
    <row r="20" spans="1:19" ht="20.100000000000001" customHeight="1" x14ac:dyDescent="0.2">
      <c r="A20" s="5" t="str">
        <f>HYPERLINK("#'Input - Manure sent off-site'!A1", "Manure sent off-site")</f>
        <v>Manure sent off-site</v>
      </c>
      <c r="D20" s="15" cm="1">
        <f t="array" aca="1" ref="D20:F20" ca="1">OFFSET(X_Table_Feedlot_Intake_Method1,1,1,1,3)</f>
        <v>10.4</v>
      </c>
      <c r="E20" s="15">
        <f ca="1"/>
        <v>10.8</v>
      </c>
      <c r="F20" s="15">
        <f ca="1"/>
        <v>8.1999999999999993</v>
      </c>
      <c r="G20" s="16" t="s">
        <v>327</v>
      </c>
      <c r="H20" s="16"/>
      <c r="I20" s="16"/>
      <c r="J20" s="16"/>
      <c r="K20" s="16"/>
      <c r="O20" s="15" cm="1">
        <f t="array" aca="1" ref="O20:Q20" ca="1">OFFSET(X_Table_Feedlot_Intake_Method2,1,1,1,3)</f>
        <v>10.4</v>
      </c>
      <c r="P20" s="15">
        <f ca="1"/>
        <v>10.8</v>
      </c>
      <c r="Q20" s="15">
        <f ca="1"/>
        <v>8.1999999999999993</v>
      </c>
      <c r="R20" s="16" t="s">
        <v>327</v>
      </c>
      <c r="S20" s="16"/>
    </row>
    <row r="21" spans="1:19" ht="20.100000000000001" customHeight="1" x14ac:dyDescent="0.2">
      <c r="A21" s="5" t="str">
        <f>HYPERLINK("#'Input - Data quality'!A1", "Data quality")</f>
        <v>Data quality</v>
      </c>
    </row>
    <row r="22" spans="1:19" ht="20.100000000000001" customHeight="1" x14ac:dyDescent="0.2">
      <c r="A22" s="5" t="str">
        <f>HYPERLINK("#'Input - Fert Prod System'!A1", "Fert Prod System")</f>
        <v>Fert Prod System</v>
      </c>
      <c r="D22" s="118" t="s">
        <v>379</v>
      </c>
      <c r="O22" s="118" t="s">
        <v>380</v>
      </c>
    </row>
    <row r="23" spans="1:19" ht="20.100000000000001" customHeight="1" x14ac:dyDescent="0.2">
      <c r="A23" s="5" t="str">
        <f>HYPERLINK("#'Input - Fertiliser'!A1", "Fertiliser")</f>
        <v>Fertiliser</v>
      </c>
      <c r="D23" s="119" t="s">
        <v>381</v>
      </c>
      <c r="O23" s="119" t="s">
        <v>382</v>
      </c>
    </row>
    <row r="24" spans="1:19" ht="20.100000000000001" customHeight="1" x14ac:dyDescent="0.2">
      <c r="D24" s="78" t="s">
        <v>289</v>
      </c>
      <c r="E24" s="78" t="s">
        <v>290</v>
      </c>
      <c r="F24" s="78" t="s">
        <v>291</v>
      </c>
      <c r="O24" s="78" t="s">
        <v>289</v>
      </c>
      <c r="P24" s="78" t="s">
        <v>290</v>
      </c>
      <c r="Q24" s="78" t="s">
        <v>291</v>
      </c>
    </row>
    <row r="25" spans="1:19" ht="20.100000000000001" customHeight="1" x14ac:dyDescent="0.2">
      <c r="D25" s="15" cm="1">
        <f t="array" aca="1" ref="D25:F25" ca="1">OFFSET(X_Table_Feedlot_Intake_Method1,5,1,1,3)</f>
        <v>0.14000000000000001</v>
      </c>
      <c r="E25" s="15">
        <f ca="1"/>
        <v>0.12</v>
      </c>
      <c r="F25" s="15">
        <f ca="1"/>
        <v>0.12</v>
      </c>
      <c r="G25" s="16" t="s">
        <v>299</v>
      </c>
      <c r="H25" s="16"/>
      <c r="I25" s="16"/>
      <c r="J25" s="16"/>
      <c r="K25" s="16"/>
      <c r="O25" s="15" cm="1">
        <f t="array" aca="1" ref="O25:Q25" ca="1">OFFSET(X_Table_Feedlot_Intake_Method2,5,1,1,3)</f>
        <v>0.14000000000000001</v>
      </c>
      <c r="P25" s="15">
        <f ca="1"/>
        <v>0.12</v>
      </c>
      <c r="Q25" s="15">
        <f ca="1"/>
        <v>0.12</v>
      </c>
      <c r="R25" s="16" t="s">
        <v>299</v>
      </c>
      <c r="S25" s="16"/>
    </row>
    <row r="26" spans="1:19" ht="20.100000000000001" customHeight="1" x14ac:dyDescent="0.2">
      <c r="A26" s="6" t="s">
        <v>2</v>
      </c>
    </row>
    <row r="27" spans="1:19" ht="20.100000000000001" customHeight="1" x14ac:dyDescent="0.2">
      <c r="A27" s="5" t="str">
        <f>HYPERLINK("#'3.1.1.1-2 Enteric Methane'!A1", "3.1.1.1-2 Enteric Methane")</f>
        <v>3.1.1.1-2 Enteric Methane</v>
      </c>
      <c r="D27" s="118" t="s">
        <v>383</v>
      </c>
      <c r="O27" s="118" t="s">
        <v>384</v>
      </c>
    </row>
    <row r="28" spans="1:19" ht="20.100000000000001" customHeight="1" x14ac:dyDescent="0.2">
      <c r="A28" s="5" t="str">
        <f>HYPERLINK("#'4.1.1.1-2 Methane'!A1", "4.1.1.1-2 Manure Methane")</f>
        <v>4.1.1.1-2 Manure Methane</v>
      </c>
      <c r="D28" s="119" t="s">
        <v>385</v>
      </c>
      <c r="O28" s="119" t="s">
        <v>386</v>
      </c>
    </row>
    <row r="29" spans="1:19" ht="20.100000000000001" customHeight="1" x14ac:dyDescent="0.2">
      <c r="A29" s="117" t="str">
        <f>HYPERLINK("#'4.1.1.3-4 Direct N20'!A1", "4.1.1.3-4 Manure Direct N2O")</f>
        <v>4.1.1.3-4 Manure Direct N2O</v>
      </c>
      <c r="D29" s="120" t="s">
        <v>289</v>
      </c>
      <c r="E29" s="120" t="s">
        <v>290</v>
      </c>
      <c r="F29" s="120" t="s">
        <v>291</v>
      </c>
      <c r="O29" s="120" t="s">
        <v>289</v>
      </c>
      <c r="P29" s="120" t="s">
        <v>290</v>
      </c>
      <c r="Q29" s="120" t="s">
        <v>291</v>
      </c>
    </row>
    <row r="30" spans="1:19" ht="20.100000000000001" customHeight="1" x14ac:dyDescent="0.2">
      <c r="A30" s="5" t="str">
        <f>HYPERLINK("#'4.1.1.5-6 Atmos Deposition'!A1", "4.1.1.5-6 Manure Atmos Dep")</f>
        <v>4.1.1.5-6 Manure Atmos Dep</v>
      </c>
      <c r="D30" s="15" cm="1">
        <f t="array" aca="1" ref="D30" ca="1">MMS_Feedlot_N2ODirect_Equations.VEERG_4_1_1_3__5_NitrogenIntake(D20,D25)</f>
        <v>0.23296000000000003</v>
      </c>
      <c r="E30" s="15" cm="1">
        <f t="array" aca="1" ref="E30" ca="1">MMS_Feedlot_N2ODirect_Equations.VEERG_4_1_1_3__5_NitrogenIntake(E20,E25)</f>
        <v>0.20736000000000002</v>
      </c>
      <c r="F30" s="15" cm="1">
        <f t="array" aca="1" ref="F30" ca="1">MMS_Feedlot_N2ODirect_Equations.VEERG_4_1_1_3__5_NitrogenIntake(F20,F25)</f>
        <v>0.15743999999999997</v>
      </c>
      <c r="G30" s="16" t="str">
        <f>$E$11</f>
        <v>kg N/head/day</v>
      </c>
      <c r="H30" s="16"/>
      <c r="I30" s="16"/>
      <c r="J30" s="16"/>
      <c r="K30" s="16"/>
      <c r="O30" s="15" cm="1">
        <f t="array" aca="1" ref="O30" ca="1">MMS_Feedlot_N2ODirect_Equations.VEERG_4_1_1_3__5_NitrogenIntake(O20,O25)</f>
        <v>0.23296000000000003</v>
      </c>
      <c r="P30" s="15" cm="1">
        <f t="array" aca="1" ref="P30" ca="1">MMS_Feedlot_N2ODirect_Equations.VEERG_4_1_1_3__5_NitrogenIntake(P20,P25)</f>
        <v>0.20736000000000002</v>
      </c>
      <c r="Q30" s="15" cm="1">
        <f t="array" aca="1" ref="Q30" ca="1">MMS_Feedlot_N2ODirect_Equations.VEERG_4_1_1_3__5_NitrogenIntake(Q20,Q25)</f>
        <v>0.15743999999999997</v>
      </c>
      <c r="R30" s="16" t="str">
        <f>$E$11</f>
        <v>kg N/head/day</v>
      </c>
      <c r="S30" s="16"/>
    </row>
    <row r="31" spans="1:19" ht="20.100000000000001" customHeight="1" x14ac:dyDescent="0.2">
      <c r="A31" s="5" t="str">
        <f>HYPERLINK("#'4.1.1.9 Manure applied to soils'!A1", "4.1.1.9 Manure applied to soils")</f>
        <v>4.1.1.9 Manure applied to soils</v>
      </c>
    </row>
    <row r="32" spans="1:19" ht="20.100000000000001" customHeight="1" x14ac:dyDescent="0.2">
      <c r="A32" s="5" t="str">
        <f>HYPERLINK("#'8.1.1.1-2 Transport fuel'!A1", "8.1.1.1-2 Transport fuel")</f>
        <v>8.1.1.1-2 Transport fuel</v>
      </c>
    </row>
    <row r="33" spans="1:20" ht="20.100000000000001" customHeight="1" x14ac:dyDescent="0.2">
      <c r="A33" s="5" t="str">
        <f>HYPERLINK("#'8.2.1.1-2 Stationary fuel'!A1", "8.2.1.1-2 Stationary fuel")</f>
        <v>8.2.1.1-2 Stationary fuel</v>
      </c>
      <c r="C33" s="83"/>
      <c r="D33" s="83"/>
      <c r="E33" s="83"/>
      <c r="F33" s="83"/>
      <c r="G33" s="83"/>
      <c r="H33" s="83"/>
      <c r="I33" s="83"/>
      <c r="J33" s="83"/>
      <c r="K33" s="83"/>
      <c r="L33" s="83"/>
      <c r="N33" s="83"/>
      <c r="O33" s="83"/>
      <c r="P33" s="83"/>
      <c r="Q33" s="83"/>
      <c r="R33" s="83"/>
      <c r="S33" s="83"/>
      <c r="T33" s="83"/>
    </row>
    <row r="34" spans="1:20" ht="20.100000000000001" customHeight="1" x14ac:dyDescent="0.2">
      <c r="A34" s="5" t="str">
        <f>HYPERLINK("#'10.1.1-2 Solid waste treatment'!A1", "10.1.1.1-2 Solid waste")</f>
        <v>10.1.1.1-2 Solid waste</v>
      </c>
      <c r="D34" s="2" t="str" cm="1">
        <f t="array" ref="D34">MMS_Feedlot_N2ODirect_Equations.VEERG_4_1_1_3__4_NitrogenExcretionPerHead_Title()</f>
        <v>Nitrogen excretion per head per day</v>
      </c>
    </row>
    <row r="35" spans="1:20" ht="20.100000000000001" customHeight="1" x14ac:dyDescent="0.2">
      <c r="A35" s="5" t="str">
        <f>HYPERLINK("#'14.1.1-2 Purchased electricity'!A1", "14.1.1-2 Purchased electricity")</f>
        <v>14.1.1-2 Purchased electricity</v>
      </c>
      <c r="D35" s="17" t="str" cm="1">
        <f t="array" ref="D35">MMS_Feedlot_N2ODirect_Equations.VEERG_4_1_1_3__4_NitrogenExcretionPerHead_Source()</f>
        <v>VEERG 2026: 4.1.1.3, Equation (4)</v>
      </c>
    </row>
    <row r="36" spans="1:20" ht="20.100000000000001" customHeight="1" x14ac:dyDescent="0.2">
      <c r="A36" s="5" t="str">
        <f>HYPERLINK("#'15 Scope 3'!A1", "15 Scope 3")</f>
        <v>15 Scope 3</v>
      </c>
      <c r="D36" s="112" t="s">
        <v>321</v>
      </c>
      <c r="E36" s="112" t="str" cm="1">
        <f t="array" aca="1" ref="E36" ca="1">Common_InputFunctions.Utility_DisplayFunctionName(D54)</f>
        <v>=MMS_Feedlot_N2ODirect_Equations.VEERG_4_1_1_3__4_NitrogenExcretionPerHead</v>
      </c>
    </row>
    <row r="37" spans="1:20" ht="20.100000000000001" customHeight="1" x14ac:dyDescent="0.2">
      <c r="A37" s="5" t="str">
        <f>HYPERLINK("#'Calcs - Manure sent off-site'!A1", "Calcs - Manure sent off-site")</f>
        <v>Calcs - Manure sent off-site</v>
      </c>
    </row>
    <row r="38" spans="1:20" ht="20.100000000000001" customHeight="1" x14ac:dyDescent="0.2">
      <c r="A38" s="5" t="str">
        <f>HYPERLINK("#'5.1.1.1-2 Inorganic fert N2O'!A1", "5.1.1.1-2 Inorganic fert N2O")</f>
        <v>5.1.1.1-2 Inorganic fert N2O</v>
      </c>
      <c r="D38" s="2"/>
    </row>
    <row r="39" spans="1:20" ht="20.100000000000001" customHeight="1" x14ac:dyDescent="0.2">
      <c r="A39" s="5" t="str">
        <f>HYPERLINK("#'5.1.1.3-4 Inorganic fert CO2'!A1", "5.1.1.3-4 Inorganic fert CO2")</f>
        <v>5.1.1.3-4 Inorganic fert CO2</v>
      </c>
    </row>
    <row r="40" spans="1:20" ht="20.100000000000001" customHeight="1" x14ac:dyDescent="0.2">
      <c r="A40" s="5" t="str">
        <f>HYPERLINK("#'5.2.1.1-2 Organic Fert N2O'!A1", "5.2.1.1-2 Organic Fert N2O")</f>
        <v>5.2.1.1-2 Organic Fert N2O</v>
      </c>
      <c r="D40" s="75" t="s">
        <v>322</v>
      </c>
      <c r="E40" s="1" t="str" cm="1">
        <f t="array" ref="E40">MMS_Feedlot_N2ODirect_Equations.VEERG_4_1_1_3__4_NitrogenExcretionPerHead_Variable()</f>
        <v>NE_j</v>
      </c>
    </row>
    <row r="41" spans="1:20" ht="20.100000000000001" customHeight="1" x14ac:dyDescent="0.2">
      <c r="A41" s="5" t="str">
        <f>HYPERLINK("#'5.3.1.1-2 Lime CO2'!A1", "5.3.1.1-2 Lime CO2")</f>
        <v>5.3.1.1-2 Lime CO2</v>
      </c>
      <c r="D41" s="75" t="s">
        <v>118</v>
      </c>
      <c r="E41" s="9" t="str" cm="1">
        <f t="array" ref="E41">MMS_Feedlot_N2ODirect_Equations.VEERG_4_1_1_3__4_NitrogenExcretionPerHead_Unit()</f>
        <v>kg N/head/day</v>
      </c>
    </row>
    <row r="42" spans="1:20" ht="20.100000000000001" customHeight="1" x14ac:dyDescent="0.2">
      <c r="A42" s="5" t="str">
        <f>HYPERLINK("#'5.4.1.1-4 Atmos deposition'!A1", "5.4.1.1-4 Atmos deposition")</f>
        <v>5.4.1.1-4 Atmos deposition</v>
      </c>
    </row>
    <row r="43" spans="1:20" ht="20.100000000000001" customHeight="1" x14ac:dyDescent="0.2">
      <c r="A43" s="5" t="str">
        <f>HYPERLINK("#'5.5.1.1-2 Leaching and runoff'!A1", "5.5.1.1-2 Leaching and runoff")</f>
        <v>5.5.1.1-2 Leaching and runoff</v>
      </c>
      <c r="D43" s="113" t="str" cm="1">
        <f t="array" ref="D43:E44">_xlfn.CHOOSECOLS(MMS_Feedlot_N2ODirect_Equations.VEERG_4_1_1_3__4_NitrogenExcretionPerHead_Arguments(),1,2)</f>
        <v>NI_j</v>
      </c>
      <c r="E43" s="121" t="str">
        <v>nitrogen intake</v>
      </c>
      <c r="F43" s="122"/>
      <c r="G43" s="113" t="str" cm="1">
        <f t="array" ref="G43:H44">_xlfn.CHOOSECOLS(MMS_Feedlot_N2ODirect_Equations.VEERG_4_1_1_3__4_NitrogenExcretionPerHead_Arguments(),3,4)</f>
        <v>kg N/head/day</v>
      </c>
      <c r="H43" s="115" t="str">
        <v>Calculated from 4.1.1.3 (5)</v>
      </c>
      <c r="I43" s="116" t="str" cm="1">
        <f t="array" aca="1" ref="I43" ca="1">HYPERLINK(Common_InputFunctions.Utility_SourceHyperlink($D$27),$D$27)</f>
        <v>M1_Table_NI_j</v>
      </c>
    </row>
    <row r="44" spans="1:20" ht="20.100000000000001" customHeight="1" x14ac:dyDescent="0.2">
      <c r="D44" s="113" t="str">
        <v>NR_j</v>
      </c>
      <c r="E44" s="121" t="str">
        <v>nitrogen retention expressed as a fraction of intake</v>
      </c>
      <c r="F44" s="122"/>
      <c r="G44" s="113" t="str">
        <v>fraction</v>
      </c>
      <c r="H44" s="114" t="str">
        <v>Input</v>
      </c>
      <c r="I44" s="116" t="str" cm="1">
        <f t="array" aca="1" ref="I44" ca="1">HYPERLINK(Common_InputFunctions.Utility_SourceHyperlink($D$46),$D$46)</f>
        <v>M1_Table_NR_j</v>
      </c>
    </row>
    <row r="46" spans="1:20" ht="20.100000000000001" customHeight="1" x14ac:dyDescent="0.2">
      <c r="A46" s="80" t="s">
        <v>1</v>
      </c>
      <c r="D46" s="118" t="s">
        <v>387</v>
      </c>
      <c r="E46" s="16"/>
      <c r="F46" s="16"/>
      <c r="O46" s="118" t="s">
        <v>388</v>
      </c>
      <c r="P46" s="16"/>
      <c r="Q46" s="16"/>
    </row>
    <row r="47" spans="1:20" ht="20.100000000000001" customHeight="1" x14ac:dyDescent="0.2">
      <c r="A47" s="5" t="str">
        <f>HYPERLINK("#'Constants - Feedlot'!A1", "Constants - Feedlot")</f>
        <v>Constants - Feedlot</v>
      </c>
      <c r="D47" s="119" t="s">
        <v>389</v>
      </c>
      <c r="O47" s="119" t="s">
        <v>390</v>
      </c>
    </row>
    <row r="48" spans="1:20" ht="20.100000000000001" customHeight="1" x14ac:dyDescent="0.2">
      <c r="A48" s="5" t="str">
        <f>HYPERLINK("#'Constants - Common livestock'!A1", "Constants - Common Livestock")</f>
        <v>Constants - Common Livestock</v>
      </c>
      <c r="D48" s="78" t="s">
        <v>289</v>
      </c>
      <c r="E48" s="78" t="s">
        <v>290</v>
      </c>
      <c r="F48" s="78" t="s">
        <v>291</v>
      </c>
      <c r="O48" s="78" t="s">
        <v>289</v>
      </c>
      <c r="P48" s="78" t="s">
        <v>290</v>
      </c>
      <c r="Q48" s="78" t="s">
        <v>291</v>
      </c>
    </row>
    <row r="49" spans="1:20" ht="20.100000000000001" customHeight="1" x14ac:dyDescent="0.2">
      <c r="A49" s="5" t="str">
        <f>HYPERLINK("#'Constants - Electricity'!A1", "Constants - Electricity")</f>
        <v>Constants - Electricity</v>
      </c>
      <c r="D49" s="15" cm="1">
        <f t="array" aca="1" ref="D49:F49" ca="1">OFFSET(X_Table_Feedlot_Intake_Method1,6,1,1,3)/100</f>
        <v>0.20399999999999999</v>
      </c>
      <c r="E49" s="15">
        <f ca="1"/>
        <v>0.127</v>
      </c>
      <c r="F49" s="15">
        <f ca="1"/>
        <v>7.0000000000000007E-2</v>
      </c>
      <c r="G49" s="16" t="s">
        <v>391</v>
      </c>
      <c r="H49" s="16"/>
      <c r="I49" s="16"/>
      <c r="J49" s="16"/>
      <c r="K49" s="16"/>
      <c r="O49" s="15" cm="1">
        <f t="array" aca="1" ref="O49:Q49" ca="1">OFFSET(X_Table_Feedlot_Intake_Method2,6,1,1,3)/100</f>
        <v>0.20399999999999999</v>
      </c>
      <c r="P49" s="15">
        <f ca="1"/>
        <v>0.127</v>
      </c>
      <c r="Q49" s="15">
        <f ca="1"/>
        <v>7.0000000000000007E-2</v>
      </c>
      <c r="R49" s="16" t="s">
        <v>299</v>
      </c>
      <c r="S49" s="16"/>
    </row>
    <row r="50" spans="1:20" ht="20.100000000000001" customHeight="1" x14ac:dyDescent="0.2">
      <c r="A50" s="5" t="str">
        <f>HYPERLINK("#'Constants - Fertiliser'!A1", "Constants - Fertiliser")</f>
        <v>Constants - Fertiliser</v>
      </c>
    </row>
    <row r="51" spans="1:20" ht="20.100000000000001" customHeight="1" x14ac:dyDescent="0.2">
      <c r="A51" s="5" t="str">
        <f>HYPERLINK("#'Constants - Fuel'!A1", "Constants - Fuel")</f>
        <v>Constants - Fuel</v>
      </c>
      <c r="D51" s="118" t="s">
        <v>392</v>
      </c>
      <c r="O51" s="118" t="s">
        <v>393</v>
      </c>
    </row>
    <row r="52" spans="1:20" ht="20.100000000000001" customHeight="1" x14ac:dyDescent="0.2">
      <c r="A52" s="5" t="str">
        <f>HYPERLINK("#'Constants - Scope 3'!A1", "Constants - Scope 3")</f>
        <v>Constants - Scope 3</v>
      </c>
      <c r="D52" s="119" t="s">
        <v>389</v>
      </c>
      <c r="O52" s="119" t="s">
        <v>390</v>
      </c>
    </row>
    <row r="53" spans="1:20" ht="20.100000000000001" customHeight="1" x14ac:dyDescent="0.2">
      <c r="A53" s="5" t="str">
        <f>HYPERLINK("#'Constants - Solid Waste'!A1", "Constants - Solid Waste")</f>
        <v>Constants - Solid Waste</v>
      </c>
      <c r="D53" s="120" t="s">
        <v>289</v>
      </c>
      <c r="E53" s="120" t="s">
        <v>290</v>
      </c>
      <c r="F53" s="120" t="s">
        <v>291</v>
      </c>
      <c r="O53" s="120" t="s">
        <v>289</v>
      </c>
      <c r="P53" s="120" t="s">
        <v>290</v>
      </c>
      <c r="Q53" s="120" t="s">
        <v>291</v>
      </c>
    </row>
    <row r="54" spans="1:20" ht="20.100000000000001" customHeight="1" x14ac:dyDescent="0.2">
      <c r="A54" s="5" t="str">
        <f>HYPERLINK("#'Constants - Common'!A1", "Constants - Common")</f>
        <v>Constants - Common</v>
      </c>
      <c r="D54" s="15" cm="1">
        <f t="array" aca="1" ref="D54" ca="1">MMS_Feedlot_N2ODirect_Equations.VEERG_4_1_1_3__4_NitrogenExcretionPerHead(D30,D49)</f>
        <v>0.18543616000000004</v>
      </c>
      <c r="E54" s="15" cm="1">
        <f t="array" aca="1" ref="E54" ca="1">MMS_Feedlot_N2ODirect_Equations.VEERG_4_1_1_3__4_NitrogenExcretionPerHead(E30,E49)</f>
        <v>0.18102528000000001</v>
      </c>
      <c r="F54" s="15" cm="1">
        <f t="array" aca="1" ref="F54" ca="1">MMS_Feedlot_N2ODirect_Equations.VEERG_4_1_1_3__4_NitrogenExcretionPerHead(F30,F49)</f>
        <v>0.14641919999999997</v>
      </c>
      <c r="G54" s="16" t="str">
        <f>$E$41</f>
        <v>kg N/head/day</v>
      </c>
      <c r="H54" s="16"/>
      <c r="I54" s="16"/>
      <c r="J54" s="16"/>
      <c r="K54" s="16"/>
      <c r="O54" s="15" cm="1">
        <f t="array" aca="1" ref="O54" ca="1">MMS_Feedlot_N2ODirect_Equations.VEERG_4_1_1_3__4_NitrogenExcretionPerHead(O30,O49)</f>
        <v>0.18543616000000004</v>
      </c>
      <c r="P54" s="15" cm="1">
        <f t="array" aca="1" ref="P54" ca="1">MMS_Feedlot_N2ODirect_Equations.VEERG_4_1_1_3__4_NitrogenExcretionPerHead(P30,P49)</f>
        <v>0.18102528000000001</v>
      </c>
      <c r="Q54" s="15" cm="1">
        <f t="array" aca="1" ref="Q54" ca="1">MMS_Feedlot_N2ODirect_Equations.VEERG_4_1_1_3__4_NitrogenExcretionPerHead(Q30,Q49)</f>
        <v>0.14641919999999997</v>
      </c>
      <c r="R54" s="16" t="str">
        <f>$E$41</f>
        <v>kg N/head/day</v>
      </c>
      <c r="S54" s="16"/>
    </row>
    <row r="55" spans="1:20" ht="20.100000000000001" customHeight="1" x14ac:dyDescent="0.2">
      <c r="A55" s="5" t="str">
        <f>HYPERLINK("#'Acknowledgements'!A1", "Acknowledgements")</f>
        <v>Acknowledgements</v>
      </c>
    </row>
    <row r="57" spans="1:20" ht="20.100000000000001" customHeight="1" x14ac:dyDescent="0.2">
      <c r="C57" s="83"/>
      <c r="D57" s="83"/>
      <c r="E57" s="83"/>
      <c r="F57" s="83"/>
      <c r="G57" s="83"/>
      <c r="H57" s="83"/>
      <c r="I57" s="83"/>
      <c r="J57" s="83"/>
      <c r="K57" s="83"/>
      <c r="L57" s="83"/>
      <c r="N57" s="83"/>
      <c r="O57" s="83"/>
      <c r="P57" s="83"/>
      <c r="Q57" s="83"/>
      <c r="R57" s="83"/>
      <c r="S57" s="83"/>
      <c r="T57" s="83"/>
    </row>
    <row r="58" spans="1:20" ht="20.100000000000001" customHeight="1" x14ac:dyDescent="0.2">
      <c r="D58" s="2" t="str" cm="1">
        <f t="array" ref="D58">MMS_Feedlot_N2ODirect_Equations.VEERG_4_1_1_3__3_AnnualNitrogenExcretion_Title()</f>
        <v>Annual nitrogen excretion from each feedlot cattle group</v>
      </c>
    </row>
    <row r="59" spans="1:20" ht="20.100000000000001" customHeight="1" x14ac:dyDescent="0.2">
      <c r="D59" s="17" t="str" cm="1">
        <f t="array" ref="D59">MMS_Feedlot_N2ODirect_Equations.VEERG_4_1_1_3__3_AnnualNitrogenExcretion_Source()</f>
        <v>VEERG 2026: 4.1.1.3, Equation (3)</v>
      </c>
    </row>
    <row r="60" spans="1:20" ht="20.100000000000001" customHeight="1" x14ac:dyDescent="0.2">
      <c r="D60" s="112" t="s">
        <v>321</v>
      </c>
      <c r="E60" s="112" t="str" cm="1">
        <f t="array" aca="1" ref="E60" ca="1">Common_InputFunctions.Utility_DisplayFunctionName(D83)</f>
        <v>=MMS_Feedlot_N2ODirect_Equations.VEERG_4_1_1_3__3_AnnualNitrogenExcretion</v>
      </c>
    </row>
    <row r="62" spans="1:20" ht="20.100000000000001" customHeight="1" x14ac:dyDescent="0.2">
      <c r="D62" s="2"/>
    </row>
    <row r="63" spans="1:20" ht="20.100000000000001" customHeight="1" x14ac:dyDescent="0.2">
      <c r="D63" s="75" t="s">
        <v>322</v>
      </c>
      <c r="E63" s="1" t="str" cm="1">
        <f t="array" ref="E63">MMS_Feedlot_N2ODirect_Equations.VEERG_4_1_1_3__3_AnnualNitrogenExcretion_Variable()</f>
        <v>AE_j</v>
      </c>
    </row>
    <row r="64" spans="1:20" ht="20.100000000000001" customHeight="1" x14ac:dyDescent="0.2">
      <c r="D64" s="75" t="s">
        <v>118</v>
      </c>
      <c r="E64" s="9" t="str" cm="1">
        <f t="array" ref="E64">MMS_Feedlot_N2ODirect_Equations.VEERG_4_1_1_3__3_AnnualNitrogenExcretion_Unit()</f>
        <v>kg N</v>
      </c>
    </row>
    <row r="66" spans="1:15" ht="20.100000000000001" customHeight="1" x14ac:dyDescent="0.2">
      <c r="A66" s="79" t="str">
        <f>HYPERLINK("#A1", "▲ Back to top")</f>
        <v>▲ Back to top</v>
      </c>
      <c r="D66" s="113" t="str" cm="1">
        <f t="array" ref="D66:G68">MMS_Feedlot_N2ODirect_Equations.VEERG_4_1_1_3__3_AnnualNitrogenExcretion_Arguments()</f>
        <v>N_j</v>
      </c>
      <c r="E66" s="113" t="str">
        <v>number of cattle in each group</v>
      </c>
      <c r="F66" s="113" t="str">
        <v>head</v>
      </c>
      <c r="G66" s="114" t="str">
        <v>Input</v>
      </c>
      <c r="H66" s="116" t="str" cm="1">
        <f t="array" aca="1" ref="H66" ca="1">HYPERLINK(Common_InputFunctions.Utility_SourceHyperlink($D$70),$D$70)</f>
        <v>Table_N_j</v>
      </c>
    </row>
    <row r="67" spans="1:15" ht="20.100000000000001" customHeight="1" x14ac:dyDescent="0.2">
      <c r="D67" s="113" t="str">
        <v>NE_j</v>
      </c>
      <c r="E67" s="113" t="str">
        <v>nitrogen excretion</v>
      </c>
      <c r="F67" s="113" t="str">
        <v>kg N/head/day</v>
      </c>
      <c r="G67" s="115" t="str">
        <v>Calculated from 4.1.1.3 (4)</v>
      </c>
      <c r="H67" s="116" t="str" cm="1">
        <f t="array" aca="1" ref="H67" ca="1">HYPERLINK(Common_InputFunctions.Utility_SourceHyperlink($D$51),$D$51)</f>
        <v>M1_Table_NE_j</v>
      </c>
    </row>
    <row r="68" spans="1:15" ht="20.100000000000001" customHeight="1" x14ac:dyDescent="0.2">
      <c r="D68" s="113" t="str">
        <v>D_j</v>
      </c>
      <c r="E68" s="113" t="str">
        <v>duration of stay of cattle group</v>
      </c>
      <c r="F68" s="113" t="str">
        <v>days</v>
      </c>
      <c r="G68" s="114" t="str">
        <v>Input</v>
      </c>
      <c r="H68" s="116" t="str" cm="1">
        <f t="array" aca="1" ref="H68" ca="1">HYPERLINK(Common_InputFunctions.Utility_SourceHyperlink($D$75),$D$75)</f>
        <v>Table_D_j</v>
      </c>
    </row>
    <row r="70" spans="1:15" ht="20.100000000000001" customHeight="1" x14ac:dyDescent="0.2">
      <c r="D70" s="118" t="s">
        <v>369</v>
      </c>
    </row>
    <row r="71" spans="1:15" ht="20.100000000000001" customHeight="1" x14ac:dyDescent="0.2">
      <c r="D71" s="119" t="s">
        <v>370</v>
      </c>
    </row>
    <row r="72" spans="1:15" ht="20.100000000000001" customHeight="1" x14ac:dyDescent="0.2">
      <c r="D72" s="78" t="s">
        <v>289</v>
      </c>
      <c r="E72" s="78" t="s">
        <v>290</v>
      </c>
      <c r="F72" s="78" t="s">
        <v>291</v>
      </c>
    </row>
    <row r="73" spans="1:15" ht="20.100000000000001" customHeight="1" x14ac:dyDescent="0.2">
      <c r="D73" s="125" cm="1">
        <f t="array" aca="1" ref="D73:F73" ca="1">OFFSET(X_Table_Feedlot_HerdMovement,1,1,1,3)</f>
        <v>1000</v>
      </c>
      <c r="E73" s="125">
        <f ca="1"/>
        <v>1000</v>
      </c>
      <c r="F73" s="125">
        <f ca="1"/>
        <v>1000</v>
      </c>
      <c r="G73" s="16" t="s">
        <v>394</v>
      </c>
      <c r="H73" s="16"/>
      <c r="I73" s="16"/>
      <c r="J73" s="16"/>
      <c r="K73" s="16"/>
    </row>
    <row r="75" spans="1:15" ht="20.100000000000001" customHeight="1" x14ac:dyDescent="0.2">
      <c r="D75" s="118" t="s">
        <v>361</v>
      </c>
    </row>
    <row r="76" spans="1:15" ht="20.100000000000001" customHeight="1" x14ac:dyDescent="0.2">
      <c r="D76" s="119" t="s">
        <v>362</v>
      </c>
    </row>
    <row r="77" spans="1:15" ht="20.100000000000001" customHeight="1" x14ac:dyDescent="0.2">
      <c r="D77" s="78" t="s">
        <v>289</v>
      </c>
      <c r="E77" s="78" t="s">
        <v>290</v>
      </c>
      <c r="F77" s="78" t="s">
        <v>291</v>
      </c>
    </row>
    <row r="78" spans="1:15" ht="20.100000000000001" customHeight="1" x14ac:dyDescent="0.2">
      <c r="D78" s="125" cm="1">
        <f t="array" aca="1" ref="D78:F78" ca="1">OFFSET(X_Table_Feedlot_HerdMovement,2,1,1,3)</f>
        <v>90</v>
      </c>
      <c r="E78" s="125">
        <f ca="1"/>
        <v>140</v>
      </c>
      <c r="F78" s="125">
        <f ca="1"/>
        <v>250</v>
      </c>
      <c r="G78" s="16" t="s">
        <v>112</v>
      </c>
      <c r="H78" s="16"/>
      <c r="I78" s="16"/>
      <c r="J78" s="16"/>
      <c r="K78" s="16"/>
    </row>
    <row r="80" spans="1:15" ht="20.100000000000001" customHeight="1" x14ac:dyDescent="0.2">
      <c r="D80" s="118" t="s">
        <v>395</v>
      </c>
      <c r="O80" s="118" t="s">
        <v>396</v>
      </c>
    </row>
    <row r="81" spans="1:20" ht="20.100000000000001" customHeight="1" x14ac:dyDescent="0.2">
      <c r="D81" s="119" t="s">
        <v>397</v>
      </c>
      <c r="O81" s="119" t="s">
        <v>398</v>
      </c>
    </row>
    <row r="82" spans="1:20" ht="20.100000000000001" customHeight="1" x14ac:dyDescent="0.2">
      <c r="D82" s="120" t="s">
        <v>289</v>
      </c>
      <c r="E82" s="120" t="s">
        <v>290</v>
      </c>
      <c r="F82" s="120" t="s">
        <v>291</v>
      </c>
      <c r="O82" s="120" t="s">
        <v>289</v>
      </c>
      <c r="P82" s="120" t="s">
        <v>290</v>
      </c>
      <c r="Q82" s="120" t="s">
        <v>291</v>
      </c>
    </row>
    <row r="83" spans="1:20" ht="20.100000000000001" customHeight="1" x14ac:dyDescent="0.2">
      <c r="D83" s="125" cm="1">
        <f t="array" aca="1" ref="D83" ca="1">MMS_Feedlot_N2ODirect_Equations.VEERG_4_1_1_3__3_AnnualNitrogenExcretion(D73,D54,D78)</f>
        <v>16689.254400000005</v>
      </c>
      <c r="E83" s="125" cm="1">
        <f t="array" aca="1" ref="E83" ca="1">MMS_Feedlot_N2ODirect_Equations.VEERG_4_1_1_3__3_AnnualNitrogenExcretion(E73,E54,E78)</f>
        <v>25343.539200000003</v>
      </c>
      <c r="F83" s="125" cm="1">
        <f t="array" aca="1" ref="F83" ca="1">MMS_Feedlot_N2ODirect_Equations.VEERG_4_1_1_3__3_AnnualNitrogenExcretion(F73,F54,F78)</f>
        <v>36604.799999999988</v>
      </c>
      <c r="G83" s="16" t="str">
        <f>$E$64</f>
        <v>kg N</v>
      </c>
      <c r="H83" s="16"/>
      <c r="I83" s="16"/>
      <c r="J83" s="16"/>
      <c r="K83" s="16"/>
      <c r="O83" s="125" cm="1">
        <f t="array" aca="1" ref="O83" ca="1">MMS_Feedlot_N2ODirect_Equations.VEERG_4_1_1_3__3_AnnualNitrogenExcretion(D73,O54,D78)</f>
        <v>16689.254400000005</v>
      </c>
      <c r="P83" s="125" cm="1">
        <f t="array" aca="1" ref="P83" ca="1">MMS_Feedlot_N2ODirect_Equations.VEERG_4_1_1_3__3_AnnualNitrogenExcretion(E73,P54,E78)</f>
        <v>25343.539200000003</v>
      </c>
      <c r="Q83" s="125" cm="1">
        <f t="array" aca="1" ref="Q83" ca="1">MMS_Feedlot_N2ODirect_Equations.VEERG_4_1_1_3__3_AnnualNitrogenExcretion(F73,Q54,F78)</f>
        <v>36604.799999999988</v>
      </c>
      <c r="R83" s="16" t="str">
        <f>$E$64</f>
        <v>kg N</v>
      </c>
      <c r="S83" s="16"/>
    </row>
    <row r="86" spans="1:20" ht="20.100000000000001" customHeight="1" x14ac:dyDescent="0.2">
      <c r="C86" s="83"/>
      <c r="D86" s="83"/>
      <c r="E86" s="83"/>
      <c r="F86" s="83"/>
      <c r="G86" s="83"/>
      <c r="H86" s="83"/>
      <c r="I86" s="83"/>
      <c r="J86" s="83"/>
      <c r="K86" s="83"/>
      <c r="L86" s="83"/>
      <c r="N86" s="83"/>
      <c r="O86" s="83"/>
      <c r="P86" s="83"/>
      <c r="Q86" s="83"/>
      <c r="R86" s="83"/>
      <c r="S86" s="83"/>
      <c r="T86" s="83"/>
    </row>
    <row r="87" spans="1:20" ht="20.100000000000001" customHeight="1" x14ac:dyDescent="0.2">
      <c r="D87" s="2" t="str" cm="1">
        <f t="array" ref="D87">MMS_Feedlot_N2ODirect_Equations.VEERG_4_1_1_3__2_Stage1NitrogenInMMSDrylot_Title()</f>
        <v>Nitrogen in treatment stage 1 MMS</v>
      </c>
    </row>
    <row r="88" spans="1:20" ht="20.100000000000001" customHeight="1" x14ac:dyDescent="0.2">
      <c r="D88" s="17" t="str" cm="1">
        <f t="array" ref="D88">MMS_Feedlot_N2ODirect_Equations.VEERG_4_1_1_3__2_Stage1NitrogenInMMSDrylot_Source()</f>
        <v>VEERG 2026: 4.1.1.3, Equation (2)</v>
      </c>
    </row>
    <row r="89" spans="1:20" ht="20.100000000000001" customHeight="1" x14ac:dyDescent="0.2">
      <c r="D89" s="112" t="s">
        <v>321</v>
      </c>
      <c r="E89" s="112" t="str" cm="1">
        <f t="array" aca="1" ref="E89" ca="1">Common_InputFunctions.Utility_DisplayFunctionName(E106)</f>
        <v>=MMS_Feedlot_N2ODirect_Equations.VEERG_4_1_1_3__2_Stage1NitrogenInMMSDrylot</v>
      </c>
    </row>
    <row r="91" spans="1:20" ht="20.100000000000001" customHeight="1" x14ac:dyDescent="0.2">
      <c r="D91" s="2"/>
    </row>
    <row r="92" spans="1:20" ht="20.100000000000001" customHeight="1" x14ac:dyDescent="0.2">
      <c r="D92" s="75" t="s">
        <v>322</v>
      </c>
      <c r="E92" s="1" t="str" cm="1">
        <f t="array" ref="E92">MMS_Feedlot_N2ODirect_Equations.VEERG_4_1_1_3__2_Stage1NitrogenInMMSDrylot_Variable()</f>
        <v>MN_jm5T1</v>
      </c>
    </row>
    <row r="93" spans="1:20" ht="20.100000000000001" customHeight="1" x14ac:dyDescent="0.2">
      <c r="D93" s="75" t="s">
        <v>118</v>
      </c>
      <c r="E93" s="9" t="str" cm="1">
        <f t="array" ref="E93">MMS_Feedlot_N2ODirect_Equations.VEERG_4_1_1_3__2_Stage1NitrogenInMMSDrylot_Unit()</f>
        <v>kg N</v>
      </c>
    </row>
    <row r="95" spans="1:20" ht="20.100000000000001" customHeight="1" x14ac:dyDescent="0.2">
      <c r="D95" s="113" t="str" cm="1">
        <f t="array" ref="D95:E96">_xlfn.CHOOSECOLS(MMS_Feedlot_N2ODirect_Equations.VEERG_4_1_1_3__2_Stage1NitrogenInMMSDrylot_Arguments(),1,2)</f>
        <v>AE_j</v>
      </c>
      <c r="E95" s="121" t="str">
        <v>total nitrogen excreted by each cattle group</v>
      </c>
      <c r="F95" s="122"/>
      <c r="G95" s="113" t="str" cm="1">
        <f t="array" ref="G95:H96">_xlfn.CHOOSECOLS(MMS_Feedlot_N2ODirect_Equations.VEERG_4_1_1_3__2_Stage1NitrogenInMMSDrylot_Arguments(),3,4)</f>
        <v>kg N</v>
      </c>
      <c r="H95" s="115" t="str">
        <v>Calculated from 4.1.1.3 (3)</v>
      </c>
      <c r="I95" s="116" t="str" cm="1">
        <f t="array" aca="1" ref="I95" ca="1">HYPERLINK(Common_InputFunctions.Utility_SourceHyperlink($D$80),$D$80)</f>
        <v>M1_Table_AE_j</v>
      </c>
    </row>
    <row r="96" spans="1:20" ht="20.100000000000001" customHeight="1" x14ac:dyDescent="0.2">
      <c r="A96" s="79" t="str">
        <f>HYPERLINK("#A1", "▲ Back to top")</f>
        <v>▲ Back to top</v>
      </c>
      <c r="D96" s="113" t="str">
        <v>MMS_jm5T1</v>
      </c>
      <c r="E96" s="121" t="str">
        <v>fraction of manure in primary system drylot MMS</v>
      </c>
      <c r="F96" s="122"/>
      <c r="G96" s="113" t="str">
        <v>fraction</v>
      </c>
      <c r="H96" s="114" t="str">
        <v>Input</v>
      </c>
      <c r="I96" s="116" t="str" cm="1">
        <f t="array" aca="1" ref="I96" ca="1">HYPERLINK(Common_InputFunctions.Utility_SourceHyperlink($D$98),$D$98)</f>
        <v>Table_MMS_j_m-5_T-1</v>
      </c>
    </row>
    <row r="98" spans="3:20" ht="20.100000000000001" customHeight="1" x14ac:dyDescent="0.2">
      <c r="D98" s="118" t="s">
        <v>399</v>
      </c>
    </row>
    <row r="99" spans="3:20" ht="20.100000000000001" customHeight="1" x14ac:dyDescent="0.2">
      <c r="D99" s="119" t="s">
        <v>338</v>
      </c>
    </row>
    <row r="100" spans="3:20" ht="20.100000000000001" customHeight="1" x14ac:dyDescent="0.2">
      <c r="D100" s="78" t="s">
        <v>307</v>
      </c>
      <c r="E100" s="78" t="s">
        <v>289</v>
      </c>
      <c r="F100" s="78" t="s">
        <v>290</v>
      </c>
      <c r="G100" s="78" t="s">
        <v>291</v>
      </c>
    </row>
    <row r="101" spans="3:20" ht="20.100000000000001" customHeight="1" x14ac:dyDescent="0.2">
      <c r="D101" s="15" t="s">
        <v>308</v>
      </c>
      <c r="E101" s="15" cm="1">
        <f t="array" aca="1" ref="E101:G101" ca="1">OFFSET(X_Table_Feedlot_MMS_Stage1, 1,1,1,3)</f>
        <v>1</v>
      </c>
      <c r="F101" s="15">
        <f ca="1"/>
        <v>1</v>
      </c>
      <c r="G101" s="15">
        <f ca="1"/>
        <v>1</v>
      </c>
      <c r="H101" s="16" t="s">
        <v>299</v>
      </c>
      <c r="I101" s="16"/>
      <c r="J101" s="16"/>
      <c r="K101" s="16"/>
    </row>
    <row r="103" spans="3:20" ht="20.100000000000001" customHeight="1" x14ac:dyDescent="0.2">
      <c r="D103" s="118" t="s">
        <v>400</v>
      </c>
      <c r="O103" s="118" t="s">
        <v>401</v>
      </c>
    </row>
    <row r="104" spans="3:20" ht="20.100000000000001" customHeight="1" x14ac:dyDescent="0.2">
      <c r="D104" s="119" t="s">
        <v>402</v>
      </c>
      <c r="O104" s="119" t="s">
        <v>403</v>
      </c>
    </row>
    <row r="105" spans="3:20" ht="20.100000000000001" customHeight="1" x14ac:dyDescent="0.2">
      <c r="D105" s="120" t="s">
        <v>307</v>
      </c>
      <c r="E105" s="120" t="s">
        <v>289</v>
      </c>
      <c r="F105" s="120" t="s">
        <v>290</v>
      </c>
      <c r="G105" s="120" t="s">
        <v>291</v>
      </c>
      <c r="O105" s="120" t="s">
        <v>307</v>
      </c>
      <c r="P105" s="120" t="s">
        <v>289</v>
      </c>
      <c r="Q105" s="120" t="s">
        <v>290</v>
      </c>
      <c r="R105" s="120" t="s">
        <v>291</v>
      </c>
    </row>
    <row r="106" spans="3:20" ht="20.100000000000001" customHeight="1" x14ac:dyDescent="0.2">
      <c r="D106" s="15" t="str">
        <f>INDEX(X_Table_Feedlot_MMS_Stage1,2,1)</f>
        <v>Drylot (feed pad)</v>
      </c>
      <c r="E106" s="15" cm="1">
        <f t="array" aca="1" ref="E106" ca="1">MMS_Feedlot_N2ODirect_Equations.VEERG_4_1_1_3__2_Stage1NitrogenInMMSDrylot(D83,E101)</f>
        <v>16689.254400000005</v>
      </c>
      <c r="F106" s="15" cm="1">
        <f t="array" aca="1" ref="F106" ca="1">MMS_Feedlot_N2ODirect_Equations.VEERG_4_1_1_3__2_Stage1NitrogenInMMSDrylot(E83,F101)</f>
        <v>25343.539200000003</v>
      </c>
      <c r="G106" s="15" cm="1">
        <f t="array" aca="1" ref="G106" ca="1">MMS_Feedlot_N2ODirect_Equations.VEERG_4_1_1_3__2_Stage1NitrogenInMMSDrylot(F83,G101)</f>
        <v>36604.799999999988</v>
      </c>
      <c r="H106" s="16" t="str">
        <f>$E$93</f>
        <v>kg N</v>
      </c>
      <c r="I106" s="16"/>
      <c r="J106" s="16"/>
      <c r="K106" s="16"/>
      <c r="O106" s="15" t="str">
        <f>INDEX(X_Table_Feedlot_MMS_Stage1,2,1)</f>
        <v>Drylot (feed pad)</v>
      </c>
      <c r="P106" s="15" cm="1">
        <f t="array" aca="1" ref="P106" ca="1">MMS_Feedlot_N2ODirect_Equations.VEERG_4_1_1_3__2_Stage1NitrogenInMMSDrylot(O83,E101)</f>
        <v>16689.254400000005</v>
      </c>
      <c r="Q106" s="15" cm="1">
        <f t="array" aca="1" ref="Q106" ca="1">MMS_Feedlot_N2ODirect_Equations.VEERG_4_1_1_3__2_Stage1NitrogenInMMSDrylot(P83,F101)</f>
        <v>25343.539200000003</v>
      </c>
      <c r="R106" s="15" cm="1">
        <f t="array" aca="1" ref="R106" ca="1">MMS_Feedlot_N2ODirect_Equations.VEERG_4_1_1_3__2_Stage1NitrogenInMMSDrylot(Q83,G101)</f>
        <v>36604.799999999988</v>
      </c>
      <c r="S106" s="16" t="str">
        <f>$E$93</f>
        <v>kg N</v>
      </c>
    </row>
    <row r="109" spans="3:20" ht="20.100000000000001" customHeight="1" x14ac:dyDescent="0.2">
      <c r="C109" s="83"/>
      <c r="D109" s="83"/>
      <c r="E109" s="83"/>
      <c r="F109" s="83"/>
      <c r="G109" s="83"/>
      <c r="H109" s="83"/>
      <c r="I109" s="83"/>
      <c r="J109" s="83"/>
      <c r="K109" s="83"/>
      <c r="L109" s="83"/>
      <c r="N109" s="83"/>
      <c r="O109" s="83"/>
      <c r="P109" s="83"/>
      <c r="Q109" s="83"/>
      <c r="R109" s="83"/>
      <c r="S109" s="83"/>
      <c r="T109" s="83"/>
    </row>
    <row r="110" spans="3:20" ht="20.100000000000001" customHeight="1" x14ac:dyDescent="0.2">
      <c r="D110" s="2" t="str" cm="1">
        <f t="array" ref="D110">MMS_Feedlot_N2ODirect_Equations.VEERG_4_1_1_3__8_Stage3NitrogenInMMSAnaerobicLagoon_Title()</f>
        <v>Nitrogen in treatment stage 3 MMS</v>
      </c>
    </row>
    <row r="111" spans="3:20" ht="20.100000000000001" customHeight="1" x14ac:dyDescent="0.2">
      <c r="D111" s="17" t="str" cm="1">
        <f t="array" ref="D111">MMS_Feedlot_N2ODirect_Equations.VEERG_4_1_1_3__8_Stage3NitrogenInMMSAnaerobicLagoon_Source()</f>
        <v>VEERG 2026: 4.1.1.3, Equation (8)</v>
      </c>
    </row>
    <row r="112" spans="3:20" ht="20.100000000000001" customHeight="1" x14ac:dyDescent="0.2">
      <c r="D112" s="112" t="s">
        <v>321</v>
      </c>
      <c r="E112" s="112" t="str" cm="1">
        <f t="array" aca="1" ref="E112" ca="1">Common_InputFunctions.Utility_DisplayFunctionName(E138)</f>
        <v>=MMS_Feedlot_N2ODirect_Equations.VEERG_4_1_1_3__7_NitrogenTransferredToStage2_Variable</v>
      </c>
    </row>
    <row r="113" spans="1:18" ht="20.100000000000001" customHeight="1" x14ac:dyDescent="0.2">
      <c r="D113" s="2"/>
    </row>
    <row r="115" spans="1:18" ht="20.100000000000001" customHeight="1" x14ac:dyDescent="0.2">
      <c r="D115" s="75" t="s">
        <v>322</v>
      </c>
      <c r="E115" s="1" t="str" cm="1">
        <f t="array" ref="E115">MMS_Feedlot_N2ODirect_Equations.VEERG_4_1_1_3__8_Stage3NitrogenInMMSAnaerobicLagoon_Variable()</f>
        <v>MN_jm1T3</v>
      </c>
    </row>
    <row r="116" spans="1:18" ht="20.100000000000001" customHeight="1" x14ac:dyDescent="0.2">
      <c r="D116" s="75" t="s">
        <v>118</v>
      </c>
      <c r="E116" s="9" t="str" cm="1">
        <f t="array" ref="E116">MMS_Feedlot_N2ODirect_Equations.VEERG_4_1_1_3__8_Stage3NitrogenInMMSAnaerobicLagoon_Unit()</f>
        <v>kg N</v>
      </c>
    </row>
    <row r="118" spans="1:18" ht="20.100000000000001" customHeight="1" x14ac:dyDescent="0.2">
      <c r="D118" s="113" t="str" cm="1">
        <f t="array" ref="D118:E119">_xlfn.CHOOSECOLS(MMS_Feedlot_N2ODirect_Equations.VEERG_4_1_1_3__8_Stage3NitrogenInMMSAnaerobicLagoon_Arguments(),1,2)</f>
        <v>AE_j</v>
      </c>
      <c r="E118" s="121" t="str">
        <v>total nitrogen excreted by each cattle group</v>
      </c>
      <c r="F118" s="122"/>
      <c r="G118" s="113" t="str" cm="1">
        <f t="array" ref="G118:H119">_xlfn.CHOOSECOLS(MMS_Feedlot_N2ODirect_Equations.VEERG_4_1_1_3__8_Stage3NitrogenInMMSAnaerobicLagoon_Arguments(),3,4)</f>
        <v>kg N</v>
      </c>
      <c r="H118" s="115" t="str">
        <v>Calculated from 4.1.1.3 (3)</v>
      </c>
      <c r="I118" s="116" t="str" cm="1">
        <f t="array" aca="1" ref="I118" ca="1">HYPERLINK(Common_InputFunctions.Utility_SourceHyperlink($D$80),$D$80)</f>
        <v>M1_Table_AE_j</v>
      </c>
    </row>
    <row r="119" spans="1:18" ht="20.100000000000001" customHeight="1" x14ac:dyDescent="0.2">
      <c r="D119" s="113" t="str">
        <v>MMS_jm1T3</v>
      </c>
      <c r="E119" s="121" t="str">
        <v>fraction of manure to tertiary anaerobic lagoon system</v>
      </c>
      <c r="F119" s="122"/>
      <c r="G119" s="113" t="str">
        <v>fraction</v>
      </c>
      <c r="H119" s="114" t="str">
        <v>Input</v>
      </c>
      <c r="I119" s="116" t="str" cm="1">
        <f t="array" aca="1" ref="I119" ca="1">HYPERLINK(Common_InputFunctions.Utility_SourceHyperlink($D$121),$D$121)</f>
        <v>Table_MMS_j_m-1_T-3</v>
      </c>
    </row>
    <row r="121" spans="1:18" ht="20.100000000000001" customHeight="1" x14ac:dyDescent="0.2">
      <c r="D121" s="118" t="s">
        <v>404</v>
      </c>
    </row>
    <row r="122" spans="1:18" ht="20.100000000000001" customHeight="1" x14ac:dyDescent="0.2">
      <c r="D122" s="119" t="s">
        <v>405</v>
      </c>
    </row>
    <row r="123" spans="1:18" ht="20.100000000000001" customHeight="1" x14ac:dyDescent="0.2">
      <c r="D123" s="78" t="s">
        <v>316</v>
      </c>
      <c r="E123" s="78" t="s">
        <v>289</v>
      </c>
      <c r="F123" s="78" t="s">
        <v>290</v>
      </c>
      <c r="G123" s="78" t="s">
        <v>291</v>
      </c>
    </row>
    <row r="124" spans="1:18" ht="20.100000000000001" customHeight="1" x14ac:dyDescent="0.2">
      <c r="D124" s="15" t="str" cm="1">
        <f t="array" aca="1" ref="D124:G124" ca="1">OFFSET(X_Table_Feedlot_MMS_Stage3,2,0,1,4)</f>
        <v>Anaerobic lagoon</v>
      </c>
      <c r="E124" s="15">
        <f ca="1"/>
        <v>0.02</v>
      </c>
      <c r="F124" s="15">
        <f ca="1"/>
        <v>0.02</v>
      </c>
      <c r="G124" s="15">
        <f ca="1"/>
        <v>0.02</v>
      </c>
      <c r="H124" s="16" t="s">
        <v>299</v>
      </c>
      <c r="I124" s="16"/>
      <c r="J124" s="16"/>
      <c r="K124" s="16"/>
    </row>
    <row r="126" spans="1:18" ht="20.100000000000001" customHeight="1" x14ac:dyDescent="0.2">
      <c r="A126" s="79" t="str">
        <f>HYPERLINK("#A1", "▲ Back to top")</f>
        <v>▲ Back to top</v>
      </c>
      <c r="D126" s="118" t="s">
        <v>406</v>
      </c>
      <c r="O126" s="118" t="s">
        <v>407</v>
      </c>
    </row>
    <row r="127" spans="1:18" ht="20.100000000000001" customHeight="1" x14ac:dyDescent="0.2">
      <c r="D127" s="119" t="s">
        <v>408</v>
      </c>
      <c r="O127" s="119" t="s">
        <v>409</v>
      </c>
    </row>
    <row r="128" spans="1:18" ht="20.100000000000001" customHeight="1" x14ac:dyDescent="0.2">
      <c r="D128" s="120" t="s">
        <v>316</v>
      </c>
      <c r="E128" s="120" t="s">
        <v>289</v>
      </c>
      <c r="F128" s="120" t="s">
        <v>290</v>
      </c>
      <c r="G128" s="120" t="s">
        <v>291</v>
      </c>
      <c r="O128" s="120" t="s">
        <v>316</v>
      </c>
      <c r="P128" s="120" t="s">
        <v>289</v>
      </c>
      <c r="Q128" s="120" t="s">
        <v>290</v>
      </c>
      <c r="R128" s="120" t="s">
        <v>291</v>
      </c>
    </row>
    <row r="129" spans="3:20" ht="20.100000000000001" customHeight="1" x14ac:dyDescent="0.2">
      <c r="D129" s="15" t="str">
        <f>INDEX(X_Table_Feedlot_MMS_Stage3,3,1)</f>
        <v>Anaerobic lagoon</v>
      </c>
      <c r="E129" s="15" cm="1">
        <f t="array" aca="1" ref="E129" ca="1">MMS_Feedlot_N2ODirect_Equations.VEERG_4_1_1_3__8_Stage3NitrogenInMMSAnaerobicLagoon(D83,E124)</f>
        <v>333.78508800000009</v>
      </c>
      <c r="F129" s="15" cm="1">
        <f t="array" aca="1" ref="F129" ca="1">MMS_Feedlot_N2ODirect_Equations.VEERG_4_1_1_3__8_Stage3NitrogenInMMSAnaerobicLagoon(E83,F124)</f>
        <v>506.87078400000007</v>
      </c>
      <c r="G129" s="15" cm="1">
        <f t="array" aca="1" ref="G129" ca="1">MMS_Feedlot_N2ODirect_Equations.VEERG_4_1_1_3__8_Stage3NitrogenInMMSAnaerobicLagoon(F83,G124)</f>
        <v>732.09599999999978</v>
      </c>
      <c r="H129" s="16" t="str">
        <f>$E$116</f>
        <v>kg N</v>
      </c>
      <c r="I129" s="16"/>
      <c r="J129" s="16"/>
      <c r="K129" s="16"/>
      <c r="O129" s="15" t="str">
        <f>INDEX(X_Table_Feedlot_MMS_Stage3,3,1)</f>
        <v>Anaerobic lagoon</v>
      </c>
      <c r="P129" s="15" cm="1">
        <f t="array" aca="1" ref="P129" ca="1">MMS_Feedlot_N2ODirect_Equations.VEERG_4_1_1_3__8_Stage3NitrogenInMMSAnaerobicLagoon(O83,E124)</f>
        <v>333.78508800000009</v>
      </c>
      <c r="Q129" s="15" cm="1">
        <f t="array" aca="1" ref="Q129" ca="1">MMS_Feedlot_N2ODirect_Equations.VEERG_4_1_1_3__8_Stage3NitrogenInMMSAnaerobicLagoon(P83,F124)</f>
        <v>506.87078400000007</v>
      </c>
      <c r="R129" s="15" cm="1">
        <f t="array" aca="1" ref="R129" ca="1">MMS_Feedlot_N2ODirect_Equations.VEERG_4_1_1_3__8_Stage3NitrogenInMMSAnaerobicLagoon(Q83,G124)</f>
        <v>732.09599999999978</v>
      </c>
      <c r="S129" s="16" t="str">
        <f>$E$116</f>
        <v>kg N</v>
      </c>
    </row>
    <row r="132" spans="3:20" ht="20.100000000000001" customHeight="1" x14ac:dyDescent="0.2">
      <c r="C132" s="83"/>
      <c r="D132" s="83"/>
      <c r="E132" s="83"/>
      <c r="F132" s="83"/>
      <c r="G132" s="83"/>
      <c r="H132" s="83"/>
      <c r="I132" s="83"/>
      <c r="J132" s="83"/>
      <c r="K132" s="83"/>
      <c r="L132" s="83"/>
      <c r="N132" s="83"/>
      <c r="O132" s="83"/>
      <c r="P132" s="83"/>
      <c r="Q132" s="83"/>
      <c r="R132" s="83"/>
      <c r="S132" s="83"/>
      <c r="T132" s="83"/>
    </row>
    <row r="133" spans="3:20" ht="20.100000000000001" customHeight="1" x14ac:dyDescent="0.2">
      <c r="D133" s="2" t="str" cm="1">
        <f t="array" ref="D133">MMS_Feedlot_N2ODirect_Equations.VEERG_4_1_1_3__7_NitrogenTransferredToStage2_Title()</f>
        <v>Nitrogen transferred to treatment stage 2 MMS</v>
      </c>
    </row>
    <row r="134" spans="3:20" ht="20.100000000000001" customHeight="1" x14ac:dyDescent="0.2">
      <c r="D134" s="17" t="str" cm="1">
        <f t="array" ref="D134">MMS_Feedlot_N2ODirect_Equations.VEERG_4_1_1_3__7_NitrogenTransferredToStage2_Source()</f>
        <v>VEERG 2026: 4.1.1.3, Equation (7)</v>
      </c>
    </row>
    <row r="135" spans="3:20" ht="20.100000000000001" customHeight="1" x14ac:dyDescent="0.2">
      <c r="D135" s="112" t="s">
        <v>321</v>
      </c>
      <c r="E135" s="112" t="str" cm="1">
        <f t="array" aca="1" ref="E135" ca="1">Common_InputFunctions.Utility_DisplayFunctionName(D149)</f>
        <v>=MMS_Feedlot_N2ODirect_Equations.VEERG_4_1_1_3__7_NitrogenTransferredToStage2</v>
      </c>
    </row>
    <row r="137" spans="3:20" ht="20.100000000000001" customHeight="1" x14ac:dyDescent="0.2">
      <c r="D137" s="2"/>
    </row>
    <row r="138" spans="3:20" ht="20.100000000000001" customHeight="1" x14ac:dyDescent="0.2">
      <c r="D138" s="75" t="s">
        <v>322</v>
      </c>
      <c r="E138" s="1" t="str" cm="1">
        <f t="array" ref="E138">MMS_Feedlot_N2ODirect_Equations.VEERG_4_1_1_3__7_NitrogenTransferredToStage2_Variable()</f>
        <v>NT_jmT2</v>
      </c>
    </row>
    <row r="139" spans="3:20" ht="20.100000000000001" customHeight="1" x14ac:dyDescent="0.2">
      <c r="D139" s="75" t="s">
        <v>118</v>
      </c>
      <c r="E139" s="9" t="str" cm="1">
        <f t="array" ref="E139">MMS_Feedlot_N2ODirect_Equations.VEERG_4_1_1_3__7_NitrogenTransferredToStage2_Unit()</f>
        <v>kg N</v>
      </c>
    </row>
    <row r="141" spans="3:20" ht="20.100000000000001" customHeight="1" x14ac:dyDescent="0.2">
      <c r="D141" s="113" t="str" cm="1">
        <f t="array" ref="D141:E144">_xlfn.CHOOSECOLS(MMS_Feedlot_N2ODirect_Equations.VEERG_4_1_1_3__7_NitrogenTransferredToStage2_Arguments(),1,2)</f>
        <v>MN_jm5T1</v>
      </c>
      <c r="E141" s="121" t="str">
        <v>nitrogen in MMS treatment stage 1</v>
      </c>
      <c r="F141" s="122"/>
      <c r="G141" s="113" t="str" cm="1">
        <f t="array" ref="G141:H144">_xlfn.CHOOSECOLS(MMS_Feedlot_N2ODirect_Equations.VEERG_4_1_1_3__7_NitrogenTransferredToStage2_Arguments(),3,4)</f>
        <v>kg N</v>
      </c>
      <c r="H141" s="115" t="str">
        <v>Calculated from 4.1.1.3 (2)</v>
      </c>
      <c r="I141" s="116" t="str" cm="1">
        <f t="array" aca="1" ref="I141" ca="1">HYPERLINK(Common_InputFunctions.Utility_SourceHyperlink($D$103),$D$103)</f>
        <v>M1_Table_MN_j_m-5_T-1</v>
      </c>
    </row>
    <row r="142" spans="3:20" ht="20.100000000000001" customHeight="1" x14ac:dyDescent="0.2">
      <c r="D142" s="113" t="str">
        <v>FracGASM_m5</v>
      </c>
      <c r="E142" s="121" t="str">
        <v>fraction of N volatilised from drylot MMS</v>
      </c>
      <c r="F142" s="122"/>
      <c r="G142" s="113" t="str">
        <v>fraction</v>
      </c>
      <c r="H142" s="115" t="str">
        <v>Constant</v>
      </c>
      <c r="I142" s="113">
        <f>'Constants - Feedlot'!$F$113</f>
        <v>0.6</v>
      </c>
    </row>
    <row r="143" spans="3:20" ht="20.100000000000001" customHeight="1" x14ac:dyDescent="0.2">
      <c r="D143" s="113" t="str">
        <v>EF_m5</v>
      </c>
      <c r="E143" s="121" t="str">
        <v>nitrous oxide emission factor for drylot MMS</v>
      </c>
      <c r="F143" s="122"/>
      <c r="G143" s="113" t="str">
        <v>kg N2O-N/kg N deposited</v>
      </c>
      <c r="H143" s="115" t="str">
        <v>Constant</v>
      </c>
      <c r="I143" s="113">
        <f>'Constants - Feedlot'!$F$101</f>
        <v>5.4000000000000003E-3</v>
      </c>
    </row>
    <row r="144" spans="3:20" ht="20.100000000000001" customHeight="1" x14ac:dyDescent="0.2">
      <c r="D144" s="113" t="str">
        <v>MN_jmT3</v>
      </c>
      <c r="E144" s="121" t="str">
        <v>nitrogen in MMS treatment stage 3</v>
      </c>
      <c r="F144" s="122"/>
      <c r="G144" s="113" t="str">
        <v>kg N</v>
      </c>
      <c r="H144" s="115" t="str">
        <v>Calculated from 4.1.1.3 (8)</v>
      </c>
      <c r="I144" s="116" t="str" cm="1">
        <f t="array" aca="1" ref="I144" ca="1">HYPERLINK(Common_InputFunctions.Utility_SourceHyperlink($D$126),$D$126)</f>
        <v>M1_Table_MN_j_m-1_T-3</v>
      </c>
    </row>
    <row r="146" spans="1:20" ht="20.100000000000001" customHeight="1" x14ac:dyDescent="0.2">
      <c r="D146" s="118" t="s">
        <v>410</v>
      </c>
      <c r="O146" s="118" t="s">
        <v>411</v>
      </c>
    </row>
    <row r="147" spans="1:20" ht="20.100000000000001" customHeight="1" x14ac:dyDescent="0.2">
      <c r="D147" s="119" t="s">
        <v>412</v>
      </c>
      <c r="O147" s="119" t="s">
        <v>413</v>
      </c>
    </row>
    <row r="148" spans="1:20" ht="20.100000000000001" customHeight="1" x14ac:dyDescent="0.2">
      <c r="D148" s="120" t="s">
        <v>289</v>
      </c>
      <c r="E148" s="120" t="s">
        <v>290</v>
      </c>
      <c r="F148" s="120" t="s">
        <v>291</v>
      </c>
      <c r="O148" s="120" t="s">
        <v>289</v>
      </c>
      <c r="P148" s="120" t="s">
        <v>290</v>
      </c>
      <c r="Q148" s="120" t="s">
        <v>291</v>
      </c>
    </row>
    <row r="149" spans="1:20" ht="20.100000000000001" customHeight="1" x14ac:dyDescent="0.2">
      <c r="D149" s="15" cm="1">
        <f t="array" aca="1" ref="D149" ca="1">MMS_Feedlot_N2ODirect_Equations.VEERG_4_1_1_3__7_NitrogenTransferredToStage2(E106,$I$142,$I$143,E129)</f>
        <v>6251.7946982400026</v>
      </c>
      <c r="E149" s="15" cm="1">
        <f t="array" aca="1" ref="E149" ca="1">MMS_Feedlot_N2ODirect_Equations.VEERG_4_1_1_3__7_NitrogenTransferredToStage2(F106,$I$142,$I$143,F129)</f>
        <v>9493.6897843200004</v>
      </c>
      <c r="F149" s="15" cm="1">
        <f t="array" aca="1" ref="F149" ca="1">MMS_Feedlot_N2ODirect_Equations.VEERG_4_1_1_3__7_NitrogenTransferredToStage2(G106,$I$142,$I$143,G129)</f>
        <v>13712.158079999996</v>
      </c>
      <c r="G149" s="16" t="str">
        <f>$E$116</f>
        <v>kg N</v>
      </c>
      <c r="O149" s="15" cm="1">
        <f t="array" aca="1" ref="O149" ca="1">MMS_Feedlot_N2ODirect_Equations.VEERG_4_1_1_3__7_NitrogenTransferredToStage2(P106,$I$142,$I$143,P129)</f>
        <v>6251.7946982400026</v>
      </c>
      <c r="P149" s="15" cm="1">
        <f t="array" aca="1" ref="P149" ca="1">MMS_Feedlot_N2ODirect_Equations.VEERG_4_1_1_3__7_NitrogenTransferredToStage2(Q106,$I$142,$I$143,Q129)</f>
        <v>9493.6897843200004</v>
      </c>
      <c r="Q149" s="15" cm="1">
        <f t="array" aca="1" ref="Q149" ca="1">MMS_Feedlot_N2ODirect_Equations.VEERG_4_1_1_3__7_NitrogenTransferredToStage2(R106,$I$142,$I$143,R129)</f>
        <v>13712.158079999996</v>
      </c>
      <c r="R149" s="16" t="str">
        <f>$E$116</f>
        <v>kg N</v>
      </c>
    </row>
    <row r="152" spans="1:20" ht="20.100000000000001" customHeight="1" x14ac:dyDescent="0.2">
      <c r="C152" s="83"/>
      <c r="D152" s="83"/>
      <c r="E152" s="83"/>
      <c r="F152" s="83"/>
      <c r="G152" s="83"/>
      <c r="H152" s="83"/>
      <c r="I152" s="83"/>
      <c r="J152" s="83"/>
      <c r="K152" s="83"/>
      <c r="L152" s="83"/>
      <c r="N152" s="83"/>
      <c r="O152" s="83"/>
      <c r="P152" s="83"/>
      <c r="Q152" s="83"/>
      <c r="R152" s="83"/>
      <c r="S152" s="83"/>
      <c r="T152" s="83"/>
    </row>
    <row r="153" spans="1:20" ht="20.100000000000001" customHeight="1" x14ac:dyDescent="0.2">
      <c r="D153" s="2" t="str" cm="1">
        <f t="array" ref="D153">MMS_Feedlot_N2ODirect_Equations.VEERG_4_1_1_3__6_Stage2NitrogenInMMS_Title()</f>
        <v>Nitrogen in treatment stage 2 MMS</v>
      </c>
    </row>
    <row r="154" spans="1:20" ht="20.100000000000001" customHeight="1" x14ac:dyDescent="0.2">
      <c r="D154" s="17" t="str" cm="1">
        <f t="array" ref="D154">MMS_Feedlot_N2ODirect_Equations.VEERG_4_1_1_3__6_Stage2NitrogenInMMS_Source()</f>
        <v>VEERG 2026: 4.1.1.3, Equation (6)</v>
      </c>
    </row>
    <row r="155" spans="1:20" ht="20.100000000000001" customHeight="1" x14ac:dyDescent="0.2">
      <c r="D155" s="112" t="s">
        <v>321</v>
      </c>
      <c r="E155" s="112" t="str" cm="1">
        <f t="array" aca="1" ref="E155" ca="1">Common_InputFunctions.Utility_DisplayFunctionName(E174)</f>
        <v>=MMS_Feedlot_N2ODirect_Equations.VEERG_4_1_1_3__6_Stage2NitrogenInMMS</v>
      </c>
    </row>
    <row r="156" spans="1:20" ht="20.100000000000001" customHeight="1" x14ac:dyDescent="0.2">
      <c r="A156" s="79" t="str">
        <f>HYPERLINK("#A1", "▲ Back to top")</f>
        <v>▲ Back to top</v>
      </c>
    </row>
    <row r="157" spans="1:20" ht="20.100000000000001" customHeight="1" x14ac:dyDescent="0.2">
      <c r="D157" s="2"/>
    </row>
    <row r="158" spans="1:20" ht="20.100000000000001" customHeight="1" x14ac:dyDescent="0.2">
      <c r="D158" s="75" t="s">
        <v>322</v>
      </c>
      <c r="E158" s="1" t="str" cm="1">
        <f t="array" ref="E158">MMS_Feedlot_N2ODirect_Equations.VEERG_4_1_1_3__6_Stage2NitrogenInMMS_Variable()</f>
        <v>MN_jmT2</v>
      </c>
    </row>
    <row r="159" spans="1:20" ht="20.100000000000001" customHeight="1" x14ac:dyDescent="0.2">
      <c r="D159" s="75" t="s">
        <v>118</v>
      </c>
      <c r="E159" s="9" t="str" cm="1">
        <f t="array" ref="E159">MMS_Feedlot_N2ODirect_Equations.VEERG_4_1_1_3__6_Stage2NitrogenInMMS_Unit()</f>
        <v>kg N</v>
      </c>
    </row>
    <row r="161" spans="4:19" ht="20.100000000000001" customHeight="1" x14ac:dyDescent="0.2">
      <c r="D161" s="113" t="str" cm="1">
        <f t="array" ref="D161:E162">_xlfn.CHOOSECOLS(MMS_Feedlot_N2ODirect_Equations.VEERG_4_1_1_3__6_Stage2NitrogenInMMS_Arguments(),1,2)</f>
        <v>NT_jmT2</v>
      </c>
      <c r="E161" s="121" t="str">
        <v>nitrogen transferred to secondary treatment MMS</v>
      </c>
      <c r="F161" s="122"/>
      <c r="G161" s="113" t="str" cm="1">
        <f t="array" ref="G161:H162">_xlfn.CHOOSECOLS(MMS_Feedlot_N2ODirect_Equations.VEERG_4_1_1_3__6_Stage2NitrogenInMMS_Arguments(),3,4)</f>
        <v>kg N</v>
      </c>
      <c r="H161" s="115" t="str">
        <v>Calculated from 4.1.1.3 (7)</v>
      </c>
      <c r="I161" s="116" t="str" cm="1">
        <f t="array" aca="1" ref="I161" ca="1">HYPERLINK(Common_InputFunctions.Utility_SourceHyperlink($D$146),$D$146)</f>
        <v>M1_Table_NT_j_m-_T-2</v>
      </c>
    </row>
    <row r="162" spans="4:19" ht="20.100000000000001" customHeight="1" x14ac:dyDescent="0.2">
      <c r="D162" s="113" t="str">
        <v>MMS_jmT2</v>
      </c>
      <c r="E162" s="121" t="str">
        <v>fraction of manure in each secondary system</v>
      </c>
      <c r="F162" s="122"/>
      <c r="G162" s="113" t="str">
        <v>fraction</v>
      </c>
      <c r="H162" s="114" t="str">
        <v>Input</v>
      </c>
      <c r="I162" s="116" t="str" cm="1">
        <f t="array" aca="1" ref="I162" ca="1">HYPERLINK(Common_InputFunctions.Utility_SourceHyperlink($D$164),$D$164)</f>
        <v>Table_MMS_j_m_T-2</v>
      </c>
    </row>
    <row r="163" spans="4:19" ht="20.100000000000001" customHeight="1" x14ac:dyDescent="0.2">
      <c r="L163" s="16"/>
    </row>
    <row r="164" spans="4:19" ht="20.100000000000001" customHeight="1" x14ac:dyDescent="0.2">
      <c r="D164" s="118" t="s">
        <v>414</v>
      </c>
      <c r="L164" s="16"/>
    </row>
    <row r="165" spans="4:19" ht="20.100000000000001" customHeight="1" x14ac:dyDescent="0.2">
      <c r="D165" s="119" t="s">
        <v>344</v>
      </c>
    </row>
    <row r="166" spans="4:19" ht="20.100000000000001" customHeight="1" x14ac:dyDescent="0.2">
      <c r="D166" s="78" t="s">
        <v>310</v>
      </c>
      <c r="E166" s="78" t="s">
        <v>289</v>
      </c>
      <c r="F166" s="78" t="s">
        <v>290</v>
      </c>
      <c r="G166" s="78" t="s">
        <v>291</v>
      </c>
    </row>
    <row r="167" spans="4:19" ht="20.100000000000001" customHeight="1" x14ac:dyDescent="0.2">
      <c r="D167" s="15" t="str" cm="1">
        <f t="array" aca="1" ref="D167:G169" ca="1">OFFSET(X_Table_Feedlot_MMS_Stage2,2, 0, 3, 4)</f>
        <v>Solid storage</v>
      </c>
      <c r="E167" s="15">
        <f ca="1"/>
        <v>0.2</v>
      </c>
      <c r="F167" s="15">
        <f ca="1"/>
        <v>0.2</v>
      </c>
      <c r="G167" s="15">
        <f ca="1"/>
        <v>0.2</v>
      </c>
      <c r="H167" s="16" t="s">
        <v>299</v>
      </c>
      <c r="I167" s="16"/>
      <c r="J167" s="16"/>
      <c r="K167" s="16"/>
    </row>
    <row r="168" spans="4:19" ht="20.100000000000001" customHeight="1" x14ac:dyDescent="0.2">
      <c r="D168" s="15" t="str">
        <f ca="1"/>
        <v>Composting (passive windrow)</v>
      </c>
      <c r="E168" s="15">
        <f ca="1"/>
        <v>0.2</v>
      </c>
      <c r="F168" s="15">
        <f ca="1"/>
        <v>0.2</v>
      </c>
      <c r="G168" s="15">
        <f ca="1"/>
        <v>0.2</v>
      </c>
      <c r="H168" s="16" t="s">
        <v>299</v>
      </c>
      <c r="I168" s="16"/>
      <c r="J168" s="16"/>
      <c r="K168" s="16"/>
    </row>
    <row r="169" spans="4:19" ht="20.100000000000001" customHeight="1" x14ac:dyDescent="0.2">
      <c r="D169" s="15" t="str">
        <f ca="1"/>
        <v>Direct application</v>
      </c>
      <c r="E169" s="15">
        <f ca="1"/>
        <v>0.6</v>
      </c>
      <c r="F169" s="15">
        <f ca="1"/>
        <v>0.6</v>
      </c>
      <c r="G169" s="15">
        <f ca="1"/>
        <v>0.6</v>
      </c>
    </row>
    <row r="171" spans="4:19" ht="20.100000000000001" customHeight="1" x14ac:dyDescent="0.2">
      <c r="D171" s="118" t="s">
        <v>415</v>
      </c>
      <c r="O171" s="118" t="s">
        <v>415</v>
      </c>
    </row>
    <row r="172" spans="4:19" ht="20.100000000000001" customHeight="1" x14ac:dyDescent="0.2">
      <c r="D172" s="119" t="s">
        <v>416</v>
      </c>
      <c r="O172" s="119" t="s">
        <v>417</v>
      </c>
    </row>
    <row r="173" spans="4:19" ht="20.100000000000001" customHeight="1" x14ac:dyDescent="0.2">
      <c r="D173" s="120" t="s">
        <v>310</v>
      </c>
      <c r="E173" s="120" t="s">
        <v>289</v>
      </c>
      <c r="F173" s="120" t="s">
        <v>290</v>
      </c>
      <c r="G173" s="120" t="s">
        <v>291</v>
      </c>
      <c r="O173" s="120" t="s">
        <v>310</v>
      </c>
      <c r="P173" s="120" t="s">
        <v>289</v>
      </c>
      <c r="Q173" s="120" t="s">
        <v>290</v>
      </c>
      <c r="R173" s="120" t="s">
        <v>291</v>
      </c>
    </row>
    <row r="174" spans="4:19" ht="20.100000000000001" customHeight="1" x14ac:dyDescent="0.2">
      <c r="D174" s="15" t="str">
        <f>INDEX(X_Table_Feedlot_MMS_Stage2,3,1)</f>
        <v>Solid storage</v>
      </c>
      <c r="E174" s="15" cm="1">
        <f t="array" aca="1" ref="E174" ca="1">MMS_Feedlot_N2ODirect_Equations.VEERG_4_1_1_3__6_Stage2NitrogenInMMS(D$149,E167)</f>
        <v>1250.3589396480006</v>
      </c>
      <c r="F174" s="15" cm="1">
        <f t="array" aca="1" ref="F174" ca="1">MMS_Feedlot_N2ODirect_Equations.VEERG_4_1_1_3__6_Stage2NitrogenInMMS(E$149,F167)</f>
        <v>1898.7379568640001</v>
      </c>
      <c r="G174" s="15" cm="1">
        <f t="array" aca="1" ref="G174" ca="1">MMS_Feedlot_N2ODirect_Equations.VEERG_4_1_1_3__6_Stage2NitrogenInMMS(F$149,G167)</f>
        <v>2742.4316159999994</v>
      </c>
      <c r="H174" s="16" t="str">
        <f>$E$159</f>
        <v>kg N</v>
      </c>
      <c r="I174" s="16"/>
      <c r="J174" s="16"/>
      <c r="K174" s="16"/>
      <c r="O174" s="15" t="str">
        <f>INDEX(X_Table_Feedlot_MMS_Stage2,3,1)</f>
        <v>Solid storage</v>
      </c>
      <c r="P174" s="15" cm="1">
        <f t="array" aca="1" ref="P174" ca="1">MMS_Feedlot_N2ODirect_Equations.VEERG_4_1_1_3__6_Stage2NitrogenInMMS(O$149,E167)</f>
        <v>1250.3589396480006</v>
      </c>
      <c r="Q174" s="15" cm="1">
        <f t="array" aca="1" ref="Q174" ca="1">MMS_Feedlot_N2ODirect_Equations.VEERG_4_1_1_3__6_Stage2NitrogenInMMS(P$149,F167)</f>
        <v>1898.7379568640001</v>
      </c>
      <c r="R174" s="15" cm="1">
        <f t="array" aca="1" ref="R174" ca="1">MMS_Feedlot_N2ODirect_Equations.VEERG_4_1_1_3__6_Stage2NitrogenInMMS(Q$149,G167)</f>
        <v>2742.4316159999994</v>
      </c>
      <c r="S174" s="16" t="str">
        <f>$E$159</f>
        <v>kg N</v>
      </c>
    </row>
    <row r="175" spans="4:19" ht="20.100000000000001" customHeight="1" x14ac:dyDescent="0.2">
      <c r="D175" s="15" t="str">
        <f>INDEX(X_Table_Feedlot_MMS_Stage2,4,1)</f>
        <v>Composting (passive windrow)</v>
      </c>
      <c r="E175" s="15" cm="1">
        <f t="array" aca="1" ref="E175" ca="1">MMS_Feedlot_N2ODirect_Equations.VEERG_4_1_1_3__6_Stage2NitrogenInMMS(D$149,E168)</f>
        <v>1250.3589396480006</v>
      </c>
      <c r="F175" s="15" cm="1">
        <f t="array" aca="1" ref="F175" ca="1">MMS_Feedlot_N2ODirect_Equations.VEERG_4_1_1_3__6_Stage2NitrogenInMMS(E$149,F168)</f>
        <v>1898.7379568640001</v>
      </c>
      <c r="G175" s="15" cm="1">
        <f t="array" aca="1" ref="G175" ca="1">MMS_Feedlot_N2ODirect_Equations.VEERG_4_1_1_3__6_Stage2NitrogenInMMS(F$149,G168)</f>
        <v>2742.4316159999994</v>
      </c>
      <c r="H175" s="16" t="str">
        <f>$E$159</f>
        <v>kg N</v>
      </c>
      <c r="I175" s="16"/>
      <c r="J175" s="16"/>
      <c r="K175" s="16"/>
      <c r="O175" s="15" t="str">
        <f>INDEX(X_Table_Feedlot_MMS_Stage2,4,1)</f>
        <v>Composting (passive windrow)</v>
      </c>
      <c r="P175" s="15" cm="1">
        <f t="array" aca="1" ref="P175" ca="1">MMS_Feedlot_N2ODirect_Equations.VEERG_4_1_1_3__6_Stage2NitrogenInMMS(O$149,E168)</f>
        <v>1250.3589396480006</v>
      </c>
      <c r="Q175" s="15" cm="1">
        <f t="array" aca="1" ref="Q175" ca="1">MMS_Feedlot_N2ODirect_Equations.VEERG_4_1_1_3__6_Stage2NitrogenInMMS(P$149,F168)</f>
        <v>1898.7379568640001</v>
      </c>
      <c r="R175" s="15" cm="1">
        <f t="array" aca="1" ref="R175" ca="1">MMS_Feedlot_N2ODirect_Equations.VEERG_4_1_1_3__6_Stage2NitrogenInMMS(Q$149,G168)</f>
        <v>2742.4316159999994</v>
      </c>
      <c r="S175" s="16" t="str">
        <f>$E$159</f>
        <v>kg N</v>
      </c>
    </row>
    <row r="176" spans="4:19" ht="20.100000000000001" customHeight="1" x14ac:dyDescent="0.2">
      <c r="D176" s="15" t="str">
        <f>INDEX(X_Table_Feedlot_MMS_Stage2,5,1)</f>
        <v>Direct application</v>
      </c>
      <c r="E176" s="15" cm="1">
        <f t="array" aca="1" ref="E176" ca="1">MMS_Feedlot_N2ODirect_Equations.VEERG_4_1_1_3__6_Stage2NitrogenInMMS(D$149,E169)</f>
        <v>3751.0768189440014</v>
      </c>
      <c r="F176" s="15" cm="1">
        <f t="array" aca="1" ref="F176" ca="1">MMS_Feedlot_N2ODirect_Equations.VEERG_4_1_1_3__6_Stage2NitrogenInMMS(E$149,F169)</f>
        <v>5696.2138705919997</v>
      </c>
      <c r="G176" s="15" cm="1">
        <f t="array" aca="1" ref="G176" ca="1">MMS_Feedlot_N2ODirect_Equations.VEERG_4_1_1_3__6_Stage2NitrogenInMMS(F$149,G169)</f>
        <v>8227.2948479999977</v>
      </c>
      <c r="H176" s="16" t="str">
        <f>$E$159</f>
        <v>kg N</v>
      </c>
      <c r="I176" s="16"/>
      <c r="J176" s="16"/>
      <c r="K176" s="16"/>
      <c r="O176" s="15" t="str">
        <f>INDEX(X_Table_Feedlot_MMS_Stage2,5,1)</f>
        <v>Direct application</v>
      </c>
      <c r="P176" s="15" cm="1">
        <f t="array" aca="1" ref="P176" ca="1">MMS_Feedlot_N2ODirect_Equations.VEERG_4_1_1_3__6_Stage2NitrogenInMMS(O$149,E169)</f>
        <v>3751.0768189440014</v>
      </c>
      <c r="Q176" s="15" cm="1">
        <f t="array" aca="1" ref="Q176" ca="1">MMS_Feedlot_N2ODirect_Equations.VEERG_4_1_1_3__6_Stage2NitrogenInMMS(P$149,F169)</f>
        <v>5696.2138705919997</v>
      </c>
      <c r="R176" s="15" cm="1">
        <f t="array" aca="1" ref="R176" ca="1">MMS_Feedlot_N2ODirect_Equations.VEERG_4_1_1_3__6_Stage2NitrogenInMMS(Q$149,G169)</f>
        <v>8227.2948479999977</v>
      </c>
      <c r="S176" s="16" t="str">
        <f>$E$159</f>
        <v>kg N</v>
      </c>
    </row>
    <row r="178" spans="1:20" ht="20.100000000000001" customHeight="1" x14ac:dyDescent="0.2">
      <c r="C178" s="83"/>
      <c r="D178" s="83"/>
      <c r="E178" s="83"/>
      <c r="F178" s="83"/>
      <c r="G178" s="83"/>
      <c r="H178" s="83"/>
      <c r="I178" s="83"/>
      <c r="J178" s="83"/>
      <c r="K178" s="83"/>
      <c r="L178" s="83"/>
      <c r="N178" s="83"/>
      <c r="O178" s="83"/>
      <c r="P178" s="83"/>
      <c r="Q178" s="83"/>
      <c r="R178" s="83"/>
      <c r="S178" s="83"/>
      <c r="T178" s="83"/>
    </row>
    <row r="179" spans="1:20" ht="20.100000000000001" customHeight="1" x14ac:dyDescent="0.2">
      <c r="D179" s="2" t="str" cm="1">
        <f t="array" ref="D179">MMS_Feedlot_N2ODirect_Equations.VEERG_4_1_1_3__1_TotalAnnualDirectNitrousOxideEmissions_Title()</f>
        <v>Total annual direct nitrous oxide emissions from manure management systems</v>
      </c>
    </row>
    <row r="180" spans="1:20" ht="20.100000000000001" customHeight="1" x14ac:dyDescent="0.2">
      <c r="D180" s="17" t="str" cm="1">
        <f t="array" ref="D180">MMS_Feedlot_N2ODirect_Equations.VEERG_4_1_1_3__1_TotalAnnualDirectNitrousOxideEmissions_Source()</f>
        <v>VEERG 2026: 4.1.1.3, Equation (1)</v>
      </c>
    </row>
    <row r="181" spans="1:20" ht="20.100000000000001" customHeight="1" x14ac:dyDescent="0.2">
      <c r="D181" s="112" t="s">
        <v>321</v>
      </c>
      <c r="E181" s="112" t="str" cm="1">
        <f t="array" aca="1" ref="E181" ca="1">Common_InputFunctions.Utility_DisplayFunctionName(E206)</f>
        <v>=MMS_Feedlot_N2ODirect_Equations.VEERG_4_1_1_3__1_TotalAnnualDirectNitrousOxideEmissions</v>
      </c>
    </row>
    <row r="183" spans="1:20" ht="20.100000000000001" customHeight="1" x14ac:dyDescent="0.2">
      <c r="D183" s="2"/>
    </row>
    <row r="185" spans="1:20" ht="20.100000000000001" customHeight="1" x14ac:dyDescent="0.2">
      <c r="D185" s="75" t="s">
        <v>322</v>
      </c>
      <c r="E185" s="1" t="str" cm="1">
        <f t="array" ref="E185">MMS_Feedlot_N2ODirect_Equations.VEERG_4_1_1_3__1_TotalAnnualDirectNitrousOxideEmissions_Variable()</f>
        <v>E_N2Odir</v>
      </c>
    </row>
    <row r="186" spans="1:20" ht="20.100000000000001" customHeight="1" x14ac:dyDescent="0.2">
      <c r="A186" s="79" t="str">
        <f>HYPERLINK("#A1", "▲ Back to top")</f>
        <v>▲ Back to top</v>
      </c>
      <c r="D186" s="75" t="s">
        <v>118</v>
      </c>
      <c r="E186" s="9" t="str" cm="1">
        <f t="array" ref="E186">MMS_Feedlot_N2ODirect_Equations.VEERG_4_1_1_3__1_TotalAnnualDirectNitrousOxideEmissions_Unit()</f>
        <v>t N2O</v>
      </c>
    </row>
    <row r="188" spans="1:20" ht="20.100000000000001" customHeight="1" x14ac:dyDescent="0.2">
      <c r="D188" s="113" t="str" cm="1">
        <f t="array" ref="D188:E190">_xlfn.CHOOSECOLS(MMS_Feedlot_N2ODirect_Equations.VEERG_4_1_1_3__1_TotalAnnualDirectNitrousOxideEmissions_Arguments(),1,2)</f>
        <v>MN_jmT</v>
      </c>
      <c r="E188" s="121" t="str">
        <v>nitrogen per cattle group, MMS and treatment stage</v>
      </c>
      <c r="F188" s="122"/>
      <c r="G188" s="113" t="str" cm="1">
        <f t="array" ref="G188:H190">_xlfn.CHOOSECOLS(MMS_Feedlot_N2ODirect_Equations.VEERG_4_1_1_3__1_TotalAnnualDirectNitrousOxideEmissions_Arguments(),3,4)</f>
        <v>kg N</v>
      </c>
      <c r="H188" s="115" t="str">
        <v>Calculated from 4.1.1.3 (2)(6)(8)</v>
      </c>
      <c r="I188" s="116" t="str" cm="1">
        <f t="array" aca="1" ref="I188" ca="1">HYPERLINK(Common_InputFunctions.Utility_SourceHyperlink($D$103),$D$103)</f>
        <v>M1_Table_MN_j_m-5_T-1</v>
      </c>
      <c r="J188" s="116" t="str" cm="1">
        <f t="array" aca="1" ref="J188" ca="1">HYPERLINK(Common_InputFunctions.Utility_SourceHyperlink($D$171),$D$171)</f>
        <v>M1_Table_MN_j_m_T-2</v>
      </c>
      <c r="K188" s="116" t="str" cm="1">
        <f t="array" aca="1" ref="K188" ca="1">HYPERLINK(Common_InputFunctions.Utility_SourceHyperlink($D$126),$D$126)</f>
        <v>M1_Table_MN_j_m-1_T-3</v>
      </c>
    </row>
    <row r="189" spans="1:20" ht="20.100000000000001" customHeight="1" x14ac:dyDescent="0.2">
      <c r="D189" s="113" t="str">
        <v>EF_jm</v>
      </c>
      <c r="E189" s="121" t="str">
        <v>nitrous oxide emission factor for MMS</v>
      </c>
      <c r="F189" s="122"/>
      <c r="G189" s="113" t="str">
        <v>kg N2O-N/kg N</v>
      </c>
      <c r="H189" s="115" t="str">
        <v>Constant</v>
      </c>
      <c r="I189" s="116" t="str" cm="1">
        <f t="array" aca="1" ref="I189" ca="1">HYPERLINK(Common_InputFunctions.Utility_SourceHyperlink($D$192),$D$192)</f>
        <v>Table_EF_j_m</v>
      </c>
      <c r="J189" s="113"/>
      <c r="K189" s="113"/>
    </row>
    <row r="190" spans="1:20" ht="20.100000000000001" customHeight="1" x14ac:dyDescent="0.2">
      <c r="D190" s="113" t="str">
        <v>C_N2O</v>
      </c>
      <c r="E190" s="121" t="str">
        <v>factor to convert elemental mass of nitrous oxide to molecular mass</v>
      </c>
      <c r="F190" s="122"/>
      <c r="G190" s="113" t="str">
        <v>ratio</v>
      </c>
      <c r="H190" s="115" t="str">
        <v>Constant</v>
      </c>
      <c r="I190" s="113">
        <f>Common_InputFunctions.Utility_LookupValueInTableNumber("N2O",Table_GasToMolecularConversionFactor[Gas],Table_GasToMolecularConversionFactor[Conversion factor combined])</f>
        <v>1.5714285714285714</v>
      </c>
      <c r="J190" s="113"/>
      <c r="K190" s="113"/>
    </row>
    <row r="192" spans="1:20" ht="20.100000000000001" customHeight="1" x14ac:dyDescent="0.2">
      <c r="D192" s="118" t="s">
        <v>418</v>
      </c>
    </row>
    <row r="193" spans="4:19" ht="20.100000000000001" customHeight="1" x14ac:dyDescent="0.2">
      <c r="D193" s="119" t="s">
        <v>419</v>
      </c>
    </row>
    <row r="194" spans="4:19" ht="20.100000000000001" customHeight="1" x14ac:dyDescent="0.2">
      <c r="D194" s="128" t="s">
        <v>368</v>
      </c>
      <c r="E194" s="128" t="s">
        <v>420</v>
      </c>
    </row>
    <row r="195" spans="4:19" ht="20.100000000000001" customHeight="1" x14ac:dyDescent="0.2">
      <c r="D195" s="15" t="str">
        <f>INDEX(X_Table_Feedlot_MMS_Stage1,2,1)</f>
        <v>Drylot (feed pad)</v>
      </c>
      <c r="E195" s="15">
        <f>_xlfn.XLOOKUP($D$195, Table_SourceData_Feedlot_NO2EFs[NIR definition], Table_SourceData_Feedlot_NO2EFs[EF mT])</f>
        <v>5.4000000000000003E-3</v>
      </c>
    </row>
    <row r="196" spans="4:19" ht="20.100000000000001" customHeight="1" x14ac:dyDescent="0.2">
      <c r="D196" s="15" t="str">
        <f>INDEX(X_Table_Feedlot_MMS_Stage2,3,1)</f>
        <v>Solid storage</v>
      </c>
      <c r="E196" s="15">
        <f>_xlfn.XLOOKUP($D$196, Table_SourceData_Feedlot_NO2EFs[NIR definition], Table_SourceData_Feedlot_NO2EFs[EF mT])</f>
        <v>5.0000000000000001E-3</v>
      </c>
    </row>
    <row r="197" spans="4:19" ht="20.100000000000001" customHeight="1" x14ac:dyDescent="0.2">
      <c r="D197" s="15" t="str">
        <f>INDEX(X_Table_Feedlot_MMS_Stage2,4,1)</f>
        <v>Composting (passive windrow)</v>
      </c>
      <c r="E197" s="15">
        <f>_xlfn.XLOOKUP($D$197, Table_SourceData_Feedlot_NO2EFs[NIR definition], Table_SourceData_Feedlot_NO2EFs[EF mT])</f>
        <v>0.01</v>
      </c>
    </row>
    <row r="198" spans="4:19" ht="20.100000000000001" customHeight="1" x14ac:dyDescent="0.2">
      <c r="D198" s="15" t="str">
        <f>INDEX(X_Table_Feedlot_MMS_Stage3,3,1)</f>
        <v>Anaerobic lagoon</v>
      </c>
      <c r="E198" s="15">
        <f>_xlfn.XLOOKUP($D$198, Table_SourceData_Feedlot_NO2EFs[NIR definition], Table_SourceData_Feedlot_NO2EFs[EF mT])</f>
        <v>0</v>
      </c>
    </row>
    <row r="200" spans="4:19" ht="20.100000000000001" customHeight="1" x14ac:dyDescent="0.2">
      <c r="D200" s="129" t="s">
        <v>421</v>
      </c>
      <c r="E200" s="43"/>
      <c r="F200" s="43"/>
      <c r="G200" s="44"/>
    </row>
    <row r="201" spans="4:19" ht="20.100000000000001" customHeight="1" x14ac:dyDescent="0.2">
      <c r="D201" s="45" t="s">
        <v>422</v>
      </c>
      <c r="E201" s="46"/>
      <c r="F201" s="46"/>
      <c r="G201" s="47"/>
    </row>
    <row r="203" spans="4:19" ht="20.100000000000001" customHeight="1" x14ac:dyDescent="0.2">
      <c r="D203" s="118" t="s">
        <v>423</v>
      </c>
      <c r="O203" s="118" t="s">
        <v>424</v>
      </c>
    </row>
    <row r="204" spans="4:19" ht="20.100000000000001" customHeight="1" x14ac:dyDescent="0.2">
      <c r="D204" s="119" t="s">
        <v>425</v>
      </c>
      <c r="O204" s="119" t="s">
        <v>426</v>
      </c>
    </row>
    <row r="205" spans="4:19" ht="20.100000000000001" customHeight="1" x14ac:dyDescent="0.2">
      <c r="D205" s="128" t="s">
        <v>368</v>
      </c>
      <c r="E205" s="120" t="s">
        <v>289</v>
      </c>
      <c r="F205" s="120" t="s">
        <v>290</v>
      </c>
      <c r="G205" s="120" t="s">
        <v>291</v>
      </c>
      <c r="O205" s="128" t="s">
        <v>368</v>
      </c>
      <c r="P205" s="120" t="s">
        <v>289</v>
      </c>
      <c r="Q205" s="120" t="s">
        <v>290</v>
      </c>
      <c r="R205" s="120" t="s">
        <v>291</v>
      </c>
    </row>
    <row r="206" spans="4:19" ht="20.100000000000001" customHeight="1" x14ac:dyDescent="0.2">
      <c r="D206" s="15" t="str">
        <f>INDEX(X_Table_Feedlot_MMS_Stage1,2,1)</f>
        <v>Drylot (feed pad)</v>
      </c>
      <c r="E206" s="15" cm="1">
        <f t="array" aca="1" ref="E206" ca="1">MMS_Feedlot_N2ODirect_Equations.VEERG_4_1_1_3__1_TotalAnnualDirectNitrousOxideEmissions(E$106,$E195,$I$190)</f>
        <v>0.14162024448000005</v>
      </c>
      <c r="F206" s="15" cm="1">
        <f t="array" aca="1" ref="F206" ca="1">MMS_Feedlot_N2ODirect_Equations.VEERG_4_1_1_3__1_TotalAnnualDirectNitrousOxideEmissions(F$106,$E195,$I$190)</f>
        <v>0.21505803264000004</v>
      </c>
      <c r="G206" s="15" cm="1">
        <f t="array" aca="1" ref="G206" ca="1">MMS_Feedlot_N2ODirect_Equations.VEERG_4_1_1_3__1_TotalAnnualDirectNitrousOxideEmissions(G$106,$E195,$I$190)</f>
        <v>0.31061787428571419</v>
      </c>
      <c r="H206" s="16" t="str">
        <f>$E$186</f>
        <v>t N2O</v>
      </c>
      <c r="I206" s="16"/>
      <c r="J206" s="16"/>
      <c r="K206" s="16"/>
      <c r="O206" s="15" t="str">
        <f>INDEX(X_Table_Feedlot_MMS_Stage1,2,1)</f>
        <v>Drylot (feed pad)</v>
      </c>
      <c r="P206" s="15" cm="1">
        <f t="array" aca="1" ref="P206" ca="1">MMS_Feedlot_N2ODirect_Equations.VEERG_4_1_1_3__1_TotalAnnualDirectNitrousOxideEmissions(P$106,$E195,$I$190)</f>
        <v>0.14162024448000005</v>
      </c>
      <c r="Q206" s="15" cm="1">
        <f t="array" aca="1" ref="Q206" ca="1">MMS_Feedlot_N2ODirect_Equations.VEERG_4_1_1_3__1_TotalAnnualDirectNitrousOxideEmissions(Q$106,$E195,$I$190)</f>
        <v>0.21505803264000004</v>
      </c>
      <c r="R206" s="15" cm="1">
        <f t="array" aca="1" ref="R206" ca="1">MMS_Feedlot_N2ODirect_Equations.VEERG_4_1_1_3__1_TotalAnnualDirectNitrousOxideEmissions(R$106,$E195,$I$190)</f>
        <v>0.31061787428571419</v>
      </c>
      <c r="S206" s="16" t="str">
        <f>$E$186</f>
        <v>t N2O</v>
      </c>
    </row>
    <row r="207" spans="4:19" ht="20.100000000000001" customHeight="1" x14ac:dyDescent="0.2">
      <c r="D207" s="15" t="str">
        <f>INDEX(X_Table_Feedlot_MMS_Stage2,3,1)</f>
        <v>Solid storage</v>
      </c>
      <c r="E207" s="15" cm="1">
        <f t="array" aca="1" ref="E207" ca="1">MMS_Feedlot_N2ODirect_Equations.VEERG_4_1_1_3__1_TotalAnnualDirectNitrousOxideEmissions(E$174,$E196,$I$190)</f>
        <v>9.8242488115200047E-3</v>
      </c>
      <c r="F207" s="15" cm="1">
        <f t="array" aca="1" ref="F207" ca="1">MMS_Feedlot_N2ODirect_Equations.VEERG_4_1_1_3__1_TotalAnnualDirectNitrousOxideEmissions(F$174,$E196,$I$190)</f>
        <v>1.4918655375360001E-2</v>
      </c>
      <c r="G207" s="15" cm="1">
        <f t="array" aca="1" ref="G207" ca="1">MMS_Feedlot_N2ODirect_Equations.VEERG_4_1_1_3__1_TotalAnnualDirectNitrousOxideEmissions(G$174,$E196,$I$190)</f>
        <v>2.1547676982857138E-2</v>
      </c>
      <c r="H207" s="16" t="str">
        <f>$E$186</f>
        <v>t N2O</v>
      </c>
      <c r="I207" s="16"/>
      <c r="J207" s="16"/>
      <c r="K207" s="16"/>
      <c r="O207" s="15" t="str">
        <f>INDEX(X_Table_Feedlot_MMS_Stage2,3,1)</f>
        <v>Solid storage</v>
      </c>
      <c r="P207" s="15" cm="1">
        <f t="array" aca="1" ref="P207" ca="1">MMS_Feedlot_N2ODirect_Equations.VEERG_4_1_1_3__1_TotalAnnualDirectNitrousOxideEmissions(P$174,$E196,$I$190)</f>
        <v>9.8242488115200047E-3</v>
      </c>
      <c r="Q207" s="15" cm="1">
        <f t="array" aca="1" ref="Q207" ca="1">MMS_Feedlot_N2ODirect_Equations.VEERG_4_1_1_3__1_TotalAnnualDirectNitrousOxideEmissions(Q$174,$E196,$I$190)</f>
        <v>1.4918655375360001E-2</v>
      </c>
      <c r="R207" s="15" cm="1">
        <f t="array" aca="1" ref="R207" ca="1">MMS_Feedlot_N2ODirect_Equations.VEERG_4_1_1_3__1_TotalAnnualDirectNitrousOxideEmissions(R$174,$E196,$I$190)</f>
        <v>2.1547676982857138E-2</v>
      </c>
      <c r="S207" s="16" t="str">
        <f>$E$186</f>
        <v>t N2O</v>
      </c>
    </row>
    <row r="208" spans="4:19" ht="20.100000000000001" customHeight="1" x14ac:dyDescent="0.2">
      <c r="D208" s="15" t="str">
        <f>INDEX(X_Table_Feedlot_MMS_Stage2,4,1)</f>
        <v>Composting (passive windrow)</v>
      </c>
      <c r="E208" s="15" cm="1">
        <f t="array" aca="1" ref="E208" ca="1">MMS_Feedlot_N2ODirect_Equations.VEERG_4_1_1_3__1_TotalAnnualDirectNitrousOxideEmissions(E$175,$E197,$I$190)</f>
        <v>1.9648497623040009E-2</v>
      </c>
      <c r="F208" s="15" cm="1">
        <f t="array" aca="1" ref="F208" ca="1">MMS_Feedlot_N2ODirect_Equations.VEERG_4_1_1_3__1_TotalAnnualDirectNitrousOxideEmissions(F$175,$E197,$I$190)</f>
        <v>2.9837310750720002E-2</v>
      </c>
      <c r="G208" s="15" cm="1">
        <f t="array" aca="1" ref="G208" ca="1">MMS_Feedlot_N2ODirect_Equations.VEERG_4_1_1_3__1_TotalAnnualDirectNitrousOxideEmissions(G$175,$E197,$I$190)</f>
        <v>4.3095353965714275E-2</v>
      </c>
      <c r="H208" s="16" t="str">
        <f>$E$186</f>
        <v>t N2O</v>
      </c>
      <c r="I208" s="16"/>
      <c r="J208" s="16"/>
      <c r="K208" s="16"/>
      <c r="O208" s="15" t="str">
        <f>INDEX(X_Table_Feedlot_MMS_Stage2,4,1)</f>
        <v>Composting (passive windrow)</v>
      </c>
      <c r="P208" s="15" cm="1">
        <f t="array" aca="1" ref="P208" ca="1">MMS_Feedlot_N2ODirect_Equations.VEERG_4_1_1_3__1_TotalAnnualDirectNitrousOxideEmissions(P$175,$E197,$I$190)</f>
        <v>1.9648497623040009E-2</v>
      </c>
      <c r="Q208" s="15" cm="1">
        <f t="array" aca="1" ref="Q208" ca="1">MMS_Feedlot_N2ODirect_Equations.VEERG_4_1_1_3__1_TotalAnnualDirectNitrousOxideEmissions(Q$175,$E197,$I$190)</f>
        <v>2.9837310750720002E-2</v>
      </c>
      <c r="R208" s="15" cm="1">
        <f t="array" aca="1" ref="R208" ca="1">MMS_Feedlot_N2ODirect_Equations.VEERG_4_1_1_3__1_TotalAnnualDirectNitrousOxideEmissions(R$175,$E197,$I$190)</f>
        <v>4.3095353965714275E-2</v>
      </c>
      <c r="S208" s="16" t="str">
        <f>$E$186</f>
        <v>t N2O</v>
      </c>
    </row>
    <row r="209" spans="1:19" ht="20.100000000000001" customHeight="1" x14ac:dyDescent="0.2">
      <c r="D209" s="15" t="str">
        <f>INDEX(X_Table_Feedlot_MMS_Stage2,5,1)</f>
        <v>Direct application</v>
      </c>
      <c r="E209" s="15" t="s">
        <v>124</v>
      </c>
      <c r="F209" s="15" t="s">
        <v>124</v>
      </c>
      <c r="G209" s="15" t="s">
        <v>124</v>
      </c>
      <c r="H209" s="16" t="str">
        <f>$E$186</f>
        <v>t N2O</v>
      </c>
      <c r="I209" s="16"/>
      <c r="J209" s="16"/>
      <c r="K209" s="16"/>
      <c r="O209" s="15" t="str">
        <f>INDEX(X_Table_Feedlot_MMS_Stage2,5,1)</f>
        <v>Direct application</v>
      </c>
      <c r="P209" s="15" t="s">
        <v>124</v>
      </c>
      <c r="Q209" s="15" t="s">
        <v>124</v>
      </c>
      <c r="R209" s="15" t="s">
        <v>124</v>
      </c>
      <c r="S209" s="16" t="str">
        <f>$E$186</f>
        <v>t N2O</v>
      </c>
    </row>
    <row r="210" spans="1:19" ht="20.100000000000001" customHeight="1" x14ac:dyDescent="0.2">
      <c r="D210" s="15" t="str">
        <f>INDEX(X_Table_Feedlot_MMS_Stage3,3,1)</f>
        <v>Anaerobic lagoon</v>
      </c>
      <c r="E210" s="15" cm="1">
        <f t="array" aca="1" ref="E210" ca="1">MMS_Feedlot_N2ODirect_Equations.VEERG_4_1_1_3__1_TotalAnnualDirectNitrousOxideEmissions(E$129,$E198,$I$190)</f>
        <v>0</v>
      </c>
      <c r="F210" s="15" cm="1">
        <f t="array" aca="1" ref="F210" ca="1">MMS_Feedlot_N2ODirect_Equations.VEERG_4_1_1_3__1_TotalAnnualDirectNitrousOxideEmissions(F$129,$E198,$I$190)</f>
        <v>0</v>
      </c>
      <c r="G210" s="15" cm="1">
        <f t="array" aca="1" ref="G210" ca="1">MMS_Feedlot_N2ODirect_Equations.VEERG_4_1_1_3__1_TotalAnnualDirectNitrousOxideEmissions(G$129,$E198,$I$190)</f>
        <v>0</v>
      </c>
      <c r="H210" s="16" t="str">
        <f>$E$186</f>
        <v>t N2O</v>
      </c>
      <c r="I210" s="16"/>
      <c r="J210" s="16"/>
      <c r="K210" s="16"/>
      <c r="O210" s="15" t="str">
        <f>INDEX(X_Table_Feedlot_MMS_Stage3,3,1)</f>
        <v>Anaerobic lagoon</v>
      </c>
      <c r="P210" s="15" cm="1">
        <f t="array" aca="1" ref="P210" ca="1">MMS_Feedlot_N2ODirect_Equations.VEERG_4_1_1_3__1_TotalAnnualDirectNitrousOxideEmissions(P$129,$E198,$I$190)</f>
        <v>0</v>
      </c>
      <c r="Q210" s="15" cm="1">
        <f t="array" aca="1" ref="Q210" ca="1">MMS_Feedlot_N2ODirect_Equations.VEERG_4_1_1_3__1_TotalAnnualDirectNitrousOxideEmissions(Q$129,$E198,$I$190)</f>
        <v>0</v>
      </c>
      <c r="R210" s="15" cm="1">
        <f t="array" aca="1" ref="R210" ca="1">MMS_Feedlot_N2ODirect_Equations.VEERG_4_1_1_3__1_TotalAnnualDirectNitrousOxideEmissions(R$129,$E198,$I$190)</f>
        <v>0</v>
      </c>
      <c r="S210" s="16" t="str">
        <f>$E$186</f>
        <v>t N2O</v>
      </c>
    </row>
    <row r="212" spans="1:19" ht="20.100000000000001" customHeight="1" x14ac:dyDescent="0.2">
      <c r="D212" s="85" t="s">
        <v>427</v>
      </c>
      <c r="E212" s="86">
        <f ca="1">SUM(E206:G210)</f>
        <v>0.80616789491492569</v>
      </c>
      <c r="F212" s="95" t="str">
        <f>$E$186</f>
        <v>t N2O</v>
      </c>
      <c r="O212" s="85" t="s">
        <v>427</v>
      </c>
      <c r="P212" s="86">
        <f ca="1">SUM(P206:R210)</f>
        <v>0.80616789491492569</v>
      </c>
      <c r="Q212" s="95" t="str">
        <f>$E$186</f>
        <v>t N2O</v>
      </c>
    </row>
    <row r="214" spans="1:19" ht="20.100000000000001" customHeight="1" x14ac:dyDescent="0.2">
      <c r="D214" s="124" t="str" cm="1">
        <f t="array" ref="D214:E215">Common_Equations.Common_ConvertN2OToCO2e_Arguments()</f>
        <v>EN2O</v>
      </c>
      <c r="E214" s="126" t="str">
        <v>Nitrous oxide emissions (t N2O)</v>
      </c>
      <c r="F214" s="127"/>
      <c r="G214" s="15">
        <f ca="1">VEERG_4_1_1_3__1_TotalAnnualDirectNitrousOxideEmissions_Result_Method1</f>
        <v>0.80616789491492569</v>
      </c>
      <c r="O214" s="124" t="str" cm="1">
        <f t="array" ref="O214:P215">Common_Equations.Common_ConvertN2OToCO2e_Arguments()</f>
        <v>EN2O</v>
      </c>
      <c r="P214" s="126" t="str">
        <v>Nitrous oxide emissions (t N2O)</v>
      </c>
      <c r="Q214" s="127"/>
      <c r="R214" s="15">
        <f ca="1">VEERG_4_1_1_3__1_TotalAnnualDirectNitrousOxideEmissions_Result_Method2</f>
        <v>0.80616789491492569</v>
      </c>
    </row>
    <row r="215" spans="1:19" ht="20.100000000000001" customHeight="1" x14ac:dyDescent="0.2">
      <c r="D215" s="124" t="str">
        <v>GWPN2O</v>
      </c>
      <c r="E215" s="126" t="str">
        <v>Global warming potential for nitrous oxide (t CO2-e / t N2O)</v>
      </c>
      <c r="F215" s="127"/>
      <c r="G215" s="15">
        <f>Common_InputFunctions.Utility_LookupValueInTableNumber("N2O",Table_GWPData[Gas],Table_GWPData[CO2-e factor])</f>
        <v>265</v>
      </c>
      <c r="O215" s="124" t="str">
        <v>GWPN2O</v>
      </c>
      <c r="P215" s="126" t="str">
        <v>Global warming potential for nitrous oxide (t CO2-e / t N2O)</v>
      </c>
      <c r="Q215" s="127"/>
      <c r="R215" s="15">
        <f>Common_InputFunctions.Utility_LookupValueInTableNumber("N2O",Table_GWPData[Gas],Table_GWPData[CO2-e factor])</f>
        <v>265</v>
      </c>
    </row>
    <row r="216" spans="1:19" ht="20.100000000000001" customHeight="1" x14ac:dyDescent="0.2">
      <c r="A216" s="79" t="str">
        <f>HYPERLINK("#A1", "▲ Back to top")</f>
        <v>▲ Back to top</v>
      </c>
    </row>
    <row r="217" spans="1:19" ht="20.100000000000001" customHeight="1" x14ac:dyDescent="0.2">
      <c r="D217" s="83" t="s">
        <v>428</v>
      </c>
      <c r="E217" s="83" cm="1">
        <f t="array" aca="1" ref="E217" ca="1">Common_Equations.Common_ConvertN2OToCO2e(G214,G215)</f>
        <v>213.63449215245529</v>
      </c>
      <c r="F217" s="89" t="str" cm="1">
        <f t="array" ref="F217">Common_Equations.Common_ConvertN2OToCO2e_Unit()</f>
        <v>t CO2e</v>
      </c>
      <c r="O217" s="83" t="s">
        <v>428</v>
      </c>
      <c r="P217" s="83" cm="1">
        <f t="array" aca="1" ref="P217" ca="1">Common_Equations.Common_ConvertN2OToCO2e(R214,R215)</f>
        <v>213.63449215245529</v>
      </c>
      <c r="Q217" s="89" t="str" cm="1">
        <f t="array" ref="Q217">Common_Equations.Common_ConvertN2OToCO2e_Unit()</f>
        <v>t CO2e</v>
      </c>
    </row>
  </sheetData>
  <dataValidations count="1">
    <dataValidation operator="equal" allowBlank="1" showInputMessage="1" showErrorMessage="1" sqref="P106:S106 D73:F73 D83:F83 O83:Q83 E106:K106 D78:F78 E101:K101 E124:G124" xr:uid="{E1D69377-6B66-4DCF-A6E9-BEFDE2AE20E9}"/>
  </dataValidation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A621A-EB47-4A2C-9013-4200E6EF60F2}">
  <sheetPr>
    <tabColor rgb="FF008000"/>
  </sheetPr>
  <dimension ref="A1:S70"/>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0" customFormat="1" ht="30" customHeight="1" x14ac:dyDescent="0.35">
      <c r="A1" s="10" t="e" vm="1">
        <v>#VALUE!</v>
      </c>
      <c r="C1" s="20" t="s">
        <v>429</v>
      </c>
    </row>
    <row r="2" spans="1:19" s="3" customFormat="1" ht="20.100000000000001" customHeight="1" x14ac:dyDescent="0.2">
      <c r="A2"/>
    </row>
    <row r="3" spans="1:19"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tr" cm="1">
        <f t="array" ref="D5">MMS_Feedlot_AtmosphericDeposition_Equations.VEERG_4_1_1_5__2_VolatilisedNitrogenFromManureManagement_Title()</f>
        <v>Volatilised nitrogen from manure management</v>
      </c>
    </row>
    <row r="6" spans="1:19" ht="20.100000000000001" customHeight="1" x14ac:dyDescent="0.2">
      <c r="D6" s="17" t="str" cm="1">
        <f t="array" ref="D6">MMS_Feedlot_AtmosphericDeposition_Equations.VEERG_4_1_1_5__2_VolatilisedNitrogenFromManureManagement_Source()</f>
        <v>VEERG 2026: 4.1.1.5, Equation (2)</v>
      </c>
    </row>
    <row r="7" spans="1:19" ht="20.100000000000001" customHeight="1" x14ac:dyDescent="0.2">
      <c r="D7" s="112" t="s">
        <v>321</v>
      </c>
      <c r="E7" s="112" t="str" cm="1">
        <f t="array" aca="1" ref="E7" ca="1">Common_InputFunctions.Utility_DisplayFunctionName(E40)</f>
        <v>=MMS_Feedlot_AtmosphericDeposition_Equations.VEERG_4_1_1_5__2_VolatilisedNitrogenFromManureManagement</v>
      </c>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row>
    <row r="11" spans="1:19" ht="20.100000000000001" customHeight="1" x14ac:dyDescent="0.2">
      <c r="A11" s="5" t="str">
        <f>HYPERLINK("#'Input - Feedlot'!A1", "Feedlot")</f>
        <v>Feedlot</v>
      </c>
      <c r="D11" s="75" t="s">
        <v>322</v>
      </c>
      <c r="E11" s="1" t="str" cm="1">
        <f t="array" ref="E11">MMS_Feedlot_AtmosphericDeposition_Equations.VEERG_4_1_1_5__2_VolatilisedNitrogenFromManureManagement_Variable()</f>
        <v>MMS_ATMOS</v>
      </c>
    </row>
    <row r="12" spans="1:19" ht="20.100000000000001" customHeight="1" x14ac:dyDescent="0.2">
      <c r="A12" s="5" t="str">
        <f>HYPERLINK("#'Input - Livestock sales'!A1", "Livestock sales")</f>
        <v>Livestock sales</v>
      </c>
      <c r="D12" s="75" t="s">
        <v>118</v>
      </c>
      <c r="E12" s="9" t="str" cm="1">
        <f t="array" ref="E12">MMS_Feedlot_AtmosphericDeposition_Equations.VEERG_4_1_1_5__2_VolatilisedNitrogenFromManureManagement_Unit()</f>
        <v>kg N</v>
      </c>
    </row>
    <row r="13" spans="1:19" ht="20.100000000000001" customHeight="1" x14ac:dyDescent="0.2">
      <c r="A13" s="5" t="str">
        <f>HYPERLINK("#'Input - Beef cattle purchases'!A1", "Beef cattle purchases")</f>
        <v>Beef cattle purchases</v>
      </c>
    </row>
    <row r="14" spans="1:19" ht="20.100000000000001" customHeight="1" x14ac:dyDescent="0.2">
      <c r="A14" s="5" t="str">
        <f>HYPERLINK("#'Input - Fuel'!A1", "Fuel")</f>
        <v>Fuel</v>
      </c>
      <c r="D14" s="113" t="str" cm="1">
        <f t="array" ref="D14:E15">_xlfn.CHOOSECOLS(MMS_Feedlot_AtmosphericDeposition_Equations.VEERG_4_1_1_5__2_VolatilisedNitrogenFromManureManagement_Arguments(),1,2)</f>
        <v>MN_jmT</v>
      </c>
      <c r="E14" s="113" t="str">
        <v>nitrogen in each treatment stage MMS (excluding MN_ijm13T2)</v>
      </c>
      <c r="F14" s="113"/>
      <c r="G14" s="113" t="str" cm="1">
        <f t="array" ref="G14:H15">_xlfn.CHOOSECOLS(MMS_Feedlot_AtmosphericDeposition_Equations.VEERG_4_1_1_5__2_VolatilisedNitrogenFromManureManagement_Arguments(),3,4)</f>
        <v>kg N</v>
      </c>
      <c r="H14" s="115" t="str">
        <v>Calculated from 4.1.1.3 (2)(6)(8)</v>
      </c>
      <c r="I14" s="116" t="str" cm="1">
        <f t="array" aca="1" ref="I14" ca="1">HYPERLINK(Common_InputFunctions.Utility_SourceHyperlink($D$20),$D$20)</f>
        <v>M1_Table_MN_j_m_T</v>
      </c>
    </row>
    <row r="15" spans="1:19" ht="20.100000000000001" customHeight="1" x14ac:dyDescent="0.2">
      <c r="A15" s="5" t="str">
        <f>HYPERLINK("#'Input - Electricity'!A1", "Electricity")</f>
        <v>Electricity</v>
      </c>
      <c r="D15" s="113" t="str">
        <v>FracGASM_mT</v>
      </c>
      <c r="E15" s="113" t="str">
        <v>fraction of N volatilised in each MMS</v>
      </c>
      <c r="F15" s="113"/>
      <c r="G15" s="113" t="str">
        <v>(kg NH3-N + NOx-N)/kg N</v>
      </c>
      <c r="H15" s="115" t="str">
        <v>Constant</v>
      </c>
      <c r="I15" s="116" t="str" cm="1">
        <f t="array" aca="1" ref="I15" ca="1">HYPERLINK(Common_InputFunctions.Utility_SourceHyperlink($D$29),$D$29)</f>
        <v>Table_FracGASM_m_T-2-3</v>
      </c>
    </row>
    <row r="16" spans="1:19" ht="20.100000000000001" customHeight="1" x14ac:dyDescent="0.2">
      <c r="A16" s="5" t="str">
        <f>HYPERLINK("#'Input - Common farm inputs'!A1", "Common farm inputs")</f>
        <v>Common farm inputs</v>
      </c>
    </row>
    <row r="17" spans="1:18" ht="20.100000000000001" customHeight="1" x14ac:dyDescent="0.2">
      <c r="A17" s="5" t="str">
        <f>HYPERLINK("#'Input - Livestock farm Inputs'!A1", "Livestock farm Inputs")</f>
        <v>Livestock farm Inputs</v>
      </c>
      <c r="D17" s="129" t="s">
        <v>430</v>
      </c>
      <c r="E17" s="43"/>
      <c r="F17" s="43"/>
      <c r="G17" s="44"/>
    </row>
    <row r="18" spans="1:18" ht="20.100000000000001" customHeight="1" x14ac:dyDescent="0.2">
      <c r="A18" s="5" t="str">
        <f>HYPERLINK("#'Input - Freight'!A1", "Freight")</f>
        <v>Freight</v>
      </c>
      <c r="D18" s="45" t="s">
        <v>422</v>
      </c>
      <c r="E18" s="46"/>
      <c r="F18" s="46"/>
      <c r="G18" s="47"/>
    </row>
    <row r="19" spans="1:18" ht="20.100000000000001" customHeight="1" x14ac:dyDescent="0.2">
      <c r="A19" s="5" t="str">
        <f>HYPERLINK("#'Input - Solid waste'!A1", "Solid waste")</f>
        <v>Solid waste</v>
      </c>
    </row>
    <row r="20" spans="1:18" ht="20.100000000000001" customHeight="1" x14ac:dyDescent="0.2">
      <c r="A20" s="5" t="str">
        <f>HYPERLINK("#'Input - Manure sent off-site'!A1", "Manure sent off-site")</f>
        <v>Manure sent off-site</v>
      </c>
      <c r="D20" s="118" t="s">
        <v>431</v>
      </c>
      <c r="M20" s="118" t="s">
        <v>432</v>
      </c>
    </row>
    <row r="21" spans="1:18" ht="20.100000000000001" customHeight="1" x14ac:dyDescent="0.2">
      <c r="A21" s="5" t="str">
        <f>HYPERLINK("#'Input - Data quality'!A1", "Data quality")</f>
        <v>Data quality</v>
      </c>
      <c r="D21" s="119" t="s">
        <v>433</v>
      </c>
      <c r="M21" s="119" t="s">
        <v>434</v>
      </c>
    </row>
    <row r="22" spans="1:18" ht="20.100000000000001" customHeight="1" x14ac:dyDescent="0.2">
      <c r="A22" s="5" t="str">
        <f>HYPERLINK("#'Input - Fert Prod System'!A1", "Fert Prod System")</f>
        <v>Fert Prod System</v>
      </c>
      <c r="D22" s="128" t="s">
        <v>368</v>
      </c>
      <c r="E22" s="120" t="s">
        <v>289</v>
      </c>
      <c r="F22" s="120" t="s">
        <v>290</v>
      </c>
      <c r="G22" s="120" t="s">
        <v>291</v>
      </c>
      <c r="M22" s="128" t="s">
        <v>368</v>
      </c>
      <c r="N22" s="120" t="s">
        <v>289</v>
      </c>
      <c r="O22" s="120" t="s">
        <v>290</v>
      </c>
      <c r="P22" s="120" t="s">
        <v>291</v>
      </c>
    </row>
    <row r="23" spans="1:18" ht="20.100000000000001" customHeight="1" x14ac:dyDescent="0.2">
      <c r="A23" s="5" t="str">
        <f>HYPERLINK("#'Input - Fertiliser'!A1", "Fertiliser")</f>
        <v>Fertiliser</v>
      </c>
      <c r="D23" s="15" t="str">
        <f>INDEX(X_Table_Feedlot_MMS_Stage1,2,1)</f>
        <v>Drylot (feed pad)</v>
      </c>
      <c r="E23" s="15">
        <f ca="1">INDEX(M1_Table_MN_j_m5_T1,2,2)</f>
        <v>16689.254400000005</v>
      </c>
      <c r="F23" s="15">
        <f ca="1">INDEX(M1_Table_MN_j_m5_T1,2,3)</f>
        <v>25343.539200000003</v>
      </c>
      <c r="G23" s="15">
        <f ca="1">INDEX(M1_Table_MN_j_m5_T1,2,4)</f>
        <v>36604.799999999988</v>
      </c>
      <c r="H23" s="16" t="str">
        <f>$G$14</f>
        <v>kg N</v>
      </c>
      <c r="I23" s="16"/>
      <c r="M23" s="15" t="str">
        <f>INDEX(X_Table_Feedlot_MMS_Stage1,2,1)</f>
        <v>Drylot (feed pad)</v>
      </c>
      <c r="N23" s="15">
        <f ca="1">INDEX(M2_Table_MN_j_m5_T1,2,2)</f>
        <v>16689.254400000005</v>
      </c>
      <c r="O23" s="15">
        <f ca="1">INDEX(M2_Table_MN_j_m5_T1,2,3)</f>
        <v>25343.539200000003</v>
      </c>
      <c r="P23" s="15">
        <f ca="1">INDEX(M2_Table_MN_j_m5_T1,2,4)</f>
        <v>36604.799999999988</v>
      </c>
      <c r="Q23" s="16" t="str">
        <f>$G$14</f>
        <v>kg N</v>
      </c>
      <c r="R23" s="16"/>
    </row>
    <row r="24" spans="1:18" ht="20.100000000000001" customHeight="1" x14ac:dyDescent="0.2">
      <c r="D24" s="15" t="str">
        <f>INDEX(X_Table_Feedlot_MMS_Stage2,3,1)</f>
        <v>Solid storage</v>
      </c>
      <c r="E24" s="15">
        <f ca="1">INDEX(M1_Table_MN_j_m_T2_Consumer_1,2,2)</f>
        <v>1250.3589396480006</v>
      </c>
      <c r="F24" s="15">
        <f ca="1">INDEX(M1_Table_MN_j_m_T2_Consumer_1,2,3)</f>
        <v>1898.7379568640001</v>
      </c>
      <c r="G24" s="15">
        <f ca="1">INDEX(M1_Table_MN_j_m_T2_Consumer_1,2,4)</f>
        <v>2742.4316159999994</v>
      </c>
      <c r="H24" s="16"/>
      <c r="I24" s="16"/>
      <c r="M24" s="15" t="str">
        <f>INDEX(X_Table_Feedlot_MMS_Stage2,3,1)</f>
        <v>Solid storage</v>
      </c>
      <c r="N24" s="15">
        <f ca="1">INDEX(M1_Table_MN_j_m_T2,2,2)</f>
        <v>1250.3589396480006</v>
      </c>
      <c r="O24" s="15">
        <f ca="1">INDEX(M1_Table_MN_j_m_T2,2,3)</f>
        <v>1898.7379568640001</v>
      </c>
      <c r="P24" s="15">
        <f ca="1">INDEX(M1_Table_MN_j_m_T2,2,4)</f>
        <v>2742.4316159999994</v>
      </c>
      <c r="Q24" s="16"/>
      <c r="R24" s="16"/>
    </row>
    <row r="25" spans="1:18" ht="20.100000000000001" customHeight="1" x14ac:dyDescent="0.2">
      <c r="D25" s="15" t="str">
        <f>INDEX(X_Table_Feedlot_MMS_Stage2,4,1)</f>
        <v>Composting (passive windrow)</v>
      </c>
      <c r="E25" s="15">
        <f ca="1">INDEX(M1_Table_MN_j_m_T2_Consumer_1,3,2)</f>
        <v>1250.3589396480006</v>
      </c>
      <c r="F25" s="15">
        <f ca="1">INDEX(M1_Table_MN_j_m_T2_Consumer_1,3,3)</f>
        <v>1898.7379568640001</v>
      </c>
      <c r="G25" s="15">
        <f ca="1">INDEX(M1_Table_MN_j_m_T2_Consumer_1,3,4)</f>
        <v>2742.4316159999994</v>
      </c>
      <c r="H25" s="16"/>
      <c r="I25" s="16"/>
      <c r="M25" s="15" t="str">
        <f>INDEX(X_Table_Feedlot_MMS_Stage2,4,1)</f>
        <v>Composting (passive windrow)</v>
      </c>
      <c r="N25" s="15">
        <f ca="1">INDEX(M1_Table_MN_j_m_T2,3,2)</f>
        <v>1250.3589396480006</v>
      </c>
      <c r="O25" s="15">
        <f ca="1">INDEX(M1_Table_MN_j_m_T2,3,3)</f>
        <v>1898.7379568640001</v>
      </c>
      <c r="P25" s="15">
        <f ca="1">INDEX(M1_Table_MN_j_m_T2,3,4)</f>
        <v>2742.4316159999994</v>
      </c>
      <c r="Q25" s="16"/>
      <c r="R25" s="16"/>
    </row>
    <row r="26" spans="1:18" ht="20.100000000000001" customHeight="1" x14ac:dyDescent="0.2">
      <c r="A26" s="6" t="s">
        <v>2</v>
      </c>
      <c r="D26" s="15" t="str">
        <f>INDEX(X_Table_Feedlot_MMS_Stage2,5,1)</f>
        <v>Direct application</v>
      </c>
      <c r="E26" s="15" t="s">
        <v>124</v>
      </c>
      <c r="F26" s="15" t="s">
        <v>124</v>
      </c>
      <c r="G26" s="15" t="s">
        <v>124</v>
      </c>
      <c r="H26" s="16"/>
      <c r="I26" s="16"/>
      <c r="M26" s="15" t="str">
        <f>INDEX(X_Table_Feedlot_MMS_Stage2,5,1)</f>
        <v>Direct application</v>
      </c>
      <c r="N26" s="15" t="s">
        <v>124</v>
      </c>
      <c r="O26" s="15" t="s">
        <v>124</v>
      </c>
      <c r="P26" s="15" t="s">
        <v>124</v>
      </c>
      <c r="Q26" s="16"/>
      <c r="R26" s="16"/>
    </row>
    <row r="27" spans="1:18" ht="20.100000000000001" customHeight="1" x14ac:dyDescent="0.2">
      <c r="A27" s="5" t="str">
        <f>HYPERLINK("#'3.1.1.1-2 Enteric Methane'!A1", "3.1.1.1-2 Enteric Methane")</f>
        <v>3.1.1.1-2 Enteric Methane</v>
      </c>
      <c r="D27" s="15" t="str">
        <f>INDEX(X_Table_Feedlot_MMS_Stage3,3,1)</f>
        <v>Anaerobic lagoon</v>
      </c>
      <c r="E27" s="15">
        <f ca="1">INDEX(M1_Table_MN_j_m1_T3,2,2)</f>
        <v>333.78508800000009</v>
      </c>
      <c r="F27" s="15">
        <f ca="1">INDEX(M1_Table_MN_j_m1_T3,2,3)</f>
        <v>506.87078400000007</v>
      </c>
      <c r="G27" s="15">
        <f ca="1">INDEX(M1_Table_MN_j_m1_T3,2,4)</f>
        <v>732.09599999999978</v>
      </c>
      <c r="H27" s="16"/>
      <c r="I27" s="16"/>
      <c r="M27" s="15" t="str">
        <f>INDEX(X_Table_Feedlot_MMS_Stage3,3,1)</f>
        <v>Anaerobic lagoon</v>
      </c>
      <c r="N27" s="15">
        <f ca="1">INDEX(M2_Table_MN_j_m1_T3,2,2)</f>
        <v>333.78508800000009</v>
      </c>
      <c r="O27" s="15">
        <f ca="1">INDEX(M2_Table_MN_j_m1_T3,2,3)</f>
        <v>506.87078400000007</v>
      </c>
      <c r="P27" s="15">
        <f ca="1">INDEX(M2_Table_MN_j_m1_T3,2,4)</f>
        <v>732.09599999999978</v>
      </c>
      <c r="Q27" s="16"/>
      <c r="R27" s="16"/>
    </row>
    <row r="28" spans="1:18" ht="20.100000000000001" customHeight="1" x14ac:dyDescent="0.2">
      <c r="A28" s="5" t="str">
        <f>HYPERLINK("#'4.1.1.1-2 Methane'!A1", "4.1.1.1-2 Manure Methane")</f>
        <v>4.1.1.1-2 Manure Methane</v>
      </c>
    </row>
    <row r="29" spans="1:18" ht="20.100000000000001" customHeight="1" x14ac:dyDescent="0.2">
      <c r="A29" s="5" t="str">
        <f>HYPERLINK("#'4.1.1.3-4 Direct N20'!A1", "4.1.1.3-4 Manure Direct N2O")</f>
        <v>4.1.1.3-4 Manure Direct N2O</v>
      </c>
      <c r="D29" s="118" t="s">
        <v>435</v>
      </c>
    </row>
    <row r="30" spans="1:18" ht="20.100000000000001" customHeight="1" x14ac:dyDescent="0.2">
      <c r="A30" s="117" t="str">
        <f>HYPERLINK("#'4.1.1.5-6 Atmos Deposition'!A1", "4.1.1.5-6 Manure Atmos Dep")</f>
        <v>4.1.1.5-6 Manure Atmos Dep</v>
      </c>
      <c r="D30" s="119" t="s">
        <v>436</v>
      </c>
    </row>
    <row r="31" spans="1:18" ht="20.100000000000001" customHeight="1" x14ac:dyDescent="0.2">
      <c r="A31" s="5" t="str">
        <f>HYPERLINK("#'4.1.1.9 Manure applied to soils'!A1", "4.1.1.9 Manure applied to soils")</f>
        <v>4.1.1.9 Manure applied to soils</v>
      </c>
      <c r="D31" s="128" t="s">
        <v>368</v>
      </c>
      <c r="E31" s="128" t="s">
        <v>420</v>
      </c>
    </row>
    <row r="32" spans="1:18" ht="20.100000000000001" customHeight="1" x14ac:dyDescent="0.2">
      <c r="A32" s="5" t="str">
        <f>HYPERLINK("#'8.1.1.1-2 Transport fuel'!A1", "8.1.1.1-2 Transport fuel")</f>
        <v>8.1.1.1-2 Transport fuel</v>
      </c>
      <c r="D32" s="15" t="str">
        <f>INDEX(X_Table_Feedlot_MMS_Stage1,2,1)</f>
        <v>Drylot (feed pad)</v>
      </c>
      <c r="E32" s="15">
        <f>_xlfn.XLOOKUP(D32, Table_SourceData_Feedlot_FracGASMmT[NIR definition], Table_SourceData_Feedlot_FracGASMmT[FracGASMmT])</f>
        <v>0.6</v>
      </c>
      <c r="F32" s="16" t="str">
        <f>G15</f>
        <v>(kg NH3-N + NOx-N)/kg N</v>
      </c>
    </row>
    <row r="33" spans="1:19" ht="20.100000000000001" customHeight="1" x14ac:dyDescent="0.2">
      <c r="A33" s="5" t="str">
        <f>HYPERLINK("#'8.2.1.1-2 Stationary fuel'!A1", "8.2.1.1-2 Stationary fuel")</f>
        <v>8.2.1.1-2 Stationary fuel</v>
      </c>
      <c r="D33" s="15" t="str">
        <f>INDEX(X_Table_Feedlot_MMS_Stage2,3,1)</f>
        <v>Solid storage</v>
      </c>
      <c r="E33" s="15">
        <f>_xlfn.XLOOKUP(D33, Table_SourceData_Feedlot_FracGASMmT[NIR definition], Table_SourceData_Feedlot_FracGASMmT[FracGASMmT])</f>
        <v>0.25</v>
      </c>
      <c r="F33" s="16"/>
    </row>
    <row r="34" spans="1:19" ht="20.100000000000001" customHeight="1" x14ac:dyDescent="0.2">
      <c r="A34" s="5" t="str">
        <f>HYPERLINK("#'10.1.1-2 Solid waste treatment'!A1", "10.1.1.1-2 Solid waste")</f>
        <v>10.1.1.1-2 Solid waste</v>
      </c>
      <c r="D34" s="15" t="str">
        <f>INDEX(X_Table_Feedlot_MMS_Stage2,4,1)</f>
        <v>Composting (passive windrow)</v>
      </c>
      <c r="E34" s="15">
        <f>_xlfn.XLOOKUP(D34, Table_SourceData_Feedlot_FracGASMmT[NIR definition], Table_SourceData_Feedlot_FracGASMmT[FracGASMmT])</f>
        <v>0.4</v>
      </c>
      <c r="F34" s="16"/>
    </row>
    <row r="35" spans="1:19" ht="20.100000000000001" customHeight="1" x14ac:dyDescent="0.2">
      <c r="A35" s="5" t="str">
        <f>HYPERLINK("#'14.1.1-2 Purchased electricity'!A1", "14.1.1-2 Purchased electricity")</f>
        <v>14.1.1-2 Purchased electricity</v>
      </c>
      <c r="D35" s="15" t="str">
        <f>INDEX(X_Table_Feedlot_MMS_Stage3,3,1)</f>
        <v>Anaerobic lagoon</v>
      </c>
      <c r="E35" s="15">
        <f>_xlfn.XLOOKUP(D35, Table_SourceData_Feedlot_FracGASMmT[NIR definition], Table_SourceData_Feedlot_FracGASMmT[FracGASMmT])</f>
        <v>0.35</v>
      </c>
      <c r="F35" s="16"/>
    </row>
    <row r="36" spans="1:19" ht="20.100000000000001" customHeight="1" x14ac:dyDescent="0.2">
      <c r="A36" s="5" t="str">
        <f>HYPERLINK("#'15 Scope 3'!A1", "15 Scope 3")</f>
        <v>15 Scope 3</v>
      </c>
    </row>
    <row r="37" spans="1:19" ht="20.100000000000001" customHeight="1" x14ac:dyDescent="0.2">
      <c r="A37" s="5" t="str">
        <f>HYPERLINK("#'Calcs - Manure sent off-site'!A1", "Calcs - Manure sent off-site")</f>
        <v>Calcs - Manure sent off-site</v>
      </c>
      <c r="D37" s="118" t="s">
        <v>437</v>
      </c>
      <c r="M37" s="118" t="s">
        <v>438</v>
      </c>
    </row>
    <row r="38" spans="1:19" ht="20.100000000000001" customHeight="1" x14ac:dyDescent="0.2">
      <c r="A38" s="5" t="str">
        <f>HYPERLINK("#'5.1.1.1-2 Inorganic fert N2O'!A1", "5.1.1.1-2 Inorganic fert N2O")</f>
        <v>5.1.1.1-2 Inorganic fert N2O</v>
      </c>
      <c r="D38" s="119" t="s">
        <v>433</v>
      </c>
      <c r="M38" s="119" t="s">
        <v>434</v>
      </c>
    </row>
    <row r="39" spans="1:19" ht="20.100000000000001" customHeight="1" x14ac:dyDescent="0.2">
      <c r="A39" s="5" t="str">
        <f>HYPERLINK("#'5.1.1.3-4 Inorganic fert CO2'!A1", "5.1.1.3-4 Inorganic fert CO2")</f>
        <v>5.1.1.3-4 Inorganic fert CO2</v>
      </c>
      <c r="D39" s="128" t="s">
        <v>368</v>
      </c>
      <c r="E39" s="120" t="s">
        <v>289</v>
      </c>
      <c r="F39" s="120" t="s">
        <v>290</v>
      </c>
      <c r="G39" s="120" t="s">
        <v>291</v>
      </c>
      <c r="M39" s="128" t="s">
        <v>368</v>
      </c>
      <c r="N39" s="120" t="s">
        <v>289</v>
      </c>
      <c r="O39" s="120" t="s">
        <v>290</v>
      </c>
      <c r="P39" s="120" t="s">
        <v>291</v>
      </c>
    </row>
    <row r="40" spans="1:19" ht="20.100000000000001" customHeight="1" x14ac:dyDescent="0.2">
      <c r="A40" s="5" t="str">
        <f>HYPERLINK("#'5.2.1.1-2 Organic Fert N2O'!A1", "5.2.1.1-2 Organic Fert N2O")</f>
        <v>5.2.1.1-2 Organic Fert N2O</v>
      </c>
      <c r="D40" s="15" t="str">
        <f>INDEX(X_Table_Feedlot_MMS_Stage1,2,1)</f>
        <v>Drylot (feed pad)</v>
      </c>
      <c r="E40" s="15" cm="1">
        <f t="array" aca="1" ref="E40" ca="1">MMS_Feedlot_AtmosphericDeposition_Equations.VEERG_4_1_1_5__2_VolatilisedNitrogenFromManureManagement(E23,$E32)</f>
        <v>10013.552640000004</v>
      </c>
      <c r="F40" s="15" cm="1">
        <f t="array" aca="1" ref="F40" ca="1">MMS_Feedlot_AtmosphericDeposition_Equations.VEERG_4_1_1_5__2_VolatilisedNitrogenFromManureManagement(F23,$E32)</f>
        <v>15206.123520000001</v>
      </c>
      <c r="G40" s="15" cm="1">
        <f t="array" aca="1" ref="G40" ca="1">MMS_Feedlot_AtmosphericDeposition_Equations.VEERG_4_1_1_5__2_VolatilisedNitrogenFromManureManagement(G23,$E32)</f>
        <v>21962.879999999994</v>
      </c>
      <c r="H40" s="16" t="str">
        <f>$E$12</f>
        <v>kg N</v>
      </c>
      <c r="I40" s="16"/>
      <c r="M40" s="15" t="str">
        <f>INDEX(X_Table_Feedlot_MMS_Stage1,2,1)</f>
        <v>Drylot (feed pad)</v>
      </c>
      <c r="N40" s="15" cm="1">
        <f t="array" aca="1" ref="N40" ca="1">MMS_Feedlot_AtmosphericDeposition_Equations.VEERG_4_1_1_5__2_VolatilisedNitrogenFromManureManagement(N23,$E32)</f>
        <v>10013.552640000004</v>
      </c>
      <c r="O40" s="15" cm="1">
        <f t="array" aca="1" ref="O40" ca="1">MMS_Feedlot_AtmosphericDeposition_Equations.VEERG_4_1_1_5__2_VolatilisedNitrogenFromManureManagement(O23,$E32)</f>
        <v>15206.123520000001</v>
      </c>
      <c r="P40" s="15" cm="1">
        <f t="array" aca="1" ref="P40" ca="1">MMS_Feedlot_AtmosphericDeposition_Equations.VEERG_4_1_1_5__2_VolatilisedNitrogenFromManureManagement(P23,$E32)</f>
        <v>21962.879999999994</v>
      </c>
      <c r="Q40" s="16" t="str">
        <f>$E$12</f>
        <v>kg N</v>
      </c>
      <c r="R40" s="16"/>
    </row>
    <row r="41" spans="1:19" ht="20.100000000000001" customHeight="1" x14ac:dyDescent="0.2">
      <c r="A41" s="5" t="str">
        <f>HYPERLINK("#'5.3.1.1-2 Lime CO2'!A1", "5.3.1.1-2 Lime CO2")</f>
        <v>5.3.1.1-2 Lime CO2</v>
      </c>
      <c r="D41" s="15" t="str">
        <f>INDEX(X_Table_Feedlot_MMS_Stage2,3,1)</f>
        <v>Solid storage</v>
      </c>
      <c r="E41" s="15" cm="1">
        <f t="array" aca="1" ref="E41" ca="1">MMS_Feedlot_AtmosphericDeposition_Equations.VEERG_4_1_1_5__2_VolatilisedNitrogenFromManureManagement(E24,$E33)</f>
        <v>312.58973491200015</v>
      </c>
      <c r="F41" s="15" cm="1">
        <f t="array" aca="1" ref="F41" ca="1">MMS_Feedlot_AtmosphericDeposition_Equations.VEERG_4_1_1_5__2_VolatilisedNitrogenFromManureManagement(F24,$E33)</f>
        <v>474.68448921600003</v>
      </c>
      <c r="G41" s="15" cm="1">
        <f t="array" aca="1" ref="G41" ca="1">MMS_Feedlot_AtmosphericDeposition_Equations.VEERG_4_1_1_5__2_VolatilisedNitrogenFromManureManagement(G24,$E33)</f>
        <v>685.60790399999985</v>
      </c>
      <c r="H41" s="16"/>
      <c r="I41" s="16"/>
      <c r="M41" s="15" t="str">
        <f>INDEX(X_Table_Feedlot_MMS_Stage2,3,1)</f>
        <v>Solid storage</v>
      </c>
      <c r="N41" s="15" cm="1">
        <f t="array" aca="1" ref="N41" ca="1">MMS_Feedlot_AtmosphericDeposition_Equations.VEERG_4_1_1_5__2_VolatilisedNitrogenFromManureManagement(N24,$E33)</f>
        <v>312.58973491200015</v>
      </c>
      <c r="O41" s="15" cm="1">
        <f t="array" aca="1" ref="O41" ca="1">MMS_Feedlot_AtmosphericDeposition_Equations.VEERG_4_1_1_5__2_VolatilisedNitrogenFromManureManagement(O24,$E33)</f>
        <v>474.68448921600003</v>
      </c>
      <c r="P41" s="15" cm="1">
        <f t="array" aca="1" ref="P41" ca="1">MMS_Feedlot_AtmosphericDeposition_Equations.VEERG_4_1_1_5__2_VolatilisedNitrogenFromManureManagement(P24,$E33)</f>
        <v>685.60790399999985</v>
      </c>
    </row>
    <row r="42" spans="1:19" ht="20.100000000000001" customHeight="1" x14ac:dyDescent="0.2">
      <c r="A42" s="5" t="str">
        <f>HYPERLINK("#'5.4.1.1-4 Atmos deposition'!A1", "5.4.1.1-4 Atmos deposition")</f>
        <v>5.4.1.1-4 Atmos deposition</v>
      </c>
      <c r="D42" s="15" t="str">
        <f>INDEX(X_Table_Feedlot_MMS_Stage2,4,1)</f>
        <v>Composting (passive windrow)</v>
      </c>
      <c r="E42" s="15" cm="1">
        <f t="array" aca="1" ref="E42" ca="1">MMS_Feedlot_AtmosphericDeposition_Equations.VEERG_4_1_1_5__2_VolatilisedNitrogenFromManureManagement(E25,$E34)</f>
        <v>500.14357585920027</v>
      </c>
      <c r="F42" s="15" cm="1">
        <f t="array" aca="1" ref="F42" ca="1">MMS_Feedlot_AtmosphericDeposition_Equations.VEERG_4_1_1_5__2_VolatilisedNitrogenFromManureManagement(F25,$E34)</f>
        <v>759.49518274560012</v>
      </c>
      <c r="G42" s="15" cm="1">
        <f t="array" aca="1" ref="G42" ca="1">MMS_Feedlot_AtmosphericDeposition_Equations.VEERG_4_1_1_5__2_VolatilisedNitrogenFromManureManagement(G25,$E34)</f>
        <v>1096.9726463999998</v>
      </c>
      <c r="H42" s="16"/>
      <c r="I42" s="16"/>
      <c r="M42" s="15" t="str">
        <f>INDEX(X_Table_Feedlot_MMS_Stage2,4,1)</f>
        <v>Composting (passive windrow)</v>
      </c>
      <c r="N42" s="15" cm="1">
        <f t="array" aca="1" ref="N42" ca="1">MMS_Feedlot_AtmosphericDeposition_Equations.VEERG_4_1_1_5__2_VolatilisedNitrogenFromManureManagement(N25,$E34)</f>
        <v>500.14357585920027</v>
      </c>
      <c r="O42" s="15" cm="1">
        <f t="array" aca="1" ref="O42" ca="1">MMS_Feedlot_AtmosphericDeposition_Equations.VEERG_4_1_1_5__2_VolatilisedNitrogenFromManureManagement(O25,$E34)</f>
        <v>759.49518274560012</v>
      </c>
      <c r="P42" s="15" cm="1">
        <f t="array" aca="1" ref="P42" ca="1">MMS_Feedlot_AtmosphericDeposition_Equations.VEERG_4_1_1_5__2_VolatilisedNitrogenFromManureManagement(P25,$E34)</f>
        <v>1096.9726463999998</v>
      </c>
    </row>
    <row r="43" spans="1:19" ht="20.100000000000001" customHeight="1" x14ac:dyDescent="0.2">
      <c r="A43" s="5" t="str">
        <f>HYPERLINK("#'5.5.1.1-2 Leaching and runoff'!A1", "5.5.1.1-2 Leaching and runoff")</f>
        <v>5.5.1.1-2 Leaching and runoff</v>
      </c>
      <c r="D43" s="15" t="str">
        <f>INDEX(X_Table_Feedlot_MMS_Stage2,5,1)</f>
        <v>Direct application</v>
      </c>
      <c r="E43" s="15" t="s">
        <v>124</v>
      </c>
      <c r="F43" s="15" t="s">
        <v>124</v>
      </c>
      <c r="G43" s="15" t="s">
        <v>124</v>
      </c>
      <c r="H43" s="16"/>
      <c r="I43" s="16"/>
      <c r="M43" s="15" t="str">
        <f>INDEX(X_Table_Feedlot_MMS_Stage2,5,1)</f>
        <v>Direct application</v>
      </c>
      <c r="N43" s="15" t="s">
        <v>124</v>
      </c>
      <c r="O43" s="15" t="s">
        <v>124</v>
      </c>
      <c r="P43" s="15" t="s">
        <v>124</v>
      </c>
    </row>
    <row r="44" spans="1:19" ht="20.100000000000001" customHeight="1" x14ac:dyDescent="0.2">
      <c r="D44" s="15" t="str">
        <f>INDEX(X_Table_Feedlot_MMS_Stage3,3,1)</f>
        <v>Anaerobic lagoon</v>
      </c>
      <c r="E44" s="15" cm="1">
        <f t="array" aca="1" ref="E44" ca="1">MMS_Feedlot_AtmosphericDeposition_Equations.VEERG_4_1_1_5__2_VolatilisedNitrogenFromManureManagement(E27,$E35)</f>
        <v>116.82478080000003</v>
      </c>
      <c r="F44" s="15" cm="1">
        <f t="array" aca="1" ref="F44" ca="1">MMS_Feedlot_AtmosphericDeposition_Equations.VEERG_4_1_1_5__2_VolatilisedNitrogenFromManureManagement(F27,$E35)</f>
        <v>177.40477440000001</v>
      </c>
      <c r="G44" s="15" cm="1">
        <f t="array" aca="1" ref="G44" ca="1">MMS_Feedlot_AtmosphericDeposition_Equations.VEERG_4_1_1_5__2_VolatilisedNitrogenFromManureManagement(G27,$E35)</f>
        <v>256.23359999999991</v>
      </c>
      <c r="H44" s="16"/>
      <c r="I44" s="16"/>
      <c r="M44" s="15" t="str">
        <f>INDEX(X_Table_Feedlot_MMS_Stage3,3,1)</f>
        <v>Anaerobic lagoon</v>
      </c>
      <c r="N44" s="15" cm="1">
        <f t="array" aca="1" ref="N44" ca="1">MMS_Feedlot_AtmosphericDeposition_Equations.VEERG_4_1_1_5__2_VolatilisedNitrogenFromManureManagement(N27,$E35)</f>
        <v>116.82478080000003</v>
      </c>
      <c r="O44" s="15" cm="1">
        <f t="array" aca="1" ref="O44" ca="1">MMS_Feedlot_AtmosphericDeposition_Equations.VEERG_4_1_1_5__2_VolatilisedNitrogenFromManureManagement(O27,$E35)</f>
        <v>177.40477440000001</v>
      </c>
      <c r="P44" s="15" cm="1">
        <f t="array" aca="1" ref="P44" ca="1">MMS_Feedlot_AtmosphericDeposition_Equations.VEERG_4_1_1_5__2_VolatilisedNitrogenFromManureManagement(P27,$E35)</f>
        <v>256.23359999999991</v>
      </c>
    </row>
    <row r="46" spans="1:19" ht="20.100000000000001" customHeight="1" x14ac:dyDescent="0.2">
      <c r="A46" s="80" t="s">
        <v>1</v>
      </c>
      <c r="D46" s="88" t="s">
        <v>439</v>
      </c>
      <c r="E46" s="83">
        <f ca="1">SUM(E40:G44)</f>
        <v>51562.512848332786</v>
      </c>
      <c r="F46" s="130" t="str">
        <f>$E$12</f>
        <v>kg N</v>
      </c>
      <c r="M46" s="88" t="s">
        <v>439</v>
      </c>
      <c r="N46" s="83">
        <f ca="1">SUM(N40:P44)</f>
        <v>51562.512848332786</v>
      </c>
      <c r="O46" s="130" t="str">
        <f>$E$12</f>
        <v>kg N</v>
      </c>
    </row>
    <row r="47" spans="1:19" ht="20.100000000000001" customHeight="1" x14ac:dyDescent="0.2">
      <c r="A47" s="5" t="str">
        <f>HYPERLINK("#'Constants - Feedlot'!A1", "Constants - Feedlot")</f>
        <v>Constants - Feedlot</v>
      </c>
    </row>
    <row r="48" spans="1:19" ht="20.100000000000001" customHeight="1" x14ac:dyDescent="0.2">
      <c r="A48" s="5" t="str">
        <f>HYPERLINK("#'Constants - Common livestock'!A1", "Constants - Common Livestock")</f>
        <v>Constants - Common Livestock</v>
      </c>
      <c r="C48" s="131"/>
      <c r="D48" s="131"/>
      <c r="E48" s="131"/>
      <c r="F48" s="131"/>
      <c r="G48" s="131"/>
      <c r="H48" s="131"/>
      <c r="I48" s="131"/>
      <c r="J48" s="131"/>
      <c r="L48" s="131"/>
      <c r="M48" s="131"/>
      <c r="N48" s="131"/>
      <c r="O48" s="131"/>
      <c r="P48" s="131"/>
      <c r="Q48" s="131"/>
      <c r="R48" s="131"/>
      <c r="S48" s="131"/>
    </row>
    <row r="49" spans="1:18" ht="20.100000000000001" customHeight="1" x14ac:dyDescent="0.2">
      <c r="A49" s="5" t="str">
        <f>HYPERLINK("#'Constants - Electricity'!A1", "Constants - Electricity")</f>
        <v>Constants - Electricity</v>
      </c>
    </row>
    <row r="50" spans="1:18" ht="20.100000000000001" customHeight="1" x14ac:dyDescent="0.2">
      <c r="A50" s="5" t="str">
        <f>HYPERLINK("#'Constants - Fertiliser'!A1", "Constants - Fertiliser")</f>
        <v>Constants - Fertiliser</v>
      </c>
      <c r="D50" s="2" t="str" cm="1">
        <f t="array" ref="D50">MMS_Feedlot_AtmosphericDeposition_Equations.VEERG_4_1_1_5__1_TotalAnnualAtmosphericDepositionEmissions_Title()</f>
        <v>Total annual atmospheric deposition emissions from manure management</v>
      </c>
    </row>
    <row r="51" spans="1:18" ht="20.100000000000001" customHeight="1" x14ac:dyDescent="0.2">
      <c r="A51" s="5" t="str">
        <f>HYPERLINK("#'Constants - Fuel'!A1", "Constants - Fuel")</f>
        <v>Constants - Fuel</v>
      </c>
      <c r="D51" s="17" t="str" cm="1">
        <f t="array" ref="D51">MMS_Feedlot_AtmosphericDeposition_Equations.VEERG_4_1_1_5__1_TotalAnnualAtmosphericDepositionEmissions_Source()</f>
        <v>VEERG 2026: 4.1.1.5, Equation (1)</v>
      </c>
    </row>
    <row r="52" spans="1:18" ht="20.100000000000001" customHeight="1" x14ac:dyDescent="0.2">
      <c r="A52" s="5" t="str">
        <f>HYPERLINK("#'Constants - Scope 3'!A1", "Constants - Scope 3")</f>
        <v>Constants - Scope 3</v>
      </c>
      <c r="D52" s="112" t="s">
        <v>321</v>
      </c>
      <c r="E52" s="112" t="str">
        <f ca="1">Common_InputFunctions.Utility_DisplayFunctionName(VEERG_4_1_1_5__1_TotalAnnualAtmosphericDepositionEmissions_Result_Method1)</f>
        <v>=MMS_Feedlot_AtmosphericDeposition_Equations.VEERG_4_1_1_5__1_TotalAnnualAtmosphericDepositionEmissions</v>
      </c>
    </row>
    <row r="53" spans="1:18" ht="20.100000000000001" customHeight="1" x14ac:dyDescent="0.2">
      <c r="A53" s="5" t="str">
        <f>HYPERLINK("#'Constants - Solid Waste'!A1", "Constants - Solid Waste")</f>
        <v>Constants - Solid Waste</v>
      </c>
    </row>
    <row r="54" spans="1:18" ht="20.100000000000001" customHeight="1" x14ac:dyDescent="0.2">
      <c r="A54" s="5" t="str">
        <f>HYPERLINK("#'Constants - Common'!A1", "Constants - Common")</f>
        <v>Constants - Common</v>
      </c>
      <c r="D54" s="2"/>
    </row>
    <row r="55" spans="1:18" ht="20.100000000000001" customHeight="1" x14ac:dyDescent="0.2">
      <c r="A55" s="5" t="str">
        <f>HYPERLINK("#'Acknowledgements'!A1", "Acknowledgements")</f>
        <v>Acknowledgements</v>
      </c>
      <c r="D55" s="75" t="s">
        <v>322</v>
      </c>
      <c r="E55" s="1" t="str" cm="1">
        <f t="array" ref="E55">MMS_Feedlot_AtmosphericDeposition_Equations.VEERG_4_1_1_5__1_TotalAnnualAtmosphericDepositionEmissions_Variable()</f>
        <v>E_N2Oad</v>
      </c>
    </row>
    <row r="56" spans="1:18" ht="20.100000000000001" customHeight="1" x14ac:dyDescent="0.2">
      <c r="D56" s="75" t="s">
        <v>118</v>
      </c>
      <c r="E56" s="9" t="str" cm="1">
        <f t="array" ref="E56">MMS_Feedlot_AtmosphericDeposition_Equations.VEERG_4_1_1_5__1_TotalAnnualAtmosphericDepositionEmissions_Unit()</f>
        <v>t N2O</v>
      </c>
    </row>
    <row r="58" spans="1:18" ht="20.100000000000001" customHeight="1" x14ac:dyDescent="0.2">
      <c r="D58" s="113" t="str" cm="1">
        <f t="array" ref="D58:E63">_xlfn.CHOOSECOLS(MMS_Feedlot_AtmosphericDeposition_Equations.VEERG_4_1_1_5__1_TotalAnnualAtmosphericDepositionEmissions_Arguments(),1,2)</f>
        <v>MMS_ATMOS</v>
      </c>
      <c r="E58" s="121" t="str">
        <v>mass of N volatilised from MMS</v>
      </c>
      <c r="F58" s="122"/>
      <c r="G58" s="113" t="str" cm="1">
        <f t="array" ref="G58:H63">_xlfn.CHOOSECOLS(MMS_Feedlot_AtmosphericDeposition_Equations.VEERG_4_1_1_5__1_TotalAnnualAtmosphericDepositionEmissions_Arguments(),3,4)</f>
        <v>kg N</v>
      </c>
      <c r="H58" s="115" t="str">
        <v>Calculated from 4.1.1.5 (2)</v>
      </c>
      <c r="I58" s="113">
        <f ca="1">$E$46</f>
        <v>51562.512848332786</v>
      </c>
      <c r="M58" s="113" t="str" cm="1">
        <f t="array" ref="M58:N63">_xlfn.CHOOSECOLS(MMS_Feedlot_AtmosphericDeposition_Equations.VEERG_4_1_1_5__1_TotalAnnualAtmosphericDepositionEmissions_Arguments(),1,2)</f>
        <v>MMS_ATMOS</v>
      </c>
      <c r="N58" s="121" t="str">
        <v>mass of N volatilised from MMS</v>
      </c>
      <c r="O58" s="122"/>
      <c r="P58" s="113" t="str" cm="1">
        <f t="array" ref="P58:Q63">_xlfn.CHOOSECOLS(MMS_Feedlot_AtmosphericDeposition_Equations.VEERG_4_1_1_5__1_TotalAnnualAtmosphericDepositionEmissions_Arguments(),3,4)</f>
        <v>kg N</v>
      </c>
      <c r="Q58" s="115" t="str">
        <v>Calculated from 4.1.1.5 (2)</v>
      </c>
      <c r="R58" s="124">
        <f ca="1">$N$46</f>
        <v>51562.512848332786</v>
      </c>
    </row>
    <row r="59" spans="1:18" ht="20.100000000000001" customHeight="1" x14ac:dyDescent="0.2">
      <c r="D59" s="113" t="str">
        <v>EF_N2O</v>
      </c>
      <c r="E59" s="121" t="str">
        <v>nitrous oxide emission factor for atmospheric deposition</v>
      </c>
      <c r="F59" s="122"/>
      <c r="G59" s="113" t="str">
        <v>kg N2O-N/kg N</v>
      </c>
      <c r="H59" s="115" t="str">
        <v>Constant</v>
      </c>
      <c r="I59" s="113">
        <f>Common_InputFunctions.Utility_LookupN2OEFFromProdIrrigationRainfall($I$61,$I$62,$I$63,Table_SourceData_Common_EFN2O[Production system only],Table_SourceData_Common_EFN2O[Irrigation method],Table_SourceData_Common_EFN2O[Rainfall zone],Table_SourceData_Common_EFN2O[EFN2O])</f>
        <v>1.8E-3</v>
      </c>
      <c r="M59" s="113" t="str">
        <v>EF_N2O</v>
      </c>
      <c r="N59" s="121" t="str">
        <v>nitrous oxide emission factor for atmospheric deposition</v>
      </c>
      <c r="O59" s="122"/>
      <c r="P59" s="113" t="str">
        <v>kg N2O-N/kg N</v>
      </c>
      <c r="Q59" s="115" t="str">
        <v>Constant</v>
      </c>
      <c r="R59" s="124"/>
    </row>
    <row r="60" spans="1:18" ht="20.100000000000001" customHeight="1" x14ac:dyDescent="0.2">
      <c r="D60" s="113" t="str">
        <v>C_N2O</v>
      </c>
      <c r="E60" s="121" t="str">
        <v>factor to convert elemental mass of nitrous oxide to molecular mass</v>
      </c>
      <c r="F60" s="122"/>
      <c r="G60" s="113" t="str">
        <v/>
      </c>
      <c r="H60" s="115" t="str">
        <v>Constant</v>
      </c>
      <c r="I60" s="113">
        <f>Common_InputFunctions.Utility_LookupValueInTableNumber("N2O",Table_GasToMolecularConversionFactor[Gas],Table_GasToMolecularConversionFactor[Conversion factor combined])</f>
        <v>1.5714285714285714</v>
      </c>
      <c r="M60" s="113" t="str">
        <v>C_N2O</v>
      </c>
      <c r="N60" s="121" t="str">
        <v>factor to convert elemental mass of nitrous oxide to molecular mass</v>
      </c>
      <c r="O60" s="122"/>
      <c r="P60" s="113" t="str">
        <v/>
      </c>
      <c r="Q60" s="115" t="str">
        <v>Constant</v>
      </c>
      <c r="R60" s="124"/>
    </row>
    <row r="61" spans="1:18" ht="20.100000000000001" customHeight="1" x14ac:dyDescent="0.2">
      <c r="D61" s="113" t="str">
        <v>j</v>
      </c>
      <c r="E61" s="121" t="str">
        <v>production system</v>
      </c>
      <c r="F61" s="122"/>
      <c r="G61" s="113" t="str">
        <v/>
      </c>
      <c r="H61" s="114" t="str">
        <v>Input</v>
      </c>
      <c r="I61" s="113" t="str">
        <f>'Input - Feedlot'!$E$45</f>
        <v>Pasture</v>
      </c>
      <c r="M61" s="113" t="str">
        <v>j</v>
      </c>
      <c r="N61" s="121" t="str">
        <v>production system</v>
      </c>
      <c r="O61" s="122"/>
      <c r="P61" s="113" t="str">
        <v/>
      </c>
      <c r="Q61" s="114" t="str">
        <v>Input</v>
      </c>
      <c r="R61" s="124"/>
    </row>
    <row r="62" spans="1:18" ht="20.100000000000001" customHeight="1" x14ac:dyDescent="0.2">
      <c r="D62" s="113" t="str">
        <v>i</v>
      </c>
      <c r="E62" s="121" t="str">
        <v>irrigation method</v>
      </c>
      <c r="F62" s="122"/>
      <c r="G62" s="113" t="str">
        <v/>
      </c>
      <c r="H62" s="114" t="str">
        <v>Input</v>
      </c>
      <c r="I62" s="113" t="str">
        <f>'Input - Feedlot'!$E$46</f>
        <v>Not irrigated</v>
      </c>
      <c r="M62" s="113" t="str">
        <v>i</v>
      </c>
      <c r="N62" s="121" t="str">
        <v>irrigation method</v>
      </c>
      <c r="O62" s="122"/>
      <c r="P62" s="113" t="str">
        <v/>
      </c>
      <c r="Q62" s="114" t="str">
        <v>Input</v>
      </c>
      <c r="R62" s="124"/>
    </row>
    <row r="63" spans="1:18" ht="20.100000000000001" customHeight="1" x14ac:dyDescent="0.2">
      <c r="D63" s="113" t="str">
        <v>r</v>
      </c>
      <c r="E63" s="121" t="str">
        <v>rainfall zone</v>
      </c>
      <c r="F63" s="122"/>
      <c r="G63" s="113" t="str">
        <v/>
      </c>
      <c r="H63" s="114" t="str">
        <v>Input</v>
      </c>
      <c r="I63" s="113" t="str">
        <f>X_Cell_Site_RainfallZone</f>
        <v>High rainfall</v>
      </c>
      <c r="M63" s="113" t="str">
        <v>r</v>
      </c>
      <c r="N63" s="121" t="str">
        <v>rainfall zone</v>
      </c>
      <c r="O63" s="122"/>
      <c r="P63" s="113" t="str">
        <v/>
      </c>
      <c r="Q63" s="114" t="str">
        <v>Input</v>
      </c>
      <c r="R63" s="124"/>
    </row>
    <row r="65" spans="1:16" ht="20.100000000000001" customHeight="1" x14ac:dyDescent="0.2">
      <c r="D65" s="85" t="s">
        <v>440</v>
      </c>
      <c r="E65" s="86" cm="1">
        <f t="array" aca="1" ref="E65" ca="1">MMS_Feedlot_AtmosphericDeposition_Equations.VEERG_4_1_1_5__1_TotalAnnualAtmosphericDepositionEmissions(I58,I59,I60)</f>
        <v>0.1458482506281413</v>
      </c>
      <c r="F65" s="95" t="str">
        <f>$E$56</f>
        <v>t N2O</v>
      </c>
      <c r="M65" s="85" t="s">
        <v>440</v>
      </c>
      <c r="N65" s="86" cm="1">
        <f t="array" aca="1" ref="N65" ca="1">MMS_Feedlot_AtmosphericDeposition_Equations.VEERG_4_1_1_5__1_TotalAnnualAtmosphericDepositionEmissions(R58,I59,I60)</f>
        <v>0.1458482506281413</v>
      </c>
      <c r="O65" s="95" t="str">
        <f>$E$56</f>
        <v>t N2O</v>
      </c>
    </row>
    <row r="66" spans="1:16" ht="20.100000000000001" customHeight="1" x14ac:dyDescent="0.2">
      <c r="A66" s="79" t="str">
        <f>HYPERLINK("#A1", "▲ Back to top")</f>
        <v>▲ Back to top</v>
      </c>
    </row>
    <row r="67" spans="1:16" ht="20.100000000000001" customHeight="1" x14ac:dyDescent="0.2">
      <c r="D67" s="124" t="str" cm="1">
        <f t="array" ref="D67:E68">Common_Equations.Common_ConvertN2OToCO2e_Arguments()</f>
        <v>EN2O</v>
      </c>
      <c r="E67" s="126" t="str">
        <v>Nitrous oxide emissions (t N2O)</v>
      </c>
      <c r="F67" s="127"/>
      <c r="G67" s="15">
        <f ca="1">VEERG_4_1_1_5__1_TotalAnnualAtmosphericDepositionEmissions_Result_Method1</f>
        <v>0.1458482506281413</v>
      </c>
      <c r="M67" s="124" t="str" cm="1">
        <f t="array" ref="M67:N68">Common_Equations.Common_ConvertN2OToCO2e_Arguments()</f>
        <v>EN2O</v>
      </c>
      <c r="N67" s="126" t="str">
        <v>Nitrous oxide emissions (t N2O)</v>
      </c>
      <c r="O67" s="127"/>
      <c r="P67" s="15">
        <f ca="1">VEERG_4_1_1_5__1_TotalAnnualAtmosphericDepositionEmissions_Result_Method2</f>
        <v>0.1458482506281413</v>
      </c>
    </row>
    <row r="68" spans="1:16" ht="20.100000000000001" customHeight="1" x14ac:dyDescent="0.2">
      <c r="D68" s="124" t="str">
        <v>GWPN2O</v>
      </c>
      <c r="E68" s="126" t="str">
        <v>Global warming potential for nitrous oxide (t CO2-e / t N2O)</v>
      </c>
      <c r="F68" s="127"/>
      <c r="G68" s="15">
        <f>Common_InputFunctions.Utility_LookupValueInTableNumber("N2O",Table_GWPData[Gas],Table_GWPData[CO2-e factor])</f>
        <v>265</v>
      </c>
      <c r="M68" s="124" t="str">
        <v>GWPN2O</v>
      </c>
      <c r="N68" s="126" t="str">
        <v>Global warming potential for nitrous oxide (t CO2-e / t N2O)</v>
      </c>
      <c r="O68" s="127"/>
      <c r="P68" s="15">
        <f>Common_InputFunctions.Utility_LookupValueInTableNumber("N2O",Table_GWPData[Gas],Table_GWPData[CO2-e factor])</f>
        <v>265</v>
      </c>
    </row>
    <row r="70" spans="1:16" ht="20.100000000000001" customHeight="1" x14ac:dyDescent="0.2">
      <c r="D70" s="83" t="s">
        <v>428</v>
      </c>
      <c r="E70" s="83" cm="1">
        <f t="array" aca="1" ref="E70" ca="1">Common_Equations.Common_ConvertN2OToCO2e(G67,G68)</f>
        <v>38.649786416457445</v>
      </c>
      <c r="F70" s="89" t="str" cm="1">
        <f t="array" ref="F70">Common_Equations.Common_ConvertN2OToCO2e_Unit()</f>
        <v>t CO2e</v>
      </c>
      <c r="M70" s="83" t="s">
        <v>428</v>
      </c>
      <c r="N70" s="83" cm="1">
        <f t="array" aca="1" ref="N70" ca="1">Common_Equations.Common_ConvertN2OToCO2e(P67,P68)</f>
        <v>38.649786416457445</v>
      </c>
      <c r="O70" s="89" t="str" cm="1">
        <f t="array" ref="O70">Common_Equations.Common_ConvertN2OToCO2e_Unit()</f>
        <v>t CO2e</v>
      </c>
    </row>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93B77-92D0-4F24-B42C-68F1B3C5929B}">
  <sheetPr>
    <tabColor rgb="FF008000"/>
  </sheetPr>
  <dimension ref="A1:S111"/>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20" customFormat="1" ht="30" customHeight="1" x14ac:dyDescent="0.35">
      <c r="A1" s="10" t="e" vm="1">
        <v>#VALUE!</v>
      </c>
      <c r="C1" s="20" t="s">
        <v>441</v>
      </c>
    </row>
    <row r="2" spans="1:19" s="3" customFormat="1" ht="20.100000000000001" customHeight="1" x14ac:dyDescent="0.2">
      <c r="A2"/>
    </row>
    <row r="3" spans="1:19"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tr" cm="1">
        <f t="array" ref="D5">MMS_Feedlot_ManureAppliedToSoils_Equations.VEERG_4_1_1_9__1_MassOfNitrogenAppliedToSoilsScope1_Title()</f>
        <v>Mass of nitrogen applied to soils for scope 1 emissions</v>
      </c>
    </row>
    <row r="6" spans="1:19" ht="20.100000000000001" customHeight="1" x14ac:dyDescent="0.2">
      <c r="D6" s="17" t="str" cm="1">
        <f t="array" ref="D6">MMS_Feedlot_ManureAppliedToSoils_Equations.VEERG_4_1_1_9__1_MassOfNitrogenAppliedToSoilsScope1_Source()</f>
        <v>VEERG 2026: 4.1.1.9, Equation (1)</v>
      </c>
    </row>
    <row r="7" spans="1:19" ht="20.100000000000001" customHeight="1" x14ac:dyDescent="0.2">
      <c r="D7" s="112" t="s">
        <v>321</v>
      </c>
      <c r="E7" s="112" t="str" cm="1">
        <f t="array" aca="1" ref="E7" ca="1">Common_InputFunctions.Utility_DisplayFunctionName(E56)</f>
        <v>=MMS_Feedlot_ManureAppliedToSoils_Equations.VEERG_4_1_1_9__1_MassOfNitrogenAppliedToSoilsScope1</v>
      </c>
    </row>
    <row r="8" spans="1:19" ht="20.100000000000001" customHeight="1" x14ac:dyDescent="0.2">
      <c r="A8" s="7" t="s">
        <v>0</v>
      </c>
    </row>
    <row r="9" spans="1:19" ht="20.100000000000001" customHeight="1" x14ac:dyDescent="0.2">
      <c r="A9" s="5" t="str">
        <f>HYPERLINK("#'Input - Enterprise'!A1", "Enterprise")</f>
        <v>Enterprise</v>
      </c>
      <c r="D9" s="2"/>
    </row>
    <row r="10" spans="1:19" ht="20.100000000000001" customHeight="1" x14ac:dyDescent="0.2">
      <c r="A10" s="5" t="str">
        <f>HYPERLINK("#'Input - Site'!A1", "Site")</f>
        <v>Site</v>
      </c>
    </row>
    <row r="11" spans="1:19" ht="20.100000000000001" customHeight="1" x14ac:dyDescent="0.2">
      <c r="A11" s="5" t="str">
        <f>HYPERLINK("#'Input - Feedlot'!A1", "Feedlot")</f>
        <v>Feedlot</v>
      </c>
      <c r="D11" s="75" t="s">
        <v>322</v>
      </c>
      <c r="E11" s="1" t="str" cm="1">
        <f t="array" ref="E11">MMS_Feedlot_ManureAppliedToSoils_Equations.VEERG_4_1_1_9__1_MassOfNitrogenAppliedToSoilsScope1_Variable()</f>
        <v>MNSoil_scope1</v>
      </c>
    </row>
    <row r="12" spans="1:19" ht="20.100000000000001" customHeight="1" x14ac:dyDescent="0.2">
      <c r="A12" s="5" t="str">
        <f>HYPERLINK("#'Input - Livestock sales'!A1", "Livestock sales")</f>
        <v>Livestock sales</v>
      </c>
      <c r="D12" s="75" t="s">
        <v>118</v>
      </c>
      <c r="E12" s="9" t="str" cm="1">
        <f t="array" ref="E12">MMS_Feedlot_ManureAppliedToSoils_Equations.VEERG_4_1_1_9__1_MassOfNitrogenAppliedToSoilsScope1_Unit()</f>
        <v>kg N</v>
      </c>
    </row>
    <row r="13" spans="1:19" ht="20.100000000000001" customHeight="1" x14ac:dyDescent="0.2">
      <c r="A13" s="5" t="str">
        <f>HYPERLINK("#'Input - Beef cattle purchases'!A1", "Beef cattle purchases")</f>
        <v>Beef cattle purchases</v>
      </c>
    </row>
    <row r="14" spans="1:19" ht="20.100000000000001" customHeight="1" x14ac:dyDescent="0.2">
      <c r="A14" s="5" t="str">
        <f>HYPERLINK("#'Input - Fuel'!A1", "Fuel")</f>
        <v>Fuel</v>
      </c>
      <c r="D14" s="113" t="str" cm="1">
        <f t="array" ref="D14:E17">_xlfn.CHOOSECOLS(MMS_Feedlot_ManureAppliedToSoils_Equations.VEERG_4_1_1_9__1_MassOfNitrogenAppliedToSoilsScope1_Arguments(),1,2)</f>
        <v>MN_jmT23</v>
      </c>
      <c r="E14" s="121" t="str">
        <v>mass of N in secondary and tertiary treatment MMS stages as calculated for manure management</v>
      </c>
      <c r="F14" s="132"/>
      <c r="G14" s="122"/>
      <c r="H14" s="113" t="str" cm="1">
        <f t="array" ref="H14:I17">_xlfn.CHOOSECOLS(MMS_Feedlot_ManureAppliedToSoils_Equations.VEERG_4_1_1_9__1_MassOfNitrogenAppliedToSoilsScope1_Arguments(),3,4)</f>
        <v>kg N</v>
      </c>
      <c r="I14" s="115" t="str">
        <v>Calculated from 4.1.1.3 (6)(8)</v>
      </c>
      <c r="J14" s="116" t="str" cm="1">
        <f t="array" aca="1" ref="J14" ca="1">HYPERLINK(Common_InputFunctions.Utility_SourceHyperlink($D$19),$D$19)</f>
        <v>M1_Table_MN_j_m_T-2-3</v>
      </c>
    </row>
    <row r="15" spans="1:19" ht="20.100000000000001" customHeight="1" x14ac:dyDescent="0.2">
      <c r="A15" s="5" t="str">
        <f>HYPERLINK("#'Input - Electricity'!A1", "Electricity")</f>
        <v>Electricity</v>
      </c>
      <c r="D15" s="113" t="str">
        <v>EF_mT23</v>
      </c>
      <c r="E15" s="121" t="str">
        <v>nitrous oxide emission factor for each MMS</v>
      </c>
      <c r="F15" s="132"/>
      <c r="G15" s="122"/>
      <c r="H15" s="113" t="str">
        <v>kg N2O-N/kg N</v>
      </c>
      <c r="I15" s="115" t="str">
        <v>Constant</v>
      </c>
      <c r="J15" s="116" t="str" cm="1">
        <f t="array" aca="1" ref="J15" ca="1">HYPERLINK(Common_InputFunctions.Utility_SourceHyperlink($D$27),$D$27)</f>
        <v>Table_EF_j_m_T-2-3</v>
      </c>
    </row>
    <row r="16" spans="1:19" ht="20.100000000000001" customHeight="1" x14ac:dyDescent="0.2">
      <c r="A16" s="5" t="str">
        <f>HYPERLINK("#'Input - Common farm inputs'!A1", "Common farm inputs")</f>
        <v>Common farm inputs</v>
      </c>
      <c r="D16" s="113" t="str">
        <v>FracGASM_mT23</v>
      </c>
      <c r="E16" s="121" t="str">
        <v>fraction of animal waste N volatilised in each MMS for each cattle group</v>
      </c>
      <c r="F16" s="132"/>
      <c r="G16" s="122"/>
      <c r="H16" s="113" t="str">
        <v>(kg NH3-N + NOx-N)/kg N</v>
      </c>
      <c r="I16" s="115" t="str">
        <v>Constant</v>
      </c>
      <c r="J16" s="116" t="str" cm="1">
        <f t="array" aca="1" ref="J16" ca="1">HYPERLINK(Common_InputFunctions.Utility_SourceHyperlink($D$36),$D$36)</f>
        <v>Table_FracGASM_m_T-2-3</v>
      </c>
    </row>
    <row r="17" spans="1:18" ht="20.100000000000001" customHeight="1" x14ac:dyDescent="0.2">
      <c r="A17" s="5" t="str">
        <f>HYPERLINK("#'Input - Livestock farm Inputs'!A1", "Livestock farm Inputs")</f>
        <v>Livestock farm Inputs</v>
      </c>
      <c r="D17" s="113" t="str">
        <v>PF</v>
      </c>
      <c r="E17" s="121" t="str">
        <v>fraction of manure applied to soil within the feedlot boundary</v>
      </c>
      <c r="F17" s="132"/>
      <c r="G17" s="122"/>
      <c r="H17" s="113" t="str">
        <v>fraction</v>
      </c>
      <c r="I17" s="114" t="str">
        <v>Input</v>
      </c>
      <c r="J17" s="116" t="str" cm="1">
        <f t="array" aca="1" ref="J17" ca="1">HYPERLINK(Common_InputFunctions.Utility_SourceHyperlink($D$45),$D$45)</f>
        <v>Table_PF</v>
      </c>
    </row>
    <row r="18" spans="1:18" ht="20.100000000000001" customHeight="1" x14ac:dyDescent="0.2">
      <c r="A18" s="5" t="str">
        <f>HYPERLINK("#'Input - Freight'!A1", "Freight")</f>
        <v>Freight</v>
      </c>
    </row>
    <row r="19" spans="1:18" ht="20.100000000000001" customHeight="1" x14ac:dyDescent="0.2">
      <c r="A19" s="5" t="str">
        <f>HYPERLINK("#'Input - Solid waste'!A1", "Solid waste")</f>
        <v>Solid waste</v>
      </c>
      <c r="D19" s="118" t="s">
        <v>442</v>
      </c>
      <c r="N19" s="118" t="s">
        <v>443</v>
      </c>
    </row>
    <row r="20" spans="1:18" ht="20.100000000000001" customHeight="1" x14ac:dyDescent="0.2">
      <c r="A20" s="5" t="str">
        <f>HYPERLINK("#'Input - Manure sent off-site'!A1", "Manure sent off-site")</f>
        <v>Manure sent off-site</v>
      </c>
      <c r="D20" s="119" t="s">
        <v>444</v>
      </c>
      <c r="N20" s="119" t="s">
        <v>445</v>
      </c>
    </row>
    <row r="21" spans="1:18" ht="20.100000000000001" customHeight="1" x14ac:dyDescent="0.2">
      <c r="A21" s="5" t="str">
        <f>HYPERLINK("#'Input - Data quality'!A1", "Data quality")</f>
        <v>Data quality</v>
      </c>
      <c r="D21" s="120" t="s">
        <v>368</v>
      </c>
      <c r="E21" s="120" t="s">
        <v>289</v>
      </c>
      <c r="F21" s="120" t="s">
        <v>290</v>
      </c>
      <c r="G21" s="120" t="s">
        <v>291</v>
      </c>
      <c r="N21" s="120" t="s">
        <v>368</v>
      </c>
      <c r="O21" s="120" t="s">
        <v>289</v>
      </c>
      <c r="P21" s="120" t="s">
        <v>290</v>
      </c>
      <c r="Q21" s="120" t="s">
        <v>291</v>
      </c>
    </row>
    <row r="22" spans="1:18" ht="20.100000000000001" customHeight="1" x14ac:dyDescent="0.2">
      <c r="A22" s="5" t="str">
        <f>HYPERLINK("#'Input - Fert Prod System'!A1", "Fert Prod System")</f>
        <v>Fert Prod System</v>
      </c>
      <c r="D22" s="15" t="str">
        <f>INDEX(X_Table_Feedlot_MMS_Stage2,3,1)</f>
        <v>Solid storage</v>
      </c>
      <c r="E22" s="15">
        <f ca="1">INDEX(M1_Table_MN_j_m_T2_Consumer_1,2,2)</f>
        <v>1250.3589396480006</v>
      </c>
      <c r="F22" s="15">
        <f ca="1">INDEX(M1_Table_MN_j_m_T2_Consumer_1,2,3)</f>
        <v>1898.7379568640001</v>
      </c>
      <c r="G22" s="15">
        <f ca="1">INDEX(M1_Table_MN_j_m_T2_Consumer_1,2,4)</f>
        <v>2742.4316159999994</v>
      </c>
      <c r="H22" s="16" t="s">
        <v>446</v>
      </c>
      <c r="I22" s="16"/>
      <c r="J22" s="16"/>
      <c r="N22" s="15" t="str">
        <f>INDEX(X_Table_Feedlot_MMS_Stage2,3,1)</f>
        <v>Solid storage</v>
      </c>
      <c r="O22" s="15">
        <f ca="1">INDEX(M1_Table_MN_j_m_T2,2,2)</f>
        <v>1250.3589396480006</v>
      </c>
      <c r="P22" s="15">
        <f ca="1">INDEX(M1_Table_MN_j_m_T2,2,3)</f>
        <v>1898.7379568640001</v>
      </c>
      <c r="Q22" s="15">
        <f ca="1">INDEX(M1_Table_MN_j_m_T2,2,4)</f>
        <v>2742.4316159999994</v>
      </c>
      <c r="R22" s="16" t="s">
        <v>446</v>
      </c>
    </row>
    <row r="23" spans="1:18" ht="20.100000000000001" customHeight="1" x14ac:dyDescent="0.2">
      <c r="A23" s="5" t="str">
        <f>HYPERLINK("#'Input - Fertiliser'!A1", "Fertiliser")</f>
        <v>Fertiliser</v>
      </c>
      <c r="D23" s="15" t="str">
        <f>INDEX(X_Table_Feedlot_MMS_Stage2,4,1)</f>
        <v>Composting (passive windrow)</v>
      </c>
      <c r="E23" s="15">
        <f ca="1">INDEX(M1_Table_MN_j_m_T2_Consumer_1,3,2)</f>
        <v>1250.3589396480006</v>
      </c>
      <c r="F23" s="15">
        <f ca="1">INDEX(M1_Table_MN_j_m_T2_Consumer_1,3,3)</f>
        <v>1898.7379568640001</v>
      </c>
      <c r="G23" s="15">
        <f ca="1">INDEX(M1_Table_MN_j_m_T2_Consumer_1,3,4)</f>
        <v>2742.4316159999994</v>
      </c>
      <c r="H23" s="16"/>
      <c r="I23" s="16"/>
      <c r="J23" s="16"/>
      <c r="N23" s="15" t="str">
        <f>INDEX(X_Table_Feedlot_MMS_Stage2,4,1)</f>
        <v>Composting (passive windrow)</v>
      </c>
      <c r="O23" s="15">
        <f ca="1">INDEX(M1_Table_MN_j_m_T2,3,2)</f>
        <v>1250.3589396480006</v>
      </c>
      <c r="P23" s="15">
        <f ca="1">INDEX(M1_Table_MN_j_m_T2,3,3)</f>
        <v>1898.7379568640001</v>
      </c>
      <c r="Q23" s="15">
        <f ca="1">INDEX(M1_Table_MN_j_m_T2,3,4)</f>
        <v>2742.4316159999994</v>
      </c>
      <c r="R23" s="16"/>
    </row>
    <row r="24" spans="1:18" ht="20.100000000000001" customHeight="1" x14ac:dyDescent="0.2">
      <c r="D24" s="15" t="str">
        <f>INDEX(X_Table_Feedlot_MMS_Stage2,5,1)</f>
        <v>Direct application</v>
      </c>
      <c r="E24" s="15">
        <f ca="1">INDEX(M1_Table_MN_j_m_T2_Consumer_1,4,2)</f>
        <v>3751.0768189440014</v>
      </c>
      <c r="F24" s="15">
        <f ca="1">INDEX(M1_Table_MN_j_m_T2_Consumer_1,4,3)</f>
        <v>5696.2138705919997</v>
      </c>
      <c r="G24" s="15">
        <f ca="1">INDEX(M1_Table_MN_j_m_T2_Consumer_1,4,4)</f>
        <v>8227.2948479999977</v>
      </c>
      <c r="N24" s="15" t="str">
        <f>INDEX(X_Table_Feedlot_MMS_Stage2,5,1)</f>
        <v>Direct application</v>
      </c>
      <c r="O24" s="15">
        <f ca="1">INDEX(M1_Table_MN_j_m_T2,4,2)</f>
        <v>3751.0768189440014</v>
      </c>
      <c r="P24" s="15">
        <f ca="1">INDEX(M1_Table_MN_j_m_T2,4,3)</f>
        <v>5696.2138705919997</v>
      </c>
      <c r="Q24" s="15">
        <f ca="1">INDEX(M1_Table_MN_j_m_T2,4,4)</f>
        <v>8227.2948479999977</v>
      </c>
      <c r="R24" s="16"/>
    </row>
    <row r="25" spans="1:18" ht="20.100000000000001" customHeight="1" x14ac:dyDescent="0.2">
      <c r="D25" s="15" t="str">
        <f>INDEX(X_Table_Feedlot_MMS_Stage3,3,1)</f>
        <v>Anaerobic lagoon</v>
      </c>
      <c r="E25" s="15">
        <f ca="1">INDEX(M1_Table_MN_j_m1_T3,2,2)</f>
        <v>333.78508800000009</v>
      </c>
      <c r="F25" s="15">
        <f ca="1">INDEX(M1_Table_MN_j_m1_T3,2,3)</f>
        <v>506.87078400000007</v>
      </c>
      <c r="G25" s="15">
        <f ca="1">INDEX(M1_Table_MN_j_m1_T3,2,4)</f>
        <v>732.09599999999978</v>
      </c>
      <c r="H25" s="16"/>
      <c r="I25" s="16"/>
      <c r="J25" s="16"/>
      <c r="N25" s="15" t="str">
        <f>INDEX(X_Table_Feedlot_MMS_Stage3,3,1)</f>
        <v>Anaerobic lagoon</v>
      </c>
      <c r="O25" s="15">
        <f ca="1">INDEX(M2_Table_MN_j_m1_T3,2,2)</f>
        <v>333.78508800000009</v>
      </c>
      <c r="P25" s="15">
        <f ca="1">INDEX(M2_Table_MN_j_m1_T3,2,3)</f>
        <v>506.87078400000007</v>
      </c>
      <c r="Q25" s="15">
        <f ca="1">INDEX(M2_Table_MN_j_m1_T3,2,4)</f>
        <v>732.09599999999978</v>
      </c>
      <c r="R25" s="16"/>
    </row>
    <row r="26" spans="1:18" ht="20.100000000000001" customHeight="1" x14ac:dyDescent="0.2">
      <c r="A26" s="6" t="s">
        <v>2</v>
      </c>
    </row>
    <row r="27" spans="1:18" ht="20.100000000000001" customHeight="1" x14ac:dyDescent="0.2">
      <c r="A27" s="5" t="str">
        <f>HYPERLINK("#'3.1.1.1-2 Enteric Methane'!A1", "3.1.1.1-2 Enteric Methane")</f>
        <v>3.1.1.1-2 Enteric Methane</v>
      </c>
      <c r="D27" s="118" t="s">
        <v>447</v>
      </c>
    </row>
    <row r="28" spans="1:18" ht="20.100000000000001" customHeight="1" x14ac:dyDescent="0.2">
      <c r="A28" s="5" t="str">
        <f>HYPERLINK("#'4.1.1.1-2 Methane'!A1", "4.1.1.1-2 Manure Methane")</f>
        <v>4.1.1.1-2 Manure Methane</v>
      </c>
      <c r="D28" s="119" t="s">
        <v>419</v>
      </c>
    </row>
    <row r="29" spans="1:18" ht="20.100000000000001" customHeight="1" x14ac:dyDescent="0.2">
      <c r="A29" s="5" t="str">
        <f>HYPERLINK("#'4.1.1.3-4 Direct N20'!A1", "4.1.1.3-4 Manure Direct N2O")</f>
        <v>4.1.1.3-4 Manure Direct N2O</v>
      </c>
      <c r="D29" s="128" t="s">
        <v>368</v>
      </c>
      <c r="E29" s="128" t="s">
        <v>420</v>
      </c>
    </row>
    <row r="30" spans="1:18" ht="20.100000000000001" customHeight="1" x14ac:dyDescent="0.2">
      <c r="A30" s="5" t="str">
        <f>HYPERLINK("#'4.1.1.5-6 Atmos Deposition'!A1", "4.1.1.5-6 Manure Atmos Dep")</f>
        <v>4.1.1.5-6 Manure Atmos Dep</v>
      </c>
      <c r="D30" s="15" t="str">
        <f>INDEX(X_Table_Feedlot_MMS_Stage1,2,1)</f>
        <v>Drylot (feed pad)</v>
      </c>
      <c r="E30" s="15">
        <f>_xlfn.XLOOKUP(D30, Table_SourceData_Feedlot_NO2EFs[NIR definition], Table_SourceData_Feedlot_NO2EFs[EF mT])</f>
        <v>5.4000000000000003E-3</v>
      </c>
      <c r="F30" s="16" t="s">
        <v>448</v>
      </c>
    </row>
    <row r="31" spans="1:18" ht="20.100000000000001" customHeight="1" x14ac:dyDescent="0.2">
      <c r="A31" s="117" t="str">
        <f>HYPERLINK("#'4.1.1.9 Manure applied to soils'!A1", "4.1.1.9 Manure applied to soils")</f>
        <v>4.1.1.9 Manure applied to soils</v>
      </c>
      <c r="D31" s="15" t="str">
        <f>INDEX(X_Table_Feedlot_MMS_Stage2,3,1)</f>
        <v>Solid storage</v>
      </c>
      <c r="E31" s="15">
        <f>_xlfn.XLOOKUP($D$31, Table_SourceData_Feedlot_NO2EFs[NIR definition], Table_SourceData_Feedlot_NO2EFs[EF mT])</f>
        <v>5.0000000000000001E-3</v>
      </c>
      <c r="F31" s="16"/>
    </row>
    <row r="32" spans="1:18" ht="20.100000000000001" customHeight="1" x14ac:dyDescent="0.2">
      <c r="A32" s="5" t="str">
        <f>HYPERLINK("#'8.1.1.1-2 Transport fuel'!A1", "8.1.1.1-2 Transport fuel")</f>
        <v>8.1.1.1-2 Transport fuel</v>
      </c>
      <c r="D32" s="15" t="str">
        <f>INDEX(X_Table_Feedlot_MMS_Stage2,4,1)</f>
        <v>Composting (passive windrow)</v>
      </c>
      <c r="E32" s="15">
        <f>_xlfn.XLOOKUP($D$32, Table_SourceData_Feedlot_NO2EFs[NIR definition], Table_SourceData_Feedlot_NO2EFs[EF mT])</f>
        <v>0.01</v>
      </c>
      <c r="F32" s="16"/>
    </row>
    <row r="33" spans="1:10" ht="20.100000000000001" customHeight="1" x14ac:dyDescent="0.2">
      <c r="A33" s="5" t="str">
        <f>HYPERLINK("#'8.2.1.1-2 Stationary fuel'!A1", "8.2.1.1-2 Stationary fuel")</f>
        <v>8.2.1.1-2 Stationary fuel</v>
      </c>
      <c r="D33" s="15" t="s">
        <v>81</v>
      </c>
      <c r="E33" s="15">
        <f>_xlfn.XLOOKUP($D$33, Table_SourceData_Feedlot_NO2EFs[NIR definition], Table_SourceData_Feedlot_NO2EFs[EF mT])</f>
        <v>0</v>
      </c>
      <c r="F33" s="16"/>
    </row>
    <row r="34" spans="1:10" ht="20.100000000000001" customHeight="1" x14ac:dyDescent="0.2">
      <c r="A34" s="5" t="str">
        <f>HYPERLINK("#'10.1.1-2 Solid waste treatment'!A1", "10.1.1.1-2 Solid waste")</f>
        <v>10.1.1.1-2 Solid waste</v>
      </c>
      <c r="D34" s="15" t="str">
        <f>INDEX(X_Table_Feedlot_MMS_Stage3,3,1)</f>
        <v>Anaerobic lagoon</v>
      </c>
      <c r="E34" s="15">
        <f>_xlfn.XLOOKUP($D$34, Table_SourceData_Feedlot_NO2EFs[NIR definition], Table_SourceData_Feedlot_NO2EFs[EF mT])</f>
        <v>0</v>
      </c>
      <c r="F34" s="16"/>
    </row>
    <row r="35" spans="1:10" ht="20.100000000000001" customHeight="1" x14ac:dyDescent="0.2">
      <c r="A35" s="5" t="str">
        <f>HYPERLINK("#'14.1.1-2 Purchased electricity'!A1", "14.1.1-2 Purchased electricity")</f>
        <v>14.1.1-2 Purchased electricity</v>
      </c>
    </row>
    <row r="36" spans="1:10" ht="20.100000000000001" customHeight="1" x14ac:dyDescent="0.2">
      <c r="A36" s="5" t="str">
        <f>HYPERLINK("#'15 Scope 3'!A1", "15 Scope 3")</f>
        <v>15 Scope 3</v>
      </c>
      <c r="D36" s="118" t="s">
        <v>435</v>
      </c>
    </row>
    <row r="37" spans="1:10" ht="20.100000000000001" customHeight="1" x14ac:dyDescent="0.2">
      <c r="A37" s="5" t="str">
        <f>HYPERLINK("#'Calcs - Manure sent off-site'!A1", "Calcs - Manure sent off-site")</f>
        <v>Calcs - Manure sent off-site</v>
      </c>
      <c r="D37" s="119" t="s">
        <v>436</v>
      </c>
    </row>
    <row r="38" spans="1:10" ht="20.100000000000001" customHeight="1" x14ac:dyDescent="0.2">
      <c r="A38" s="5" t="str">
        <f>HYPERLINK("#'5.1.1.1-2 Inorganic fert N2O'!A1", "5.1.1.1-2 Inorganic fert N2O")</f>
        <v>5.1.1.1-2 Inorganic fert N2O</v>
      </c>
      <c r="D38" s="128" t="s">
        <v>368</v>
      </c>
      <c r="E38" s="128" t="s">
        <v>420</v>
      </c>
    </row>
    <row r="39" spans="1:10" ht="20.100000000000001" customHeight="1" x14ac:dyDescent="0.2">
      <c r="A39" s="5" t="str">
        <f>HYPERLINK("#'5.1.1.3-4 Inorganic fert CO2'!A1", "5.1.1.3-4 Inorganic fert CO2")</f>
        <v>5.1.1.3-4 Inorganic fert CO2</v>
      </c>
      <c r="D39" s="15" t="str">
        <f>INDEX(X_Table_Feedlot_MMS_Stage1,2,1)</f>
        <v>Drylot (feed pad)</v>
      </c>
      <c r="E39" s="15">
        <f>_xlfn.XLOOKUP(D39, Table_SourceData_Feedlot_FracGASMmT[NIR definition], Table_SourceData_Feedlot_FracGASMmT[FracGASMmT])</f>
        <v>0.6</v>
      </c>
      <c r="F39" s="16" t="s">
        <v>449</v>
      </c>
    </row>
    <row r="40" spans="1:10" ht="20.100000000000001" customHeight="1" x14ac:dyDescent="0.2">
      <c r="A40" s="5" t="str">
        <f>HYPERLINK("#'5.2.1.1-2 Organic Fert N2O'!A1", "5.2.1.1-2 Organic Fert N2O")</f>
        <v>5.2.1.1-2 Organic Fert N2O</v>
      </c>
      <c r="D40" s="15" t="str">
        <f>INDEX(X_Table_Feedlot_MMS_Stage2,3,1)</f>
        <v>Solid storage</v>
      </c>
      <c r="E40" s="15">
        <f>_xlfn.XLOOKUP(D40, Table_SourceData_Feedlot_FracGASMmT[NIR definition], Table_SourceData_Feedlot_FracGASMmT[FracGASMmT])</f>
        <v>0.25</v>
      </c>
      <c r="F40" s="16"/>
    </row>
    <row r="41" spans="1:10" ht="20.100000000000001" customHeight="1" x14ac:dyDescent="0.2">
      <c r="A41" s="5" t="str">
        <f>HYPERLINK("#'5.3.1.1-2 Lime CO2'!A1", "5.3.1.1-2 Lime CO2")</f>
        <v>5.3.1.1-2 Lime CO2</v>
      </c>
      <c r="D41" s="15" t="str">
        <f>INDEX(X_Table_Feedlot_MMS_Stage2,4,1)</f>
        <v>Composting (passive windrow)</v>
      </c>
      <c r="E41" s="15">
        <f>_xlfn.XLOOKUP(D41, Table_SourceData_Feedlot_FracGASMmT[NIR definition], Table_SourceData_Feedlot_FracGASMmT[FracGASMmT])</f>
        <v>0.4</v>
      </c>
      <c r="F41" s="16"/>
    </row>
    <row r="42" spans="1:10" ht="20.100000000000001" customHeight="1" x14ac:dyDescent="0.2">
      <c r="A42" s="5" t="str">
        <f>HYPERLINK("#'5.4.1.1-4 Atmos deposition'!A1", "5.4.1.1-4 Atmos deposition")</f>
        <v>5.4.1.1-4 Atmos deposition</v>
      </c>
      <c r="D42" s="15" t="str">
        <f>INDEX(X_Table_Feedlot_MMS_Stage2,5,1)</f>
        <v>Direct application</v>
      </c>
      <c r="E42" s="15">
        <f>_xlfn.XLOOKUP(D42, Table_SourceData_Feedlot_FracGASMmT[NIR definition], Table_SourceData_Feedlot_FracGASMmT[FracGASMmT])</f>
        <v>0</v>
      </c>
      <c r="F42" s="16"/>
    </row>
    <row r="43" spans="1:10" ht="20.100000000000001" customHeight="1" x14ac:dyDescent="0.2">
      <c r="A43" s="5" t="str">
        <f>HYPERLINK("#'5.5.1.1-2 Leaching and runoff'!A1", "5.5.1.1-2 Leaching and runoff")</f>
        <v>5.5.1.1-2 Leaching and runoff</v>
      </c>
      <c r="D43" s="15" t="str">
        <f>INDEX(X_Table_Feedlot_MMS_Stage3,3,1)</f>
        <v>Anaerobic lagoon</v>
      </c>
      <c r="E43" s="15">
        <f>_xlfn.XLOOKUP(D43, Table_SourceData_Feedlot_FracGASMmT[NIR definition], Table_SourceData_Feedlot_FracGASMmT[FracGASMmT])</f>
        <v>0.35</v>
      </c>
      <c r="F43" s="16"/>
    </row>
    <row r="45" spans="1:10" ht="20.100000000000001" customHeight="1" x14ac:dyDescent="0.2">
      <c r="D45" s="118" t="s">
        <v>450</v>
      </c>
    </row>
    <row r="46" spans="1:10" ht="20.100000000000001" customHeight="1" x14ac:dyDescent="0.2">
      <c r="A46" s="80" t="s">
        <v>1</v>
      </c>
      <c r="D46" s="119" t="s">
        <v>451</v>
      </c>
    </row>
    <row r="47" spans="1:10" ht="20.100000000000001" customHeight="1" x14ac:dyDescent="0.2">
      <c r="A47" s="5" t="str">
        <f>HYPERLINK("#'Constants - Feedlot'!A1", "Constants - Feedlot")</f>
        <v>Constants - Feedlot</v>
      </c>
      <c r="D47" s="99" t="s">
        <v>368</v>
      </c>
      <c r="E47" s="99" t="s">
        <v>452</v>
      </c>
    </row>
    <row r="48" spans="1:10" ht="20.100000000000001" customHeight="1" x14ac:dyDescent="0.2">
      <c r="A48" s="5" t="str">
        <f>HYPERLINK("#'Constants - Common livestock'!A1", "Constants - Common Livestock")</f>
        <v>Constants - Common Livestock</v>
      </c>
      <c r="D48" s="15" t="str">
        <f>INDEX(X_Table_Feedlot_MMS_Stage2,3,1)</f>
        <v>Solid storage</v>
      </c>
      <c r="E48" s="15">
        <f ca="1">SUM(OFFSET(X_Table_Feedlot_MMS_Stage2_Destinations, 2,1,1,2))</f>
        <v>0.75</v>
      </c>
      <c r="F48" s="16" t="s">
        <v>299</v>
      </c>
      <c r="H48" s="16"/>
      <c r="I48" s="16"/>
      <c r="J48" s="16"/>
    </row>
    <row r="49" spans="1:19" ht="20.100000000000001" customHeight="1" x14ac:dyDescent="0.2">
      <c r="A49" s="5" t="str">
        <f>HYPERLINK("#'Constants - Electricity'!A1", "Constants - Electricity")</f>
        <v>Constants - Electricity</v>
      </c>
      <c r="D49" s="15" t="str">
        <f>INDEX(X_Table_Feedlot_MMS_Stage2,4,1)</f>
        <v>Composting (passive windrow)</v>
      </c>
      <c r="E49" s="15">
        <f ca="1">SUM(OFFSET(X_Table_Feedlot_MMS_Stage2_Destinations, 3,1,1,2))</f>
        <v>0.75</v>
      </c>
      <c r="F49" s="16"/>
      <c r="H49" s="16"/>
      <c r="I49" s="16"/>
      <c r="J49" s="16"/>
    </row>
    <row r="50" spans="1:19" ht="20.100000000000001" customHeight="1" x14ac:dyDescent="0.2">
      <c r="A50" s="5" t="str">
        <f>HYPERLINK("#'Constants - Fertiliser'!A1", "Constants - Fertiliser")</f>
        <v>Constants - Fertiliser</v>
      </c>
      <c r="D50" s="15" t="str">
        <f>INDEX(X_Table_Feedlot_MMS_Stage2,5,1)</f>
        <v>Direct application</v>
      </c>
      <c r="E50" s="15">
        <f ca="1">SUM(OFFSET(X_Table_Feedlot_MMS_Stage2_Destinations, 4,1,1,2))</f>
        <v>1</v>
      </c>
      <c r="F50" s="16"/>
      <c r="H50" s="16"/>
      <c r="I50" s="16"/>
      <c r="J50" s="16"/>
    </row>
    <row r="51" spans="1:19" ht="20.100000000000001" customHeight="1" x14ac:dyDescent="0.2">
      <c r="A51" s="5" t="str">
        <f>HYPERLINK("#'Constants - Fuel'!A1", "Constants - Fuel")</f>
        <v>Constants - Fuel</v>
      </c>
      <c r="D51" s="15" t="str">
        <f>INDEX(X_Table_Feedlot_MMS_Stage3,3,1)</f>
        <v>Anaerobic lagoon</v>
      </c>
      <c r="E51" s="15">
        <f ca="1">SUM(OFFSET(X_Table_Feedlot_MMS_Stage3_Destinations, 2,1,1,2))</f>
        <v>0.75</v>
      </c>
      <c r="F51" s="16"/>
      <c r="H51" s="16"/>
      <c r="I51" s="16"/>
      <c r="J51" s="16"/>
    </row>
    <row r="52" spans="1:19" ht="20.100000000000001" customHeight="1" x14ac:dyDescent="0.2">
      <c r="A52" s="5" t="str">
        <f>HYPERLINK("#'Constants - Scope 3'!A1", "Constants - Scope 3")</f>
        <v>Constants - Scope 3</v>
      </c>
    </row>
    <row r="53" spans="1:19" ht="20.100000000000001" customHeight="1" x14ac:dyDescent="0.2">
      <c r="A53" s="5" t="str">
        <f>HYPERLINK("#'Constants - Solid Waste'!A1", "Constants - Solid Waste")</f>
        <v>Constants - Solid Waste</v>
      </c>
      <c r="D53" s="118" t="s">
        <v>453</v>
      </c>
      <c r="N53" s="118" t="s">
        <v>454</v>
      </c>
    </row>
    <row r="54" spans="1:19" ht="20.100000000000001" customHeight="1" x14ac:dyDescent="0.2">
      <c r="A54" s="5" t="str">
        <f>HYPERLINK("#'Constants - Common'!A1", "Constants - Common")</f>
        <v>Constants - Common</v>
      </c>
      <c r="D54" s="119" t="s">
        <v>455</v>
      </c>
      <c r="N54" s="119" t="s">
        <v>456</v>
      </c>
    </row>
    <row r="55" spans="1:19" ht="20.100000000000001" customHeight="1" x14ac:dyDescent="0.2">
      <c r="A55" s="5" t="str">
        <f>HYPERLINK("#'Acknowledgements'!A1", "Acknowledgements")</f>
        <v>Acknowledgements</v>
      </c>
      <c r="D55" s="120" t="s">
        <v>368</v>
      </c>
      <c r="E55" s="120" t="s">
        <v>289</v>
      </c>
      <c r="F55" s="120" t="s">
        <v>290</v>
      </c>
      <c r="G55" s="120" t="s">
        <v>291</v>
      </c>
      <c r="N55" s="120" t="s">
        <v>368</v>
      </c>
      <c r="O55" s="120" t="s">
        <v>289</v>
      </c>
      <c r="P55" s="120" t="s">
        <v>290</v>
      </c>
      <c r="Q55" s="120" t="s">
        <v>291</v>
      </c>
    </row>
    <row r="56" spans="1:19" ht="20.100000000000001" customHeight="1" x14ac:dyDescent="0.2">
      <c r="D56" s="15" t="str">
        <f>INDEX(X_Table_Feedlot_MMS_Stage2,3,1)</f>
        <v>Solid storage</v>
      </c>
      <c r="E56" s="15" cm="1">
        <f t="array" aca="1" ref="E56" ca="1">MMS_Feedlot_ManureAppliedToSoils_Equations.VEERG_4_1_1_9__1_MassOfNitrogenAppliedToSoilsScope1(E22,_xlfn.XLOOKUP($D56,$D$30:$D$34,$E$30:$E$34),_xlfn.XLOOKUP($D56,$D$39:$D$43,$E$39:$E$43),$E48)</f>
        <v>698.63805752832036</v>
      </c>
      <c r="F56" s="15" cm="1">
        <f t="array" aca="1" ref="F56" ca="1">MMS_Feedlot_ManureAppliedToSoils_Equations.VEERG_4_1_1_9__1_MassOfNitrogenAppliedToSoilsScope1(F22,_xlfn.XLOOKUP($D56,$D$30:$D$34,$E$30:$E$34),_xlfn.XLOOKUP($D56,$D$39:$D$43,$E$39:$E$43),$E48)</f>
        <v>1060.9198333977599</v>
      </c>
      <c r="G56" s="15" cm="1">
        <f t="array" aca="1" ref="G56" ca="1">MMS_Feedlot_ManureAppliedToSoils_Equations.VEERG_4_1_1_9__1_MassOfNitrogenAppliedToSoilsScope1(G22,_xlfn.XLOOKUP($D56,$D$30:$D$34,$E$30:$E$34),_xlfn.XLOOKUP($D56,$D$39:$D$43,$E$39:$E$43),$E48)</f>
        <v>1532.3336654399995</v>
      </c>
      <c r="H56" s="16" t="str">
        <f>$E$12</f>
        <v>kg N</v>
      </c>
      <c r="I56" s="16"/>
      <c r="J56" s="16"/>
      <c r="N56" s="15" t="str">
        <f>INDEX(X_Table_Feedlot_MMS_Stage2,3,1)</f>
        <v>Solid storage</v>
      </c>
      <c r="O56" s="15" cm="1">
        <f t="array" aca="1" ref="O56" ca="1">MMS_Feedlot_ManureAppliedToSoils_Equations.VEERG_4_1_1_9__1_MassOfNitrogenAppliedToSoilsScope1(O22,_xlfn.XLOOKUP($N56,$D$30:$D$34,$E$30:$E$34),_xlfn.XLOOKUP($N56,$D$39:$D$43,$E$39:$E$43),$E48)</f>
        <v>698.63805752832036</v>
      </c>
      <c r="P56" s="15" cm="1">
        <f t="array" aca="1" ref="P56" ca="1">MMS_Feedlot_ManureAppliedToSoils_Equations.VEERG_4_1_1_9__1_MassOfNitrogenAppliedToSoilsScope1(P22,_xlfn.XLOOKUP($N56,$D$30:$D$34,$E$30:$E$34),_xlfn.XLOOKUP($N56,$D$39:$D$43,$E$39:$E$43),$E48)</f>
        <v>1060.9198333977599</v>
      </c>
      <c r="Q56" s="15" cm="1">
        <f t="array" aca="1" ref="Q56" ca="1">MMS_Feedlot_ManureAppliedToSoils_Equations.VEERG_4_1_1_9__1_MassOfNitrogenAppliedToSoilsScope1(Q22,_xlfn.XLOOKUP($N56,$D$30:$D$34,$E$30:$E$34),_xlfn.XLOOKUP($N56,$D$39:$D$43,$E$39:$E$43),$E48)</f>
        <v>1532.3336654399995</v>
      </c>
      <c r="R56" s="16" t="str">
        <f>$E$12</f>
        <v>kg N</v>
      </c>
    </row>
    <row r="57" spans="1:19" ht="20.100000000000001" customHeight="1" x14ac:dyDescent="0.2">
      <c r="D57" s="15" t="str">
        <f>INDEX(X_Table_Feedlot_MMS_Stage2,4,1)</f>
        <v>Composting (passive windrow)</v>
      </c>
      <c r="E57" s="15" cm="1">
        <f t="array" aca="1" ref="E57" ca="1">MMS_Feedlot_ManureAppliedToSoils_Equations.VEERG_4_1_1_9__1_MassOfNitrogenAppliedToSoilsScope1(E23,_xlfn.XLOOKUP($D57,$D$30:$D$34,$E$30:$E$34),_xlfn.XLOOKUP($D57,$D$39:$D$43,$E$39:$E$43),$E49)</f>
        <v>553.2838307942402</v>
      </c>
      <c r="F57" s="15" cm="1">
        <f t="array" aca="1" ref="F57" ca="1">MMS_Feedlot_ManureAppliedToSoils_Equations.VEERG_4_1_1_9__1_MassOfNitrogenAppliedToSoilsScope1(F23,_xlfn.XLOOKUP($D57,$D$30:$D$34,$E$30:$E$34),_xlfn.XLOOKUP($D57,$D$39:$D$43,$E$39:$E$43),$E49)</f>
        <v>840.19154591231995</v>
      </c>
      <c r="G57" s="15" cm="1">
        <f t="array" aca="1" ref="G57" ca="1">MMS_Feedlot_ManureAppliedToSoils_Equations.VEERG_4_1_1_9__1_MassOfNitrogenAppliedToSoilsScope1(G23,_xlfn.XLOOKUP($D57,$D$30:$D$34,$E$30:$E$34),_xlfn.XLOOKUP($D57,$D$39:$D$43,$E$39:$E$43),$E49)</f>
        <v>1213.5259900799997</v>
      </c>
      <c r="H57" s="16"/>
      <c r="I57" s="16"/>
      <c r="J57" s="16"/>
      <c r="N57" s="15" t="str">
        <f>INDEX(X_Table_Feedlot_MMS_Stage2,4,1)</f>
        <v>Composting (passive windrow)</v>
      </c>
      <c r="O57" s="15" cm="1">
        <f t="array" aca="1" ref="O57" ca="1">MMS_Feedlot_ManureAppliedToSoils_Equations.VEERG_4_1_1_9__1_MassOfNitrogenAppliedToSoilsScope1(O23,_xlfn.XLOOKUP($N57,$D$30:$D$34,$E$30:$E$34),_xlfn.XLOOKUP($N57,$D$39:$D$43,$E$39:$E$43),$E49)</f>
        <v>553.2838307942402</v>
      </c>
      <c r="P57" s="15" cm="1">
        <f t="array" aca="1" ref="P57" ca="1">MMS_Feedlot_ManureAppliedToSoils_Equations.VEERG_4_1_1_9__1_MassOfNitrogenAppliedToSoilsScope1(P23,_xlfn.XLOOKUP($N57,$D$30:$D$34,$E$30:$E$34),_xlfn.XLOOKUP($N57,$D$39:$D$43,$E$39:$E$43),$E49)</f>
        <v>840.19154591231995</v>
      </c>
      <c r="Q57" s="15" cm="1">
        <f t="array" aca="1" ref="Q57" ca="1">MMS_Feedlot_ManureAppliedToSoils_Equations.VEERG_4_1_1_9__1_MassOfNitrogenAppliedToSoilsScope1(Q23,_xlfn.XLOOKUP($N57,$D$30:$D$34,$E$30:$E$34),_xlfn.XLOOKUP($N57,$D$39:$D$43,$E$39:$E$43),$E49)</f>
        <v>1213.5259900799997</v>
      </c>
      <c r="R57" s="16"/>
    </row>
    <row r="58" spans="1:19" ht="20.100000000000001" customHeight="1" x14ac:dyDescent="0.2">
      <c r="D58" s="15" t="str">
        <f>INDEX(X_Table_Feedlot_MMS_Stage2,5,1)</f>
        <v>Direct application</v>
      </c>
      <c r="E58" s="15" cm="1">
        <f t="array" aca="1" ref="E58" ca="1">MMS_Feedlot_ManureAppliedToSoils_Equations.VEERG_4_1_1_9__1_MassOfNitrogenAppliedToSoilsScope1(E24,_xlfn.XLOOKUP($D58,$D$30:$D$34,$E$30:$E$34),_xlfn.XLOOKUP($D58,$D$39:$D$43,$E$39:$E$43),$E50)</f>
        <v>3751.0768189440014</v>
      </c>
      <c r="F58" s="15" cm="1">
        <f t="array" aca="1" ref="F58" ca="1">MMS_Feedlot_ManureAppliedToSoils_Equations.VEERG_4_1_1_9__1_MassOfNitrogenAppliedToSoilsScope1(F24,_xlfn.XLOOKUP($D58,$D$30:$D$34,$E$30:$E$34),_xlfn.XLOOKUP($D58,$D$39:$D$43,$E$39:$E$43),$E50)</f>
        <v>5696.2138705919997</v>
      </c>
      <c r="G58" s="15" cm="1">
        <f t="array" aca="1" ref="G58" ca="1">MMS_Feedlot_ManureAppliedToSoils_Equations.VEERG_4_1_1_9__1_MassOfNitrogenAppliedToSoilsScope1(G24,_xlfn.XLOOKUP($D58,$D$30:$D$34,$E$30:$E$34),_xlfn.XLOOKUP($D58,$D$39:$D$43,$E$39:$E$43),$E50)</f>
        <v>8227.2948479999977</v>
      </c>
      <c r="H58" s="16"/>
      <c r="I58" s="16"/>
      <c r="J58" s="16"/>
      <c r="N58" s="15" t="str">
        <f>INDEX(X_Table_Feedlot_MMS_Stage2,5,1)</f>
        <v>Direct application</v>
      </c>
      <c r="O58" s="15" cm="1">
        <f t="array" aca="1" ref="O58" ca="1">MMS_Feedlot_ManureAppliedToSoils_Equations.VEERG_4_1_1_9__1_MassOfNitrogenAppliedToSoilsScope1(O24,_xlfn.XLOOKUP($N58,$D$30:$D$34,$E$30:$E$34),_xlfn.XLOOKUP($N58,$D$39:$D$43,$E$39:$E$43),$E50)</f>
        <v>3751.0768189440014</v>
      </c>
      <c r="P58" s="15" cm="1">
        <f t="array" aca="1" ref="P58" ca="1">MMS_Feedlot_ManureAppliedToSoils_Equations.VEERG_4_1_1_9__1_MassOfNitrogenAppliedToSoilsScope1(P24,_xlfn.XLOOKUP($N58,$D$30:$D$34,$E$30:$E$34),_xlfn.XLOOKUP($N58,$D$39:$D$43,$E$39:$E$43),$E50)</f>
        <v>5696.2138705919997</v>
      </c>
      <c r="Q58" s="15" cm="1">
        <f t="array" aca="1" ref="Q58" ca="1">MMS_Feedlot_ManureAppliedToSoils_Equations.VEERG_4_1_1_9__1_MassOfNitrogenAppliedToSoilsScope1(Q24,_xlfn.XLOOKUP($N58,$D$30:$D$34,$E$30:$E$34),_xlfn.XLOOKUP($N58,$D$39:$D$43,$E$39:$E$43),$E50)</f>
        <v>8227.2948479999977</v>
      </c>
      <c r="R58" s="16"/>
    </row>
    <row r="59" spans="1:19" ht="20.100000000000001" customHeight="1" x14ac:dyDescent="0.2">
      <c r="D59" s="15" t="str">
        <f>INDEX(X_Table_Feedlot_MMS_Stage3,3,1)</f>
        <v>Anaerobic lagoon</v>
      </c>
      <c r="E59" s="15" cm="1">
        <f t="array" aca="1" ref="E59" ca="1">MMS_Feedlot_ManureAppliedToSoils_Equations.VEERG_4_1_1_9__1_MassOfNitrogenAppliedToSoilsScope1(E25,_xlfn.XLOOKUP($D59,$D$30:$D$34,$E$30:$E$34),_xlfn.XLOOKUP($D59,$D$39:$D$43,$E$39:$E$43),$E51)</f>
        <v>162.72023040000005</v>
      </c>
      <c r="F59" s="15" cm="1">
        <f t="array" aca="1" ref="F59" ca="1">MMS_Feedlot_ManureAppliedToSoils_Equations.VEERG_4_1_1_9__1_MassOfNitrogenAppliedToSoilsScope1(F25,_xlfn.XLOOKUP($D59,$D$30:$D$34,$E$30:$E$34),_xlfn.XLOOKUP($D59,$D$39:$D$43,$E$39:$E$43),$E51)</f>
        <v>247.09950720000006</v>
      </c>
      <c r="G59" s="15" cm="1">
        <f t="array" aca="1" ref="G59" ca="1">MMS_Feedlot_ManureAppliedToSoils_Equations.VEERG_4_1_1_9__1_MassOfNitrogenAppliedToSoilsScope1(G25,_xlfn.XLOOKUP($D59,$D$30:$D$34,$E$30:$E$34),_xlfn.XLOOKUP($D59,$D$39:$D$43,$E$39:$E$43),$E51)</f>
        <v>356.89679999999987</v>
      </c>
      <c r="H59" s="16"/>
      <c r="I59" s="16"/>
      <c r="J59" s="16"/>
      <c r="N59" s="15" t="str">
        <f>INDEX(X_Table_Feedlot_MMS_Stage3,3,1)</f>
        <v>Anaerobic lagoon</v>
      </c>
      <c r="O59" s="15" cm="1">
        <f t="array" aca="1" ref="O59" ca="1">MMS_Feedlot_ManureAppliedToSoils_Equations.VEERG_4_1_1_9__1_MassOfNitrogenAppliedToSoilsScope1(O25,_xlfn.XLOOKUP($N59,$D$30:$D$34,$E$30:$E$34),_xlfn.XLOOKUP($N59,$D$39:$D$43,$E$39:$E$43),$E51)</f>
        <v>162.72023040000005</v>
      </c>
      <c r="P59" s="15" cm="1">
        <f t="array" aca="1" ref="P59" ca="1">MMS_Feedlot_ManureAppliedToSoils_Equations.VEERG_4_1_1_9__1_MassOfNitrogenAppliedToSoilsScope1(P25,_xlfn.XLOOKUP($N59,$D$30:$D$34,$E$30:$E$34),_xlfn.XLOOKUP($N59,$D$39:$D$43,$E$39:$E$43),$E51)</f>
        <v>247.09950720000006</v>
      </c>
      <c r="Q59" s="15" cm="1">
        <f t="array" aca="1" ref="Q59" ca="1">MMS_Feedlot_ManureAppliedToSoils_Equations.VEERG_4_1_1_9__1_MassOfNitrogenAppliedToSoilsScope1(Q25,_xlfn.XLOOKUP($N59,$D$30:$D$34,$E$30:$E$34),_xlfn.XLOOKUP($N59,$D$39:$D$43,$E$39:$E$43),$E51)</f>
        <v>356.89679999999987</v>
      </c>
      <c r="R59" s="16"/>
    </row>
    <row r="61" spans="1:19" ht="20.100000000000001" customHeight="1" x14ac:dyDescent="0.2">
      <c r="D61" s="85" t="s">
        <v>457</v>
      </c>
      <c r="E61" s="86">
        <f ca="1">SUM(E56:G59)</f>
        <v>24340.194998288636</v>
      </c>
      <c r="F61" s="95" t="str">
        <f>$E$12</f>
        <v>kg N</v>
      </c>
      <c r="N61" s="85" t="s">
        <v>457</v>
      </c>
      <c r="O61" s="86">
        <f ca="1">SUM(O56:Q59)</f>
        <v>24340.194998288636</v>
      </c>
      <c r="P61" s="95" t="str">
        <f>$E$12</f>
        <v>kg N</v>
      </c>
    </row>
    <row r="64" spans="1:19" ht="20.100000000000001" customHeight="1" x14ac:dyDescent="0.2">
      <c r="C64" s="83"/>
      <c r="D64" s="83"/>
      <c r="E64" s="83"/>
      <c r="F64" s="83"/>
      <c r="G64" s="83"/>
      <c r="H64" s="83"/>
      <c r="I64" s="83"/>
      <c r="J64" s="83"/>
      <c r="K64" s="83"/>
      <c r="M64" s="83"/>
      <c r="N64" s="83"/>
      <c r="O64" s="83"/>
      <c r="P64" s="83"/>
      <c r="Q64" s="83"/>
      <c r="R64" s="83"/>
      <c r="S64" s="83"/>
    </row>
    <row r="65" spans="1:14" ht="20.100000000000001" customHeight="1" x14ac:dyDescent="0.2">
      <c r="D65" s="2" t="str" cm="1">
        <f t="array" ref="D65">MMS_Feedlot_ManureAppliedToSoils_Equations.VEERG_4_1_1_9__2_MassOfNitrogenAppliedToSoilsScope3_Title()</f>
        <v>Mass of nitrogen applied to soils for scope 3 emissions</v>
      </c>
    </row>
    <row r="66" spans="1:14" ht="20.100000000000001" customHeight="1" x14ac:dyDescent="0.2">
      <c r="A66" s="79" t="str">
        <f>HYPERLINK("#A1", "▲ Back to top")</f>
        <v>▲ Back to top</v>
      </c>
      <c r="D66" s="17" t="str" cm="1">
        <f t="array" ref="D66">MMS_Feedlot_ManureAppliedToSoils_Equations.VEERG_4_1_1_9__2_MassOfNitrogenAppliedToSoilsScope3_Source()</f>
        <v>VEERG 2026: 4.1.1.9, Equation (2)</v>
      </c>
    </row>
    <row r="67" spans="1:14" ht="20.100000000000001" customHeight="1" x14ac:dyDescent="0.2">
      <c r="D67" s="112" t="s">
        <v>321</v>
      </c>
      <c r="E67" s="112" t="str" cm="1">
        <f t="array" aca="1" ref="E67" ca="1">Common_InputFunctions.Utility_DisplayFunctionName(E82)</f>
        <v>=MMS_Feedlot_ManureAppliedToSoils_Equations.VEERG_4_1_1_9__2_MassOfNitrogenAppliedToSoilsScope3</v>
      </c>
    </row>
    <row r="69" spans="1:14" ht="20.100000000000001" customHeight="1" x14ac:dyDescent="0.2">
      <c r="D69" s="2"/>
    </row>
    <row r="71" spans="1:14" ht="20.100000000000001" customHeight="1" x14ac:dyDescent="0.2">
      <c r="D71" s="75" t="s">
        <v>322</v>
      </c>
      <c r="E71" s="1" t="str" cm="1">
        <f t="array" ref="E71">MMS_Feedlot_ManureAppliedToSoils_Equations.VEERG_4_1_1_9__2_MassOfNitrogenAppliedToSoilsScope3_Variable()</f>
        <v>MNSoil_scope3</v>
      </c>
    </row>
    <row r="72" spans="1:14" ht="20.100000000000001" customHeight="1" x14ac:dyDescent="0.2">
      <c r="D72" s="75" t="s">
        <v>118</v>
      </c>
      <c r="E72" s="9" t="str" cm="1">
        <f t="array" ref="E72">MMS_Feedlot_ManureAppliedToSoils_Equations.VEERG_4_1_1_9__2_MassOfNitrogenAppliedToSoilsScope3_Unit()</f>
        <v>kg N</v>
      </c>
    </row>
    <row r="74" spans="1:14" ht="20.100000000000001" customHeight="1" x14ac:dyDescent="0.2">
      <c r="D74" s="113" t="str" cm="1">
        <f t="array" ref="D74:E77">_xlfn.CHOOSECOLS(MMS_Feedlot_ManureAppliedToSoils_Equations.VEERG_4_1_1_9__2_MassOfNitrogenAppliedToSoilsScope3_Arguments(),1,2)</f>
        <v>MN_jmT23</v>
      </c>
      <c r="E74" s="121" t="str">
        <v>mass of N in secondary and tertiary treatment MMS stages as calculated for manure management</v>
      </c>
      <c r="F74" s="132"/>
      <c r="G74" s="122"/>
      <c r="H74" s="113" t="str" cm="1">
        <f t="array" ref="H74:I77">_xlfn.CHOOSECOLS(MMS_Feedlot_ManureAppliedToSoils_Equations.VEERG_4_1_1_9__2_MassOfNitrogenAppliedToSoilsScope3_Arguments(),3,4)</f>
        <v>kg N</v>
      </c>
      <c r="I74" s="115" t="str">
        <v>Calculated from 4.1.1.3 (6)(8)</v>
      </c>
      <c r="J74" s="116" t="str" cm="1">
        <f t="array" aca="1" ref="J74" ca="1">HYPERLINK(Common_InputFunctions.Utility_SourceHyperlink($D$19),$D$19)</f>
        <v>M1_Table_MN_j_m_T-2-3</v>
      </c>
    </row>
    <row r="75" spans="1:14" ht="20.100000000000001" customHeight="1" x14ac:dyDescent="0.2">
      <c r="D75" s="113" t="str">
        <v>EF_mT23</v>
      </c>
      <c r="E75" s="121" t="str">
        <v>nitrous oxide emission factor for each MMS</v>
      </c>
      <c r="F75" s="132"/>
      <c r="G75" s="122"/>
      <c r="H75" s="113" t="str">
        <v>kg N2O-N/kg N</v>
      </c>
      <c r="I75" s="115" t="str">
        <v>Constant</v>
      </c>
      <c r="J75" s="116" t="str" cm="1">
        <f t="array" aca="1" ref="J75" ca="1">HYPERLINK(Common_InputFunctions.Utility_SourceHyperlink($D$27),$D$27)</f>
        <v>Table_EF_j_m_T-2-3</v>
      </c>
    </row>
    <row r="76" spans="1:14" ht="20.100000000000001" customHeight="1" x14ac:dyDescent="0.2">
      <c r="D76" s="113" t="str">
        <v>FracGASM_mT23</v>
      </c>
      <c r="E76" s="121" t="str">
        <v>fraction of animal waste N volatilised in each MMS for each cattle group</v>
      </c>
      <c r="F76" s="132"/>
      <c r="G76" s="122"/>
      <c r="H76" s="113" t="str">
        <v>(kg NH3-N + NOx-N)/kg N</v>
      </c>
      <c r="I76" s="115" t="str">
        <v>Constant</v>
      </c>
      <c r="J76" s="116" t="str" cm="1">
        <f t="array" aca="1" ref="J76" ca="1">HYPERLINK(Common_InputFunctions.Utility_SourceHyperlink($D$36),$D$36)</f>
        <v>Table_FracGASM_m_T-2-3</v>
      </c>
    </row>
    <row r="77" spans="1:14" ht="20.100000000000001" customHeight="1" x14ac:dyDescent="0.2">
      <c r="D77" s="113" t="str">
        <v>PF</v>
      </c>
      <c r="E77" s="121" t="str">
        <v>fraction of manure applied to soil within the feedlot boundary</v>
      </c>
      <c r="F77" s="132"/>
      <c r="G77" s="122"/>
      <c r="H77" s="113" t="str">
        <v>fraction</v>
      </c>
      <c r="I77" s="114" t="str">
        <v>Input</v>
      </c>
      <c r="J77" s="116" t="str" cm="1">
        <f t="array" aca="1" ref="J77" ca="1">HYPERLINK(Common_InputFunctions.Utility_SourceHyperlink($D$45),$D$45)</f>
        <v>Table_PF</v>
      </c>
    </row>
    <row r="79" spans="1:14" ht="20.100000000000001" customHeight="1" x14ac:dyDescent="0.2">
      <c r="D79" s="118" t="s">
        <v>458</v>
      </c>
      <c r="N79" s="118" t="s">
        <v>459</v>
      </c>
    </row>
    <row r="80" spans="1:14" ht="20.100000000000001" customHeight="1" x14ac:dyDescent="0.2">
      <c r="D80" s="119" t="s">
        <v>460</v>
      </c>
      <c r="N80" s="119" t="s">
        <v>461</v>
      </c>
    </row>
    <row r="81" spans="1:19" ht="20.100000000000001" customHeight="1" x14ac:dyDescent="0.2">
      <c r="D81" s="120" t="s">
        <v>368</v>
      </c>
      <c r="E81" s="120" t="s">
        <v>289</v>
      </c>
      <c r="F81" s="120" t="s">
        <v>290</v>
      </c>
      <c r="G81" s="120" t="s">
        <v>291</v>
      </c>
      <c r="N81" s="120" t="s">
        <v>368</v>
      </c>
      <c r="O81" s="120" t="s">
        <v>289</v>
      </c>
      <c r="P81" s="120" t="s">
        <v>290</v>
      </c>
      <c r="Q81" s="120" t="s">
        <v>291</v>
      </c>
    </row>
    <row r="82" spans="1:19" ht="20.100000000000001" customHeight="1" x14ac:dyDescent="0.2">
      <c r="D82" s="15" t="str">
        <f>INDEX(X_Table_Feedlot_MMS_Stage2,3,1)</f>
        <v>Solid storage</v>
      </c>
      <c r="E82" s="15" cm="1">
        <f t="array" aca="1" ref="E82" ca="1">MMS_Feedlot_ManureAppliedToSoils_Equations.VEERG_4_1_1_9__2_MassOfNitrogenAppliedToSoilsScope3(E22,_xlfn.XLOOKUP($D82, $D$30:$D$34,$E$30:$E$34),_xlfn.XLOOKUP($D82,$D$39:$D$43,$E$39:$E$43),$E48)</f>
        <v>232.87935250944011</v>
      </c>
      <c r="F82" s="15" cm="1">
        <f t="array" aca="1" ref="F82" ca="1">MMS_Feedlot_ManureAppliedToSoils_Equations.VEERG_4_1_1_9__2_MassOfNitrogenAppliedToSoilsScope3(F22,_xlfn.XLOOKUP($D82, $D$30:$D$34,$E$30:$E$34),_xlfn.XLOOKUP($D82,$D$39:$D$43,$E$39:$E$43),$E48)</f>
        <v>353.63994446592</v>
      </c>
      <c r="G82" s="15" cm="1">
        <f t="array" aca="1" ref="G82" ca="1">MMS_Feedlot_ManureAppliedToSoils_Equations.VEERG_4_1_1_9__2_MassOfNitrogenAppliedToSoilsScope3(G22,_xlfn.XLOOKUP($D82, $D$30:$D$34,$E$30:$E$34),_xlfn.XLOOKUP($D82,$D$39:$D$43,$E$39:$E$43),$E48)</f>
        <v>510.77788847999989</v>
      </c>
      <c r="H82" s="16" t="str">
        <f>$E$12</f>
        <v>kg N</v>
      </c>
      <c r="I82" s="16"/>
      <c r="J82" s="16"/>
      <c r="N82" s="15" t="str">
        <f>INDEX(X_Table_Feedlot_MMS_Stage2,3,1)</f>
        <v>Solid storage</v>
      </c>
      <c r="O82" s="15" cm="1">
        <f t="array" aca="1" ref="O82" ca="1">MMS_Feedlot_ManureAppliedToSoils_Equations.VEERG_4_1_1_9__2_MassOfNitrogenAppliedToSoilsScope3(O22,_xlfn.XLOOKUP($N82, $D$30:$D$34,$E$30:$E$34),_xlfn.XLOOKUP($N82,$D$39:$D$43,$E$39:$E$43),$E48)</f>
        <v>232.87935250944011</v>
      </c>
      <c r="P82" s="15" cm="1">
        <f t="array" aca="1" ref="P82" ca="1">MMS_Feedlot_ManureAppliedToSoils_Equations.VEERG_4_1_1_9__2_MassOfNitrogenAppliedToSoilsScope3(P22,_xlfn.XLOOKUP($N82, $D$30:$D$34,$E$30:$E$34),_xlfn.XLOOKUP($N82,$D$39:$D$43,$E$39:$E$43),$E48)</f>
        <v>353.63994446592</v>
      </c>
      <c r="Q82" s="15" cm="1">
        <f t="array" aca="1" ref="Q82" ca="1">MMS_Feedlot_ManureAppliedToSoils_Equations.VEERG_4_1_1_9__2_MassOfNitrogenAppliedToSoilsScope3(Q22,_xlfn.XLOOKUP($N82, $D$30:$D$34,$E$30:$E$34),_xlfn.XLOOKUP($N82,$D$39:$D$43,$E$39:$E$43),$E48)</f>
        <v>510.77788847999989</v>
      </c>
      <c r="R82" s="16" t="str">
        <f>$E$12</f>
        <v>kg N</v>
      </c>
    </row>
    <row r="83" spans="1:19" ht="20.100000000000001" customHeight="1" x14ac:dyDescent="0.2">
      <c r="D83" s="15" t="str">
        <f>INDEX(X_Table_Feedlot_MMS_Stage2,4,1)</f>
        <v>Composting (passive windrow)</v>
      </c>
      <c r="E83" s="15" cm="1">
        <f t="array" aca="1" ref="E83" ca="1">MMS_Feedlot_ManureAppliedToSoils_Equations.VEERG_4_1_1_9__2_MassOfNitrogenAppliedToSoilsScope3(E23,_xlfn.XLOOKUP($D83, $D$30:$D$34,$E$30:$E$34),_xlfn.XLOOKUP($D83,$D$39:$D$43,$E$39:$E$43),$E49)</f>
        <v>184.42794359808008</v>
      </c>
      <c r="F83" s="15" cm="1">
        <f t="array" aca="1" ref="F83" ca="1">MMS_Feedlot_ManureAppliedToSoils_Equations.VEERG_4_1_1_9__2_MassOfNitrogenAppliedToSoilsScope3(F23,_xlfn.XLOOKUP($D83, $D$30:$D$34,$E$30:$E$34),_xlfn.XLOOKUP($D83,$D$39:$D$43,$E$39:$E$43),$E49)</f>
        <v>280.06384863744</v>
      </c>
      <c r="G83" s="15" cm="1">
        <f t="array" aca="1" ref="G83" ca="1">MMS_Feedlot_ManureAppliedToSoils_Equations.VEERG_4_1_1_9__2_MassOfNitrogenAppliedToSoilsScope3(G23,_xlfn.XLOOKUP($D83, $D$30:$D$34,$E$30:$E$34),_xlfn.XLOOKUP($D83,$D$39:$D$43,$E$39:$E$43),$E49)</f>
        <v>404.5086633599999</v>
      </c>
      <c r="H83" s="16"/>
      <c r="I83" s="16"/>
      <c r="J83" s="16"/>
      <c r="N83" s="15" t="str">
        <f>INDEX(X_Table_Feedlot_MMS_Stage2,4,1)</f>
        <v>Composting (passive windrow)</v>
      </c>
      <c r="O83" s="15" cm="1">
        <f t="array" aca="1" ref="O83" ca="1">MMS_Feedlot_ManureAppliedToSoils_Equations.VEERG_4_1_1_9__2_MassOfNitrogenAppliedToSoilsScope3(O23,_xlfn.XLOOKUP($N83, $D$30:$D$34,$E$30:$E$34),_xlfn.XLOOKUP($N83,$D$39:$D$43,$E$39:$E$43),$E49)</f>
        <v>184.42794359808008</v>
      </c>
      <c r="P83" s="15" cm="1">
        <f t="array" aca="1" ref="P83" ca="1">MMS_Feedlot_ManureAppliedToSoils_Equations.VEERG_4_1_1_9__2_MassOfNitrogenAppliedToSoilsScope3(P23,_xlfn.XLOOKUP($N83, $D$30:$D$34,$E$30:$E$34),_xlfn.XLOOKUP($N83,$D$39:$D$43,$E$39:$E$43),$E49)</f>
        <v>280.06384863744</v>
      </c>
      <c r="Q83" s="15" cm="1">
        <f t="array" aca="1" ref="Q83" ca="1">MMS_Feedlot_ManureAppliedToSoils_Equations.VEERG_4_1_1_9__2_MassOfNitrogenAppliedToSoilsScope3(Q23,_xlfn.XLOOKUP($N83, $D$30:$D$34,$E$30:$E$34),_xlfn.XLOOKUP($N83,$D$39:$D$43,$E$39:$E$43),$E49)</f>
        <v>404.5086633599999</v>
      </c>
      <c r="R83" s="16"/>
    </row>
    <row r="84" spans="1:19" ht="20.100000000000001" customHeight="1" x14ac:dyDescent="0.2">
      <c r="D84" s="15" t="str">
        <f>INDEX(X_Table_Feedlot_MMS_Stage2,5,1)</f>
        <v>Direct application</v>
      </c>
      <c r="E84" s="15" cm="1">
        <f t="array" aca="1" ref="E84" ca="1">MMS_Feedlot_ManureAppliedToSoils_Equations.VEERG_4_1_1_9__2_MassOfNitrogenAppliedToSoilsScope3(E24,_xlfn.XLOOKUP($D84, $D$30:$D$34,$E$30:$E$34),_xlfn.XLOOKUP($D84,$D$39:$D$43,$E$39:$E$43),$E50)</f>
        <v>0</v>
      </c>
      <c r="F84" s="15" cm="1">
        <f t="array" aca="1" ref="F84" ca="1">MMS_Feedlot_ManureAppliedToSoils_Equations.VEERG_4_1_1_9__2_MassOfNitrogenAppliedToSoilsScope3(F24,_xlfn.XLOOKUP($D84, $D$30:$D$34,$E$30:$E$34),_xlfn.XLOOKUP($D84,$D$39:$D$43,$E$39:$E$43),$E50)</f>
        <v>0</v>
      </c>
      <c r="G84" s="15" cm="1">
        <f t="array" aca="1" ref="G84" ca="1">MMS_Feedlot_ManureAppliedToSoils_Equations.VEERG_4_1_1_9__2_MassOfNitrogenAppliedToSoilsScope3(G24,_xlfn.XLOOKUP($D84, $D$30:$D$34,$E$30:$E$34),_xlfn.XLOOKUP($D84,$D$39:$D$43,$E$39:$E$43),$E50)</f>
        <v>0</v>
      </c>
      <c r="H84" s="16"/>
      <c r="I84" s="16"/>
      <c r="J84" s="16"/>
      <c r="N84" s="15" t="str">
        <f>INDEX(X_Table_Feedlot_MMS_Stage2,5,1)</f>
        <v>Direct application</v>
      </c>
      <c r="O84" s="15" cm="1">
        <f t="array" aca="1" ref="O84" ca="1">MMS_Feedlot_ManureAppliedToSoils_Equations.VEERG_4_1_1_9__2_MassOfNitrogenAppliedToSoilsScope3(O24,_xlfn.XLOOKUP($N84, $D$30:$D$34,$E$30:$E$34),_xlfn.XLOOKUP($N84,$D$39:$D$43,$E$39:$E$43),$E50)</f>
        <v>0</v>
      </c>
      <c r="P84" s="15" cm="1">
        <f t="array" aca="1" ref="P84" ca="1">MMS_Feedlot_ManureAppliedToSoils_Equations.VEERG_4_1_1_9__2_MassOfNitrogenAppliedToSoilsScope3(P24,_xlfn.XLOOKUP($N84, $D$30:$D$34,$E$30:$E$34),_xlfn.XLOOKUP($N84,$D$39:$D$43,$E$39:$E$43),$E50)</f>
        <v>0</v>
      </c>
      <c r="Q84" s="15" cm="1">
        <f t="array" aca="1" ref="Q84" ca="1">MMS_Feedlot_ManureAppliedToSoils_Equations.VEERG_4_1_1_9__2_MassOfNitrogenAppliedToSoilsScope3(Q24,_xlfn.XLOOKUP($N84, $D$30:$D$34,$E$30:$E$34),_xlfn.XLOOKUP($N84,$D$39:$D$43,$E$39:$E$43),$E50)</f>
        <v>0</v>
      </c>
      <c r="R84" s="16"/>
    </row>
    <row r="85" spans="1:19" ht="20.100000000000001" customHeight="1" x14ac:dyDescent="0.2">
      <c r="D85" s="15" t="str">
        <f>INDEX(X_Table_Feedlot_MMS_Stage3,3,1)</f>
        <v>Anaerobic lagoon</v>
      </c>
      <c r="E85" s="15" cm="1">
        <f t="array" aca="1" ref="E85" ca="1">MMS_Feedlot_ManureAppliedToSoils_Equations.VEERG_4_1_1_9__2_MassOfNitrogenAppliedToSoilsScope3(E25,_xlfn.XLOOKUP($D85, $D$30:$D$34,$E$30:$E$34),_xlfn.XLOOKUP($D85,$D$39:$D$43,$E$39:$E$43),$E51)</f>
        <v>54.240076800000018</v>
      </c>
      <c r="F85" s="15" cm="1">
        <f t="array" aca="1" ref="F85" ca="1">MMS_Feedlot_ManureAppliedToSoils_Equations.VEERG_4_1_1_9__2_MassOfNitrogenAppliedToSoilsScope3(F25,_xlfn.XLOOKUP($D85, $D$30:$D$34,$E$30:$E$34),_xlfn.XLOOKUP($D85,$D$39:$D$43,$E$39:$E$43),$E51)</f>
        <v>82.366502400000016</v>
      </c>
      <c r="G85" s="15" cm="1">
        <f t="array" aca="1" ref="G85" ca="1">MMS_Feedlot_ManureAppliedToSoils_Equations.VEERG_4_1_1_9__2_MassOfNitrogenAppliedToSoilsScope3(G25,_xlfn.XLOOKUP($D85, $D$30:$D$34,$E$30:$E$34),_xlfn.XLOOKUP($D85,$D$39:$D$43,$E$39:$E$43),$E51)</f>
        <v>118.96559999999997</v>
      </c>
      <c r="H85" s="16"/>
      <c r="I85" s="16"/>
      <c r="J85" s="16"/>
      <c r="N85" s="15" t="str">
        <f>INDEX(X_Table_Feedlot_MMS_Stage3,3,1)</f>
        <v>Anaerobic lagoon</v>
      </c>
      <c r="O85" s="15" cm="1">
        <f t="array" aca="1" ref="O85" ca="1">MMS_Feedlot_ManureAppliedToSoils_Equations.VEERG_4_1_1_9__2_MassOfNitrogenAppliedToSoilsScope3(O25,_xlfn.XLOOKUP($N85, $D$30:$D$34,$E$30:$E$34),_xlfn.XLOOKUP($N85,$D$39:$D$43,$E$39:$E$43),$E51)</f>
        <v>54.240076800000018</v>
      </c>
      <c r="P85" s="15" cm="1">
        <f t="array" aca="1" ref="P85" ca="1">MMS_Feedlot_ManureAppliedToSoils_Equations.VEERG_4_1_1_9__2_MassOfNitrogenAppliedToSoilsScope3(P25,_xlfn.XLOOKUP($N85, $D$30:$D$34,$E$30:$E$34),_xlfn.XLOOKUP($N85,$D$39:$D$43,$E$39:$E$43),$E51)</f>
        <v>82.366502400000016</v>
      </c>
      <c r="Q85" s="15" cm="1">
        <f t="array" aca="1" ref="Q85" ca="1">MMS_Feedlot_ManureAppliedToSoils_Equations.VEERG_4_1_1_9__2_MassOfNitrogenAppliedToSoilsScope3(Q25,_xlfn.XLOOKUP($N85, $D$30:$D$34,$E$30:$E$34),_xlfn.XLOOKUP($N85,$D$39:$D$43,$E$39:$E$43),$E51)</f>
        <v>118.96559999999997</v>
      </c>
      <c r="R85" s="16"/>
    </row>
    <row r="87" spans="1:19" ht="20.100000000000001" customHeight="1" x14ac:dyDescent="0.2">
      <c r="D87" s="85" t="s">
        <v>462</v>
      </c>
      <c r="E87" s="86">
        <f ca="1">SUM(E82:G85)</f>
        <v>2221.8698202508799</v>
      </c>
      <c r="F87" s="95" t="str">
        <f>$E$12</f>
        <v>kg N</v>
      </c>
      <c r="N87" s="85" t="s">
        <v>462</v>
      </c>
      <c r="O87" s="86">
        <f ca="1">SUM(O82:Q85)</f>
        <v>2221.8698202508799</v>
      </c>
      <c r="P87" s="95" t="str">
        <f>$E$12</f>
        <v>kg N</v>
      </c>
    </row>
    <row r="90" spans="1:19" ht="20.100000000000001" customHeight="1" x14ac:dyDescent="0.2">
      <c r="C90" s="83"/>
      <c r="D90" s="83"/>
      <c r="E90" s="83"/>
      <c r="F90" s="83"/>
      <c r="G90" s="83"/>
      <c r="H90" s="83"/>
      <c r="I90" s="83"/>
      <c r="J90" s="83"/>
      <c r="K90" s="83"/>
      <c r="L90" s="133"/>
      <c r="M90" s="83"/>
      <c r="N90" s="83"/>
      <c r="O90" s="83"/>
      <c r="P90" s="83"/>
      <c r="Q90" s="83"/>
      <c r="R90" s="83"/>
      <c r="S90" s="83"/>
    </row>
    <row r="91" spans="1:19" ht="20.100000000000001" customHeight="1" x14ac:dyDescent="0.2">
      <c r="D91" s="129" t="str">
        <f>"Below are applications of " &amp; D6 &amp; " that are applied to the following contexts:"</f>
        <v>Below are applications of VEERG 2026: 4.1.1.9, Equation (1) that are applied to the following contexts:</v>
      </c>
      <c r="E91" s="43"/>
      <c r="F91" s="43"/>
      <c r="G91" s="43"/>
      <c r="H91" s="44"/>
    </row>
    <row r="92" spans="1:19" ht="20.100000000000001" customHeight="1" x14ac:dyDescent="0.2">
      <c r="D92" s="45" t="s">
        <v>463</v>
      </c>
      <c r="E92" s="46"/>
      <c r="F92" s="46"/>
      <c r="G92" s="46"/>
      <c r="H92" s="47"/>
    </row>
    <row r="94" spans="1:19" ht="20.100000000000001" customHeight="1" x14ac:dyDescent="0.2">
      <c r="D94" s="2" t="s">
        <v>464</v>
      </c>
    </row>
    <row r="95" spans="1:19" ht="20.100000000000001" customHeight="1" x14ac:dyDescent="0.2">
      <c r="D95" s="118" t="s">
        <v>465</v>
      </c>
    </row>
    <row r="96" spans="1:19" ht="20.100000000000001" customHeight="1" x14ac:dyDescent="0.2">
      <c r="A96" s="79" t="str">
        <f>HYPERLINK("#A1", "▲ Back to top")</f>
        <v>▲ Back to top</v>
      </c>
      <c r="D96" s="119" t="s">
        <v>466</v>
      </c>
    </row>
    <row r="97" spans="4:18" ht="20.100000000000001" customHeight="1" x14ac:dyDescent="0.2">
      <c r="D97" s="99" t="s">
        <v>368</v>
      </c>
      <c r="E97" s="99" t="s">
        <v>467</v>
      </c>
    </row>
    <row r="98" spans="4:18" ht="20.100000000000001" customHeight="1" x14ac:dyDescent="0.2">
      <c r="D98" s="15" t="str">
        <f>INDEX(X_Table_Feedlot_MMS_Stage2,3,1)</f>
        <v>Solid storage</v>
      </c>
      <c r="E98" s="15">
        <f>INDEX(X_Table_Feedlot_MMS_Stage2_Destinations,3,2)</f>
        <v>0.25</v>
      </c>
      <c r="F98" s="16" t="s">
        <v>299</v>
      </c>
    </row>
    <row r="99" spans="4:18" ht="20.100000000000001" customHeight="1" x14ac:dyDescent="0.2">
      <c r="D99" s="15" t="str">
        <f>INDEX(X_Table_Feedlot_MMS_Stage2,4,1)</f>
        <v>Composting (passive windrow)</v>
      </c>
      <c r="E99" s="15">
        <f>INDEX(X_Table_Feedlot_MMS_Stage2_Destinations,4,2)</f>
        <v>0.25</v>
      </c>
      <c r="F99" s="16"/>
    </row>
    <row r="100" spans="4:18" ht="20.100000000000001" customHeight="1" x14ac:dyDescent="0.2">
      <c r="D100" s="15" t="str">
        <f>INDEX(X_Table_Feedlot_MMS_Stage2,5,1)</f>
        <v>Direct application</v>
      </c>
      <c r="E100" s="15">
        <v>0</v>
      </c>
      <c r="F100" s="16"/>
    </row>
    <row r="101" spans="4:18" ht="20.100000000000001" customHeight="1" x14ac:dyDescent="0.2">
      <c r="D101" s="15" t="str">
        <f>INDEX(X_Table_Feedlot_MMS_Stage3,3,1)</f>
        <v>Anaerobic lagoon</v>
      </c>
      <c r="E101" s="15">
        <f>INDEX(X_Table_Feedlot_MMS_Stage3_Destinations,3,2)</f>
        <v>0.25</v>
      </c>
      <c r="F101" s="16"/>
    </row>
    <row r="103" spans="4:18" ht="20.100000000000001" customHeight="1" x14ac:dyDescent="0.2">
      <c r="D103" s="118" t="s">
        <v>468</v>
      </c>
      <c r="N103" s="118" t="s">
        <v>469</v>
      </c>
    </row>
    <row r="104" spans="4:18" ht="20.100000000000001" customHeight="1" x14ac:dyDescent="0.2">
      <c r="D104" s="119" t="s">
        <v>470</v>
      </c>
      <c r="N104" s="119" t="s">
        <v>471</v>
      </c>
    </row>
    <row r="105" spans="4:18" ht="20.100000000000001" customHeight="1" x14ac:dyDescent="0.2">
      <c r="D105" s="120" t="s">
        <v>368</v>
      </c>
      <c r="E105" s="120" t="s">
        <v>289</v>
      </c>
      <c r="F105" s="120" t="s">
        <v>290</v>
      </c>
      <c r="G105" s="120" t="s">
        <v>291</v>
      </c>
      <c r="N105" s="120" t="s">
        <v>368</v>
      </c>
      <c r="O105" s="120" t="s">
        <v>289</v>
      </c>
      <c r="P105" s="120" t="s">
        <v>290</v>
      </c>
      <c r="Q105" s="120" t="s">
        <v>291</v>
      </c>
    </row>
    <row r="106" spans="4:18" ht="20.100000000000001" customHeight="1" x14ac:dyDescent="0.2">
      <c r="D106" s="15" t="str">
        <f>INDEX(X_Table_Feedlot_MMS_Stage2,3,1)</f>
        <v>Solid storage</v>
      </c>
      <c r="E106" s="15" cm="1">
        <f t="array" aca="1" ref="E106" ca="1">MMS_Feedlot_ManureAppliedToSoils_Equations.VEERG_4_1_1_9__1_MassOfNitrogenAppliedToSoilsScope1(E22,_xlfn.XLOOKUP($D106,$D$30:$D$34,$E$30:$E$34),_xlfn.XLOOKUP($D106,$D$39:$D$43,$E$39:$E$43),$E98)</f>
        <v>232.87935250944011</v>
      </c>
      <c r="F106" s="15" cm="1">
        <f t="array" aca="1" ref="F106" ca="1">MMS_Feedlot_ManureAppliedToSoils_Equations.VEERG_4_1_1_9__1_MassOfNitrogenAppliedToSoilsScope1(F22,_xlfn.XLOOKUP($D106,$D$30:$D$34,$E$30:$E$34),_xlfn.XLOOKUP($D106,$D$39:$D$43,$E$39:$E$43),$E98)</f>
        <v>353.63994446592</v>
      </c>
      <c r="G106" s="15" cm="1">
        <f t="array" aca="1" ref="G106" ca="1">MMS_Feedlot_ManureAppliedToSoils_Equations.VEERG_4_1_1_9__1_MassOfNitrogenAppliedToSoilsScope1(G22,_xlfn.XLOOKUP($D106,$D$30:$D$34,$E$30:$E$34),_xlfn.XLOOKUP($D106,$D$39:$D$43,$E$39:$E$43),$E98)</f>
        <v>510.77788847999989</v>
      </c>
      <c r="H106" s="16" t="str">
        <f>$E$12</f>
        <v>kg N</v>
      </c>
      <c r="I106" s="16"/>
      <c r="J106" s="16"/>
      <c r="N106" s="15" t="str">
        <f>INDEX(X_Table_Feedlot_MMS_Stage2,3,1)</f>
        <v>Solid storage</v>
      </c>
      <c r="O106" s="15" cm="1">
        <f t="array" aca="1" ref="O106" ca="1">MMS_Feedlot_ManureAppliedToSoils_Equations.VEERG_4_1_1_9__1_MassOfNitrogenAppliedToSoilsScope1(O22,_xlfn.XLOOKUP($N106,$D$30:$D$34,$E$30:$E$34),_xlfn.XLOOKUP($N106,$D$39:$D$43,$E$39:$E$43),$E98)</f>
        <v>232.87935250944011</v>
      </c>
      <c r="P106" s="15" cm="1">
        <f t="array" aca="1" ref="P106" ca="1">MMS_Feedlot_ManureAppliedToSoils_Equations.VEERG_4_1_1_9__1_MassOfNitrogenAppliedToSoilsScope1(P22,_xlfn.XLOOKUP($N106,$D$30:$D$34,$E$30:$E$34),_xlfn.XLOOKUP($N106,$D$39:$D$43,$E$39:$E$43),$E98)</f>
        <v>353.63994446592</v>
      </c>
      <c r="Q106" s="15" cm="1">
        <f t="array" aca="1" ref="Q106" ca="1">MMS_Feedlot_ManureAppliedToSoils_Equations.VEERG_4_1_1_9__1_MassOfNitrogenAppliedToSoilsScope1(Q22,_xlfn.XLOOKUP($N106,$D$30:$D$34,$E$30:$E$34),_xlfn.XLOOKUP($N106,$D$39:$D$43,$E$39:$E$43),$E98)</f>
        <v>510.77788847999989</v>
      </c>
      <c r="R106" s="16" t="str">
        <f>$E$12</f>
        <v>kg N</v>
      </c>
    </row>
    <row r="107" spans="4:18" ht="20.100000000000001" customHeight="1" x14ac:dyDescent="0.2">
      <c r="D107" s="15" t="str">
        <f>INDEX(X_Table_Feedlot_MMS_Stage2,4,1)</f>
        <v>Composting (passive windrow)</v>
      </c>
      <c r="E107" s="15" cm="1">
        <f t="array" aca="1" ref="E107" ca="1">MMS_Feedlot_ManureAppliedToSoils_Equations.VEERG_4_1_1_9__1_MassOfNitrogenAppliedToSoilsScope1(E23,_xlfn.XLOOKUP($D107,$D$30:$D$34,$E$30:$E$34),_xlfn.XLOOKUP($D107,$D$39:$D$43,$E$39:$E$43),$E99)</f>
        <v>184.42794359808008</v>
      </c>
      <c r="F107" s="15" cm="1">
        <f t="array" aca="1" ref="F107" ca="1">MMS_Feedlot_ManureAppliedToSoils_Equations.VEERG_4_1_1_9__1_MassOfNitrogenAppliedToSoilsScope1(F23,_xlfn.XLOOKUP($D107,$D$30:$D$34,$E$30:$E$34),_xlfn.XLOOKUP($D107,$D$39:$D$43,$E$39:$E$43),$E99)</f>
        <v>280.06384863744</v>
      </c>
      <c r="G107" s="15" cm="1">
        <f t="array" aca="1" ref="G107" ca="1">MMS_Feedlot_ManureAppliedToSoils_Equations.VEERG_4_1_1_9__1_MassOfNitrogenAppliedToSoilsScope1(G23,_xlfn.XLOOKUP($D107,$D$30:$D$34,$E$30:$E$34),_xlfn.XLOOKUP($D107,$D$39:$D$43,$E$39:$E$43),$E99)</f>
        <v>404.5086633599999</v>
      </c>
      <c r="H107" s="16"/>
      <c r="I107" s="16"/>
      <c r="J107" s="16"/>
      <c r="N107" s="15" t="str">
        <f>INDEX(X_Table_Feedlot_MMS_Stage2,4,1)</f>
        <v>Composting (passive windrow)</v>
      </c>
      <c r="O107" s="15" cm="1">
        <f t="array" aca="1" ref="O107" ca="1">MMS_Feedlot_ManureAppliedToSoils_Equations.VEERG_4_1_1_9__1_MassOfNitrogenAppliedToSoilsScope1(O23,_xlfn.XLOOKUP($N107,$D$30:$D$34,$E$30:$E$34),_xlfn.XLOOKUP($N107,$D$39:$D$43,$E$39:$E$43),$E99)</f>
        <v>184.42794359808008</v>
      </c>
      <c r="P107" s="15" cm="1">
        <f t="array" aca="1" ref="P107" ca="1">MMS_Feedlot_ManureAppliedToSoils_Equations.VEERG_4_1_1_9__1_MassOfNitrogenAppliedToSoilsScope1(P23,_xlfn.XLOOKUP($N107,$D$30:$D$34,$E$30:$E$34),_xlfn.XLOOKUP($N107,$D$39:$D$43,$E$39:$E$43),$E99)</f>
        <v>280.06384863744</v>
      </c>
      <c r="Q107" s="15" cm="1">
        <f t="array" aca="1" ref="Q107" ca="1">MMS_Feedlot_ManureAppliedToSoils_Equations.VEERG_4_1_1_9__1_MassOfNitrogenAppliedToSoilsScope1(Q23,_xlfn.XLOOKUP($N107,$D$30:$D$34,$E$30:$E$34),_xlfn.XLOOKUP($N107,$D$39:$D$43,$E$39:$E$43),$E99)</f>
        <v>404.5086633599999</v>
      </c>
      <c r="R107" s="16"/>
    </row>
    <row r="108" spans="4:18" ht="20.100000000000001" customHeight="1" x14ac:dyDescent="0.2">
      <c r="D108" s="15" t="str">
        <f>INDEX(X_Table_Feedlot_MMS_Stage2,5,1)</f>
        <v>Direct application</v>
      </c>
      <c r="E108" s="15" cm="1">
        <f t="array" aca="1" ref="E108" ca="1">MMS_Feedlot_ManureAppliedToSoils_Equations.VEERG_4_1_1_9__1_MassOfNitrogenAppliedToSoilsScope1(E24,_xlfn.XLOOKUP($D108,$D$30:$D$34,$E$30:$E$34),_xlfn.XLOOKUP($D108,$D$39:$D$43,$E$39:$E$43),$E100)</f>
        <v>0</v>
      </c>
      <c r="F108" s="15" cm="1">
        <f t="array" aca="1" ref="F108" ca="1">MMS_Feedlot_ManureAppliedToSoils_Equations.VEERG_4_1_1_9__1_MassOfNitrogenAppliedToSoilsScope1(F24,_xlfn.XLOOKUP($D108,$D$30:$D$34,$E$30:$E$34),_xlfn.XLOOKUP($D108,$D$39:$D$43,$E$39:$E$43),$E100)</f>
        <v>0</v>
      </c>
      <c r="G108" s="15" cm="1">
        <f t="array" aca="1" ref="G108" ca="1">MMS_Feedlot_ManureAppliedToSoils_Equations.VEERG_4_1_1_9__1_MassOfNitrogenAppliedToSoilsScope1(G24,_xlfn.XLOOKUP($D108,$D$30:$D$34,$E$30:$E$34),_xlfn.XLOOKUP($D108,$D$39:$D$43,$E$39:$E$43),$E100)</f>
        <v>0</v>
      </c>
      <c r="H108" s="16"/>
      <c r="I108" s="16"/>
      <c r="J108" s="16"/>
      <c r="N108" s="15" t="str">
        <f>INDEX(X_Table_Feedlot_MMS_Stage2,5,1)</f>
        <v>Direct application</v>
      </c>
      <c r="O108" s="15" cm="1">
        <f t="array" aca="1" ref="O108" ca="1">MMS_Feedlot_ManureAppliedToSoils_Equations.VEERG_4_1_1_9__1_MassOfNitrogenAppliedToSoilsScope1(O24,_xlfn.XLOOKUP($N108,$D$30:$D$34,$E$30:$E$34),_xlfn.XLOOKUP($N108,$D$39:$D$43,$E$39:$E$43),$E100)</f>
        <v>0</v>
      </c>
      <c r="P108" s="15" cm="1">
        <f t="array" aca="1" ref="P108" ca="1">MMS_Feedlot_ManureAppliedToSoils_Equations.VEERG_4_1_1_9__1_MassOfNitrogenAppliedToSoilsScope1(P24,_xlfn.XLOOKUP($N108,$D$30:$D$34,$E$30:$E$34),_xlfn.XLOOKUP($N108,$D$39:$D$43,$E$39:$E$43),$E100)</f>
        <v>0</v>
      </c>
      <c r="Q108" s="15" cm="1">
        <f t="array" aca="1" ref="Q108" ca="1">MMS_Feedlot_ManureAppliedToSoils_Equations.VEERG_4_1_1_9__1_MassOfNitrogenAppliedToSoilsScope1(Q24,_xlfn.XLOOKUP($N108,$D$30:$D$34,$E$30:$E$34),_xlfn.XLOOKUP($N108,$D$39:$D$43,$E$39:$E$43),$E100)</f>
        <v>0</v>
      </c>
      <c r="R108" s="16"/>
    </row>
    <row r="109" spans="4:18" ht="20.100000000000001" customHeight="1" x14ac:dyDescent="0.2">
      <c r="D109" s="15" t="str">
        <f>INDEX(X_Table_Feedlot_MMS_Stage3,3,1)</f>
        <v>Anaerobic lagoon</v>
      </c>
      <c r="E109" s="15" cm="1">
        <f t="array" aca="1" ref="E109" ca="1">MMS_Feedlot_ManureAppliedToSoils_Equations.VEERG_4_1_1_9__1_MassOfNitrogenAppliedToSoilsScope1(E25,_xlfn.XLOOKUP($D109,$D$30:$D$34,$E$30:$E$34),_xlfn.XLOOKUP($D109,$D$39:$D$43,$E$39:$E$43),$E101)</f>
        <v>54.240076800000018</v>
      </c>
      <c r="F109" s="15" cm="1">
        <f t="array" aca="1" ref="F109" ca="1">MMS_Feedlot_ManureAppliedToSoils_Equations.VEERG_4_1_1_9__1_MassOfNitrogenAppliedToSoilsScope1(F25,_xlfn.XLOOKUP($D109,$D$30:$D$34,$E$30:$E$34),_xlfn.XLOOKUP($D109,$D$39:$D$43,$E$39:$E$43),$E101)</f>
        <v>82.366502400000016</v>
      </c>
      <c r="G109" s="15" cm="1">
        <f t="array" aca="1" ref="G109" ca="1">MMS_Feedlot_ManureAppliedToSoils_Equations.VEERG_4_1_1_9__1_MassOfNitrogenAppliedToSoilsScope1(G25,_xlfn.XLOOKUP($D109,$D$30:$D$34,$E$30:$E$34),_xlfn.XLOOKUP($D109,$D$39:$D$43,$E$39:$E$43),$E101)</f>
        <v>118.96559999999997</v>
      </c>
      <c r="H109" s="16"/>
      <c r="I109" s="16"/>
      <c r="J109" s="16"/>
      <c r="N109" s="15" t="str">
        <f>INDEX(X_Table_Feedlot_MMS_Stage3,3,1)</f>
        <v>Anaerobic lagoon</v>
      </c>
      <c r="O109" s="15" cm="1">
        <f t="array" aca="1" ref="O109" ca="1">MMS_Feedlot_ManureAppliedToSoils_Equations.VEERG_4_1_1_9__1_MassOfNitrogenAppliedToSoilsScope1(O25,_xlfn.XLOOKUP($N109,$D$30:$D$34,$E$30:$E$34),_xlfn.XLOOKUP($N109,$D$39:$D$43,$E$39:$E$43),$E101)</f>
        <v>54.240076800000018</v>
      </c>
      <c r="P109" s="15" cm="1">
        <f t="array" aca="1" ref="P109" ca="1">MMS_Feedlot_ManureAppliedToSoils_Equations.VEERG_4_1_1_9__1_MassOfNitrogenAppliedToSoilsScope1(P25,_xlfn.XLOOKUP($N109,$D$30:$D$34,$E$30:$E$34),_xlfn.XLOOKUP($N109,$D$39:$D$43,$E$39:$E$43),$E101)</f>
        <v>82.366502400000016</v>
      </c>
      <c r="Q109" s="15" cm="1">
        <f t="array" aca="1" ref="Q109" ca="1">MMS_Feedlot_ManureAppliedToSoils_Equations.VEERG_4_1_1_9__1_MassOfNitrogenAppliedToSoilsScope1(Q25,_xlfn.XLOOKUP($N109,$D$30:$D$34,$E$30:$E$34),_xlfn.XLOOKUP($N109,$D$39:$D$43,$E$39:$E$43),$E101)</f>
        <v>118.96559999999997</v>
      </c>
      <c r="R109" s="16"/>
    </row>
    <row r="111" spans="4:18" ht="20.100000000000001" customHeight="1" x14ac:dyDescent="0.2">
      <c r="D111" s="85" t="s">
        <v>472</v>
      </c>
      <c r="E111" s="86">
        <f ca="1">SUM(E106:G109)</f>
        <v>2221.8698202508799</v>
      </c>
      <c r="F111" s="95" t="str">
        <f>$E$12</f>
        <v>kg N</v>
      </c>
      <c r="N111" s="85" t="s">
        <v>472</v>
      </c>
      <c r="O111" s="86">
        <f ca="1">SUM(O106:Q109)</f>
        <v>2221.8698202508799</v>
      </c>
      <c r="P111" s="95" t="str">
        <f>$E$12</f>
        <v>kg N</v>
      </c>
    </row>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6A260-4E40-449D-9A73-765081AA76E9}">
  <sheetPr>
    <tabColor rgb="FF008000"/>
  </sheetPr>
  <dimension ref="A1:R34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0" customFormat="1" ht="30" customHeight="1" x14ac:dyDescent="0.35">
      <c r="A1" s="10" t="e" vm="1">
        <v>#VALUE!</v>
      </c>
      <c r="C1" s="20" t="s">
        <v>597</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52"/>
      <c r="P5" s="152"/>
      <c r="Q5" s="152"/>
    </row>
    <row r="6" spans="1:18" ht="20.100000000000001" customHeight="1" x14ac:dyDescent="0.2">
      <c r="D6" s="17" t="str" cm="1">
        <f t="array" ref="D6">Fuel_Equations.VEERG_8_1_1_1__1_FuelCombustionTransport_Source()</f>
        <v>VEERG 2026: 8.1.1.1, Equation (1)</v>
      </c>
      <c r="K6" s="17" t="str" cm="1">
        <f t="array" ref="K6">Scope3_Equations.VEERG_15_11_1_1__2_UpstreamTransportFuelEmissions_Source()</f>
        <v>VEERG 2026: 15.11.1.1, Equation (2)</v>
      </c>
      <c r="O6" s="152"/>
      <c r="P6" s="152"/>
      <c r="Q6" s="152"/>
    </row>
    <row r="7" spans="1:18" ht="20.100000000000001" customHeight="1" x14ac:dyDescent="0.2">
      <c r="D7" s="112" t="s">
        <v>321</v>
      </c>
      <c r="E7" s="112" t="str" cm="1">
        <f t="array" aca="1" ref="E7" ca="1">Common_InputFunctions.Utility_DisplayFunctionName(N25)</f>
        <v>=Fuel_Equations.VEERG_8_1_1_1__1_FuelCombustionTransport</v>
      </c>
      <c r="K7" s="112" t="s">
        <v>321</v>
      </c>
      <c r="L7" s="112" t="str" cm="1">
        <f t="array" aca="1" ref="L7" ca="1">Common_InputFunctions.Utility_DisplayFunctionName(Q25)</f>
        <v>=Scope3_Equations.VEERG_15_11_1_1__2_UpstreamTransportFuelEmissions</v>
      </c>
      <c r="O7" s="152"/>
      <c r="P7" s="152"/>
      <c r="Q7" s="152"/>
    </row>
    <row r="8" spans="1:18" ht="20.100000000000001" customHeight="1" x14ac:dyDescent="0.2">
      <c r="A8" s="7" t="s">
        <v>0</v>
      </c>
      <c r="E8" s="112"/>
      <c r="L8" s="112"/>
      <c r="O8" s="152"/>
      <c r="P8" s="152"/>
      <c r="Q8" s="152"/>
    </row>
    <row r="9" spans="1:18" ht="20.100000000000001" customHeight="1" x14ac:dyDescent="0.2">
      <c r="A9" s="5" t="str">
        <f>HYPERLINK("#'Input - Enterprise'!A1", "Enterprise")</f>
        <v>Enterprise</v>
      </c>
      <c r="G9" s="17"/>
      <c r="O9" s="152"/>
      <c r="P9" s="152"/>
      <c r="Q9" s="152"/>
    </row>
    <row r="10" spans="1:18" ht="20.100000000000001" customHeight="1" x14ac:dyDescent="0.2">
      <c r="A10" s="5" t="str">
        <f>HYPERLINK("#'Input - Site'!A1", "Site")</f>
        <v>Site</v>
      </c>
      <c r="O10" s="152"/>
      <c r="P10" s="152"/>
      <c r="Q10" s="152"/>
    </row>
    <row r="11" spans="1:18" ht="20.100000000000001" customHeight="1" x14ac:dyDescent="0.2">
      <c r="A11" s="5" t="str">
        <f>HYPERLINK("#'Input - Feedlot'!A1", "Feedlot")</f>
        <v>Feedlot</v>
      </c>
      <c r="D11" s="75" t="s">
        <v>322</v>
      </c>
      <c r="E11" s="1" t="str" cm="1">
        <f t="array" ref="E11">Fuel_Equations.VEERG_8_1_1_1__1_FuelCombustionTransport_Variable()</f>
        <v>E_g</v>
      </c>
      <c r="K11" s="75" t="s">
        <v>322</v>
      </c>
      <c r="L11" s="1" t="str" cm="1">
        <f t="array" ref="L11">Scope3_Equations.VEERG_15_11_1_1__2_UpstreamTransportFuelEmissions_Variable()</f>
        <v>E_WTTtransq</v>
      </c>
      <c r="O11" s="152"/>
      <c r="P11" s="152"/>
      <c r="Q11" s="152"/>
    </row>
    <row r="12" spans="1:18" ht="20.100000000000001" customHeight="1" x14ac:dyDescent="0.2">
      <c r="A12" s="5" t="str">
        <f>HYPERLINK("#'Input - Livestock sales'!A1", "Livestock sales")</f>
        <v>Livestock sales</v>
      </c>
      <c r="D12" s="75" t="s">
        <v>118</v>
      </c>
      <c r="E12" s="9" t="str" cm="1">
        <f t="array" ref="E12">Fuel_Equations.VEERG_8_1_1_1__1_FuelCombustionTransport_Unit()</f>
        <v>t CO2-e</v>
      </c>
      <c r="K12" s="75" t="s">
        <v>118</v>
      </c>
      <c r="L12" s="9" t="str" cm="1">
        <f t="array" ref="L12">Scope3_Equations.VEERG_15_11_1_1__2_UpstreamTransportFuelEmissions_Unit()</f>
        <v>t CO2e</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Fuel'!A1", "Fuel")</f>
        <v>Fuel</v>
      </c>
      <c r="D14" s="113" t="str" cm="1">
        <f t="array" ref="D14:E20">_xlfn.CHOOSECOLS(Fuel_Equations.VEERG_8_1_1_1__1_FuelCombustionTransport_Arguments(), 1,2)</f>
        <v>Q_Transtq</v>
      </c>
      <c r="E14" s="121" t="str">
        <v>Amount of fuel type q combusted for transport energy purposes</v>
      </c>
      <c r="F14" s="122"/>
      <c r="G14" s="113" t="str" cm="1">
        <f t="array" ref="G14:H20">_xlfn.CHOOSECOLS(Fuel_Equations.VEERG_8_1_1_1__1_FuelCombustionTransport_Arguments(), 3,4)</f>
        <v>Varies based on fuel type: kL, m3, GJ</v>
      </c>
      <c r="H14" s="114" t="str">
        <v>Input</v>
      </c>
      <c r="I14" s="116" t="str" cm="1">
        <f t="array" aca="1" ref="I14" ca="1">HYPERLINK(Common_InputFunctions.Utility_SourceHyperlink($D$22), $D$22)</f>
        <v>Table_E_g</v>
      </c>
      <c r="K14" s="113" t="str" cm="1">
        <f t="array" ref="K14:L16">_xlfn.CHOOSECOLS(Scope3_Equations.VEERG_15_11_1_1__2_UpstreamTransportFuelEmissions_Arguments(),1,2)</f>
        <v>Q_Transq</v>
      </c>
      <c r="L14" s="113" t="str">
        <v>amount of fuel q combusted for transport energy purposes</v>
      </c>
      <c r="M14" s="113"/>
      <c r="N14" s="113" t="str" cm="1">
        <f t="array" ref="N14:O16">_xlfn.CHOOSECOLS(Scope3_Equations.VEERG_15_11_1_1__2_UpstreamTransportFuelEmissions_Arguments(),3,4)</f>
        <v>kL</v>
      </c>
      <c r="O14" s="114" t="str">
        <v>Input</v>
      </c>
      <c r="P14" s="116" t="str" cm="1">
        <f t="array" aca="1" ref="P14" ca="1">HYPERLINK(Common_InputFunctions.Utility_SourceHyperlink($D$22), $D$22)</f>
        <v>Table_E_g</v>
      </c>
      <c r="Q14" s="152"/>
    </row>
    <row r="15" spans="1:18" ht="20.100000000000001" customHeight="1" x14ac:dyDescent="0.2">
      <c r="A15" s="5" t="str">
        <f>HYPERLINK("#'Input - Electricity'!A1", "Electricity")</f>
        <v>Electricity</v>
      </c>
      <c r="D15" s="113" t="str">
        <v>EC_Transq</v>
      </c>
      <c r="E15" s="121" t="str">
        <v>Energy content factor for transport energy purposes</v>
      </c>
      <c r="F15" s="122"/>
      <c r="G15" s="113" t="str">
        <v>GJ / unit of fuel</v>
      </c>
      <c r="H15" s="115" t="str">
        <v>Constant</v>
      </c>
      <c r="I15" s="116" t="str" cm="1">
        <f t="array" aca="1" ref="I15" ca="1">HYPERLINK(Common_InputFunctions.Utility_SourceHyperlink($D$22), $D$22)</f>
        <v>Table_E_g</v>
      </c>
      <c r="K15" s="113" t="str">
        <v>EC_Transq</v>
      </c>
      <c r="L15" s="113" t="str">
        <v>energy content factor for transport energy purposes</v>
      </c>
      <c r="M15" s="113"/>
      <c r="N15" s="113" t="str">
        <v>GJ/kL or GJ/m3</v>
      </c>
      <c r="O15" s="115" t="str">
        <v>Constant</v>
      </c>
      <c r="P15" s="116" t="str" cm="1">
        <f t="array" aca="1" ref="P15" ca="1">HYPERLINK(Common_InputFunctions.Utility_SourceHyperlink($D$22), $D$22)</f>
        <v>Table_E_g</v>
      </c>
      <c r="Q15" s="152"/>
    </row>
    <row r="16" spans="1:18" ht="20.100000000000001" customHeight="1" x14ac:dyDescent="0.2">
      <c r="A16" s="5" t="str">
        <f>HYPERLINK("#'Input - Common farm inputs'!A1", "Common farm inputs")</f>
        <v>Common farm inputs</v>
      </c>
      <c r="D16" s="113" t="str">
        <v>EF_Trans1tqg</v>
      </c>
      <c r="E16" s="121" t="str">
        <v>Scope 1 emission factor for transport energy purposes for each greenhouse gas</v>
      </c>
      <c r="F16" s="122"/>
      <c r="G16" s="113" t="str">
        <v>kg CO2e / GJ</v>
      </c>
      <c r="H16" s="115" t="str">
        <v>Constant</v>
      </c>
      <c r="I16" s="116" t="str" cm="1">
        <f t="array" aca="1" ref="I16" ca="1">HYPERLINK(Common_InputFunctions.Utility_SourceHyperlink($D$22), $D$22)</f>
        <v>Table_E_g</v>
      </c>
      <c r="K16" s="113" t="str">
        <v>EF_Trans3q</v>
      </c>
      <c r="L16" s="113" t="str">
        <v>scope 3 emission factor for transport energy purposes</v>
      </c>
      <c r="M16" s="113"/>
      <c r="N16" s="113" t="str">
        <v>kg CO2e/GJ</v>
      </c>
      <c r="O16" s="115" t="str">
        <v>Constant</v>
      </c>
      <c r="P16" s="116" t="str" cm="1">
        <f t="array" aca="1" ref="P16" ca="1">HYPERLINK(Common_InputFunctions.Utility_SourceHyperlink($D$22), $D$22)</f>
        <v>Table_E_g</v>
      </c>
      <c r="Q16" s="152"/>
    </row>
    <row r="17" spans="1:17" ht="20.100000000000001" customHeight="1" x14ac:dyDescent="0.2">
      <c r="A17" s="5" t="str">
        <f>HYPERLINK("#'Input - Livestock farm Inputs'!A1", "Livestock farm Inputs")</f>
        <v>Livestock farm Inputs</v>
      </c>
      <c r="D17" s="113" t="str">
        <v>q</v>
      </c>
      <c r="E17" s="121" t="str">
        <v>Fuel type</v>
      </c>
      <c r="F17" s="122"/>
      <c r="G17" s="113" t="str">
        <v/>
      </c>
      <c r="H17" s="115" t="str">
        <v>Constant</v>
      </c>
      <c r="I17" s="116"/>
      <c r="J17" s="152"/>
      <c r="P17" s="152"/>
      <c r="Q17" s="152"/>
    </row>
    <row r="18" spans="1:17" ht="20.100000000000001" customHeight="1" x14ac:dyDescent="0.2">
      <c r="A18" s="5" t="str">
        <f>HYPERLINK("#'Input - Freight'!A1", "Freight")</f>
        <v>Freight</v>
      </c>
      <c r="D18" s="113" t="str">
        <v>Trans</v>
      </c>
      <c r="E18" s="121" t="str">
        <v>Transport combustion</v>
      </c>
      <c r="F18" s="122"/>
      <c r="G18" s="113" t="str">
        <v/>
      </c>
      <c r="H18" s="115" t="str">
        <v>Constant</v>
      </c>
      <c r="I18" s="116"/>
      <c r="J18" s="152"/>
      <c r="L18" s="152"/>
      <c r="M18" s="152"/>
      <c r="N18" s="152"/>
      <c r="O18" s="152"/>
      <c r="P18" s="152"/>
      <c r="Q18" s="152"/>
    </row>
    <row r="19" spans="1:17" ht="20.100000000000001" customHeight="1" x14ac:dyDescent="0.2">
      <c r="A19" s="5" t="str">
        <f>HYPERLINK("#'Input - Solid waste'!A1", "Solid waste")</f>
        <v>Solid waste</v>
      </c>
      <c r="D19" s="113" t="str">
        <v>g</v>
      </c>
      <c r="E19" s="121" t="str">
        <v>Greenhouse gas</v>
      </c>
      <c r="F19" s="122"/>
      <c r="G19" s="113" t="str">
        <v/>
      </c>
      <c r="H19" s="115" t="str">
        <v>Constant</v>
      </c>
      <c r="I19" s="116"/>
      <c r="J19" s="152"/>
      <c r="L19" s="152"/>
      <c r="M19" s="152"/>
      <c r="N19" s="152"/>
      <c r="O19" s="152"/>
      <c r="P19" s="152"/>
      <c r="Q19" s="152"/>
    </row>
    <row r="20" spans="1:17" ht="20.100000000000001" customHeight="1" x14ac:dyDescent="0.2">
      <c r="A20" s="5" t="str">
        <f>HYPERLINK("#'Input - Manure sent off-site'!A1", "Manure sent off-site")</f>
        <v>Manure sent off-site</v>
      </c>
      <c r="D20" s="113" t="str">
        <v>1</v>
      </c>
      <c r="E20" s="121" t="str">
        <v>Scope 1</v>
      </c>
      <c r="F20" s="122"/>
      <c r="G20" s="113" t="str">
        <v/>
      </c>
      <c r="H20" s="115" t="str">
        <v>Constant</v>
      </c>
      <c r="I20" s="116"/>
      <c r="J20" s="152"/>
      <c r="L20" s="152"/>
      <c r="M20" s="152"/>
      <c r="N20" s="152"/>
      <c r="O20" s="152"/>
      <c r="P20" s="152"/>
      <c r="Q20" s="152"/>
    </row>
    <row r="21" spans="1:17" ht="20.100000000000001" customHeight="1" x14ac:dyDescent="0.2">
      <c r="A21" s="5" t="str">
        <f>HYPERLINK("#'Input - Data quality'!A1", "Data quality")</f>
        <v>Data quality</v>
      </c>
      <c r="O21" s="152"/>
      <c r="P21" s="152"/>
      <c r="Q21" s="152"/>
    </row>
    <row r="22" spans="1:17" ht="20.100000000000001" customHeight="1" x14ac:dyDescent="0.2">
      <c r="A22" s="5" t="str">
        <f>HYPERLINK("#'Input - Fert Prod System'!A1", "Fert Prod System")</f>
        <v>Fert Prod System</v>
      </c>
      <c r="D22" s="118" t="s">
        <v>598</v>
      </c>
    </row>
    <row r="23" spans="1:17" ht="20.100000000000001" customHeight="1" x14ac:dyDescent="0.2">
      <c r="A23" s="5" t="str">
        <f>HYPERLINK("#'Input - Fertiliser'!A1", "Fertiliser")</f>
        <v>Fertiliser</v>
      </c>
      <c r="D23" s="119" t="s">
        <v>599</v>
      </c>
    </row>
    <row r="24" spans="1:17" ht="20.100000000000001" customHeight="1" x14ac:dyDescent="0.2">
      <c r="D24" s="120" t="s">
        <v>600</v>
      </c>
      <c r="E24" s="120" t="s">
        <v>601</v>
      </c>
      <c r="F24" s="120" t="s">
        <v>602</v>
      </c>
      <c r="G24" s="120" t="s">
        <v>603</v>
      </c>
      <c r="H24" s="120" t="s">
        <v>604</v>
      </c>
      <c r="I24" s="120" t="s">
        <v>605</v>
      </c>
      <c r="J24" s="120" t="s">
        <v>606</v>
      </c>
      <c r="K24" s="120" t="s">
        <v>607</v>
      </c>
      <c r="L24" s="78" t="s">
        <v>608</v>
      </c>
      <c r="M24" s="120" t="s">
        <v>609</v>
      </c>
      <c r="N24" s="120" t="s">
        <v>610</v>
      </c>
      <c r="O24" s="120" t="s">
        <v>611</v>
      </c>
      <c r="P24" s="120" t="s">
        <v>612</v>
      </c>
      <c r="Q24" s="120" t="s">
        <v>613</v>
      </c>
    </row>
    <row r="25" spans="1:17" ht="20.100000000000001" customHeight="1" x14ac:dyDescent="0.2">
      <c r="D25" s="24" t="str">
        <f>Table_FuelTypesPerUse[[#Headers],[Cars and light commercial vehicles]]</f>
        <v>Cars and light commercial vehicles</v>
      </c>
      <c r="E25" s="153" t="str">
        <f>'Constants - Fuel'!$E$10</f>
        <v>Gasoline</v>
      </c>
      <c r="F25" s="153"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54" cm="1">
        <f t="array" ref="L25">Fuel_InputFunctions.Fuel_TotalConsumption(Table_Input_Fuel[Amount consumed], Table_Input_Fuel[Fuel use (select)], D25, Table_Input_Fuel[Fuel type (select)],F25)</f>
        <v>0</v>
      </c>
      <c r="M25" s="154" t="str" cm="1">
        <f t="array" ref="M25">Common_InputFunctions.Utility_LookupValueInTable(F25,Table_FuelTypes_Units[Fuel type],Table_FuelTypes_Units[Unit])</f>
        <v>kL</v>
      </c>
      <c r="N25" s="155" cm="1">
        <f t="array" ref="N25">Fuel_Equations.VEERG_8_1_1_1__1_FuelCombustionTransport($L25,$G25,$H25)</f>
        <v>0</v>
      </c>
      <c r="O25" s="155" cm="1">
        <f t="array" ref="O25">Fuel_Equations.VEERG_8_1_1_1__1_FuelCombustionTransport($L25,$G25,$I25)</f>
        <v>0</v>
      </c>
      <c r="P25" s="155" cm="1">
        <f t="array" ref="P25">Fuel_Equations.VEERG_8_1_1_1__1_FuelCombustionTransport($L25,$G25,$J25)</f>
        <v>0</v>
      </c>
      <c r="Q25" s="155" cm="1">
        <f t="array" ref="Q25">Scope3_Equations.VEERG_15_11_1_1__2_UpstreamTransportFuelEmissions(L25,G25,K25)</f>
        <v>0</v>
      </c>
    </row>
    <row r="26" spans="1:17" ht="20.100000000000001" customHeight="1" x14ac:dyDescent="0.2">
      <c r="A26" s="6" t="s">
        <v>2</v>
      </c>
      <c r="D26" s="156" t="str">
        <f t="shared" ref="D26:D32" si="0">$D$25</f>
        <v>Cars and light commercial vehicles</v>
      </c>
      <c r="E26" s="153" t="str">
        <f>'Constants - Fuel'!$E$11</f>
        <v>Diesel oil</v>
      </c>
      <c r="F26" s="153"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54" cm="1">
        <f t="array" ref="L26">Fuel_InputFunctions.Fuel_TotalConsumption(Table_Input_Fuel[Amount consumed], Table_Input_Fuel[Fuel use (select)], D26, Table_Input_Fuel[Fuel type (select)],F26)</f>
        <v>10</v>
      </c>
      <c r="M26" s="154" t="str" cm="1">
        <f t="array" ref="M26">Common_InputFunctions.Utility_LookupValueInTable(F26,Table_FuelTypes_Units[Fuel type],Table_FuelTypes_Units[Unit])</f>
        <v>kL</v>
      </c>
      <c r="N26" s="155" cm="1">
        <f t="array" ref="N26">Fuel_Equations.VEERG_8_1_1_1__1_FuelCombustionTransport($L26,$G26,$H26)</f>
        <v>26.981400000000001</v>
      </c>
      <c r="O26" s="155" cm="1">
        <f t="array" ref="O26">Fuel_Equations.VEERG_8_1_1_1__1_FuelCombustionTransport($L26,$G26,$I26)</f>
        <v>3.8600000000000001E-3</v>
      </c>
      <c r="P26" s="155" cm="1">
        <f t="array" ref="P26">Fuel_Equations.VEERG_8_1_1_1__1_FuelCombustionTransport($L26,$G26,$J26)</f>
        <v>0.193</v>
      </c>
      <c r="Q26" s="155" cm="1">
        <f t="array" ref="Q26">Scope3_Equations.VEERG_15_11_1_1__2_UpstreamTransportFuelEmissions(L26,G26,K26)</f>
        <v>6.6778000000000004</v>
      </c>
    </row>
    <row r="27" spans="1:17" ht="20.100000000000001" customHeight="1" x14ac:dyDescent="0.2">
      <c r="A27" s="5" t="str">
        <f>HYPERLINK("#'3.1.1.1-2 Enteric Methane'!A1", "3.1.1.1-2 Enteric Methane")</f>
        <v>3.1.1.1-2 Enteric Methane</v>
      </c>
      <c r="D27" s="156" t="str">
        <f t="shared" si="0"/>
        <v>Cars and light commercial vehicles</v>
      </c>
      <c r="E27" s="153" t="str">
        <f>'Constants - Fuel'!$E$12</f>
        <v>Liquefied petroleum gas (LPG)</v>
      </c>
      <c r="F27" s="153"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54" cm="1">
        <f t="array" ref="L27">Fuel_InputFunctions.Fuel_TotalConsumption(Table_Input_Fuel[Amount consumed], Table_Input_Fuel[Fuel use (select)], D27, Table_Input_Fuel[Fuel type (select)],F27)</f>
        <v>0</v>
      </c>
      <c r="M27" s="154" t="str" cm="1">
        <f t="array" ref="M27">Common_InputFunctions.Utility_LookupValueInTable(F27,Table_FuelTypes_Units[Fuel type],Table_FuelTypes_Units[Unit])</f>
        <v>kL</v>
      </c>
      <c r="N27" s="155" cm="1">
        <f t="array" ref="N27">Fuel_Equations.VEERG_8_1_1_1__1_FuelCombustionTransport($L27,$G27,$H27)</f>
        <v>0</v>
      </c>
      <c r="O27" s="155" cm="1">
        <f t="array" ref="O27">Fuel_Equations.VEERG_8_1_1_1__1_FuelCombustionTransport($L27,$G27,$I27)</f>
        <v>0</v>
      </c>
      <c r="P27" s="155" cm="1">
        <f t="array" ref="P27">Fuel_Equations.VEERG_8_1_1_1__1_FuelCombustionTransport($L27,$G27,$J27)</f>
        <v>0</v>
      </c>
      <c r="Q27" s="155" cm="1">
        <f t="array" ref="Q27">Scope3_Equations.VEERG_15_11_1_1__2_UpstreamTransportFuelEmissions(L27,G27,K27)</f>
        <v>0</v>
      </c>
    </row>
    <row r="28" spans="1:17" ht="20.100000000000001" customHeight="1" x14ac:dyDescent="0.2">
      <c r="A28" s="5" t="str">
        <f>HYPERLINK("#'4.1.1.1-2 Methane'!A1", "4.1.1.1-2 Manure Methane")</f>
        <v>4.1.1.1-2 Manure Methane</v>
      </c>
      <c r="D28" s="156" t="str">
        <f t="shared" si="0"/>
        <v>Cars and light commercial vehicles</v>
      </c>
      <c r="E28" s="153" t="str">
        <f>'Constants - Fuel'!$E$13</f>
        <v>Fuel oil</v>
      </c>
      <c r="F28" s="153"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54" cm="1">
        <f t="array" ref="L28">Fuel_InputFunctions.Fuel_TotalConsumption(Table_Input_Fuel[Amount consumed], Table_Input_Fuel[Fuel use (select)], D28, Table_Input_Fuel[Fuel type (select)],F28)</f>
        <v>0</v>
      </c>
      <c r="M28" s="154" t="str" cm="1">
        <f t="array" ref="M28">Common_InputFunctions.Utility_LookupValueInTable(F28,Table_FuelTypes_Units[Fuel type],Table_FuelTypes_Units[Unit])</f>
        <v>kL</v>
      </c>
      <c r="N28" s="155" cm="1">
        <f t="array" ref="N28">Fuel_Equations.VEERG_8_1_1_1__1_FuelCombustionTransport($L28,$G28,$H28)</f>
        <v>0</v>
      </c>
      <c r="O28" s="155" cm="1">
        <f t="array" ref="O28">Fuel_Equations.VEERG_8_1_1_1__1_FuelCombustionTransport($L28,$G28,$I28)</f>
        <v>0</v>
      </c>
      <c r="P28" s="155" cm="1">
        <f t="array" ref="P28">Fuel_Equations.VEERG_8_1_1_1__1_FuelCombustionTransport($L28,$G28,$J28)</f>
        <v>0</v>
      </c>
      <c r="Q28" s="155" cm="1">
        <f t="array" ref="Q28">Scope3_Equations.VEERG_15_11_1_1__2_UpstreamTransportFuelEmissions(L28,G28,K28)</f>
        <v>0</v>
      </c>
    </row>
    <row r="29" spans="1:17" ht="20.100000000000001" customHeight="1" x14ac:dyDescent="0.2">
      <c r="A29" s="5" t="str">
        <f>HYPERLINK("#'4.1.1.3-4 Direct N20'!A1", "4.1.1.3-4 Manure Direct N2O")</f>
        <v>4.1.1.3-4 Manure Direct N2O</v>
      </c>
      <c r="D29" s="156" t="str">
        <f t="shared" si="0"/>
        <v>Cars and light commercial vehicles</v>
      </c>
      <c r="E29" s="153" t="str">
        <f>'Constants - Fuel'!$E$14</f>
        <v>Ethanol</v>
      </c>
      <c r="F29" s="153"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54" cm="1">
        <f t="array" ref="L29">Fuel_InputFunctions.Fuel_TotalConsumption(Table_Input_Fuel[Amount consumed], Table_Input_Fuel[Fuel use (select)], D29, Table_Input_Fuel[Fuel type (select)],F29)</f>
        <v>0</v>
      </c>
      <c r="M29" s="154" t="str" cm="1">
        <f t="array" ref="M29">Common_InputFunctions.Utility_LookupValueInTable(F29,Table_FuelTypes_Units[Fuel type],Table_FuelTypes_Units[Unit])</f>
        <v>kL</v>
      </c>
      <c r="N29" s="155" cm="1">
        <f t="array" ref="N29">Fuel_Equations.VEERG_8_1_1_1__1_FuelCombustionTransport($L29,$G29,$H29)</f>
        <v>0</v>
      </c>
      <c r="O29" s="155" cm="1">
        <f t="array" ref="O29">Fuel_Equations.VEERG_8_1_1_1__1_FuelCombustionTransport($L29,$G29,$I29)</f>
        <v>0</v>
      </c>
      <c r="P29" s="155" cm="1">
        <f t="array" ref="P29">Fuel_Equations.VEERG_8_1_1_1__1_FuelCombustionTransport($L29,$G29,$J29)</f>
        <v>0</v>
      </c>
      <c r="Q29" s="155" cm="1">
        <f t="array" ref="Q29">Scope3_Equations.VEERG_15_11_1_1__2_UpstreamTransportFuelEmissions(L29,G29,IF(ISNUMBER(K29),K29,0))</f>
        <v>0</v>
      </c>
    </row>
    <row r="30" spans="1:17" ht="20.100000000000001" customHeight="1" x14ac:dyDescent="0.2">
      <c r="A30" s="5" t="str">
        <f>HYPERLINK("#'4.1.1.5-6 Atmos Deposition'!A1", "4.1.1.5-6 Manure Atmos Dep")</f>
        <v>4.1.1.5-6 Manure Atmos Dep</v>
      </c>
      <c r="D30" s="156" t="str">
        <f t="shared" si="0"/>
        <v>Cars and light commercial vehicles</v>
      </c>
      <c r="E30" s="153" t="str">
        <f>'Constants - Fuel'!$E$15</f>
        <v>Biodiesel</v>
      </c>
      <c r="F30" s="153"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54" cm="1">
        <f t="array" ref="L30">Fuel_InputFunctions.Fuel_TotalConsumption(Table_Input_Fuel[Amount consumed], Table_Input_Fuel[Fuel use (select)], D30, Table_Input_Fuel[Fuel type (select)],F30)</f>
        <v>0</v>
      </c>
      <c r="M30" s="154" t="str" cm="1">
        <f t="array" ref="M30">Common_InputFunctions.Utility_LookupValueInTable(F30,Table_FuelTypes_Units[Fuel type],Table_FuelTypes_Units[Unit])</f>
        <v>kL</v>
      </c>
      <c r="N30" s="155" cm="1">
        <f t="array" ref="N30">Fuel_Equations.VEERG_8_1_1_1__1_FuelCombustionTransport($L30,$G30,$H30)</f>
        <v>0</v>
      </c>
      <c r="O30" s="155" cm="1">
        <f t="array" ref="O30">Fuel_Equations.VEERG_8_1_1_1__1_FuelCombustionTransport($L30,$G30,$I30)</f>
        <v>0</v>
      </c>
      <c r="P30" s="155" cm="1">
        <f t="array" ref="P30">Fuel_Equations.VEERG_8_1_1_1__1_FuelCombustionTransport($L30,$G30,$J30)</f>
        <v>0</v>
      </c>
      <c r="Q30" s="155" cm="1">
        <f t="array" ref="Q30">Scope3_Equations.VEERG_15_11_1_1__2_UpstreamTransportFuelEmissions(L30,G30,IF(ISNUMBER(K30),K30,0))</f>
        <v>0</v>
      </c>
    </row>
    <row r="31" spans="1:17" ht="20.100000000000001" customHeight="1" x14ac:dyDescent="0.2">
      <c r="A31" s="5" t="str">
        <f>HYPERLINK("#'4.1.1.9 Manure applied to soils'!A1", "4.1.1.9 Manure applied to soils")</f>
        <v>4.1.1.9 Manure applied to soils</v>
      </c>
      <c r="D31" s="156" t="str">
        <f t="shared" si="0"/>
        <v>Cars and light commercial vehicles</v>
      </c>
      <c r="E31" s="153" t="str">
        <f>'Constants - Fuel'!$E$16</f>
        <v>Renewable diesel</v>
      </c>
      <c r="F31" s="153"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54" cm="1">
        <f t="array" ref="L31">Fuel_InputFunctions.Fuel_TotalConsumption(Table_Input_Fuel[Amount consumed], Table_Input_Fuel[Fuel use (select)], D31, Table_Input_Fuel[Fuel type (select)],F31)</f>
        <v>0</v>
      </c>
      <c r="M31" s="154" t="str" cm="1">
        <f t="array" ref="M31">Common_InputFunctions.Utility_LookupValueInTable(F31,Table_FuelTypes_Units[Fuel type],Table_FuelTypes_Units[Unit])</f>
        <v>kL</v>
      </c>
      <c r="N31" s="155" cm="1">
        <f t="array" ref="N31">Fuel_Equations.VEERG_8_1_1_1__1_FuelCombustionTransport($L31,$G31,$H31)</f>
        <v>0</v>
      </c>
      <c r="O31" s="155" cm="1">
        <f t="array" ref="O31">Fuel_Equations.VEERG_8_1_1_1__1_FuelCombustionTransport($L31,$G31,$I31)</f>
        <v>0</v>
      </c>
      <c r="P31" s="155" cm="1">
        <f t="array" ref="P31">Fuel_Equations.VEERG_8_1_1_1__1_FuelCombustionTransport($L31,$G31,$J31)</f>
        <v>0</v>
      </c>
      <c r="Q31" s="155" cm="1">
        <f t="array" ref="Q31">Scope3_Equations.VEERG_15_11_1_1__2_UpstreamTransportFuelEmissions(L31,G31,IF(ISNUMBER(K31),K31,0))</f>
        <v>0</v>
      </c>
    </row>
    <row r="32" spans="1:17" ht="20.100000000000001" customHeight="1" x14ac:dyDescent="0.2">
      <c r="A32" s="117" t="str">
        <f>HYPERLINK("#'8.1.1.1-2 Transport fuel'!A1", "8.1.1.1-2 Transport fuel")</f>
        <v>8.1.1.1-2 Transport fuel</v>
      </c>
      <c r="D32" s="156" t="str">
        <f t="shared" si="0"/>
        <v>Cars and light commercial vehicles</v>
      </c>
      <c r="E32" s="153" t="str">
        <f>'Constants - Fuel'!$E$17</f>
        <v>Other biofuels</v>
      </c>
      <c r="F32" s="153"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50" t="str" cm="1">
        <f t="array" ref="K32">IFERROR(_xlfn.XLOOKUP(1, (Table_Fuel_EFs_Transport[Fuel combusted]=$E32)*(Table_Fuel_EFs_Transport[Transport type]=$D$25), Table_Fuel_EFs_Transport[Scope 3 Emission Factor (kg CO2 - e / GJ)]), 0)</f>
        <v>NE</v>
      </c>
      <c r="L32" s="157" cm="1">
        <f t="array" ref="L32">Fuel_InputFunctions.Fuel_TotalConsumption(Table_Input_Fuel[Amount consumed], Table_Input_Fuel[Fuel use (select)], D32, Table_Input_Fuel[Fuel type (select)],F32)</f>
        <v>0</v>
      </c>
      <c r="M32" s="154" t="str" cm="1">
        <f t="array" ref="M32">Common_InputFunctions.Utility_LookupValueInTable(F32,Table_FuelTypes_Units[Fuel type],Table_FuelTypes_Units[Unit])</f>
        <v>kL</v>
      </c>
      <c r="N32" s="158" cm="1">
        <f t="array" ref="N32">Fuel_Equations.VEERG_8_1_1_1__1_FuelCombustionTransport($L32,$G32,$H32)</f>
        <v>0</v>
      </c>
      <c r="O32" s="158" cm="1">
        <f t="array" ref="O32">Fuel_Equations.VEERG_8_1_1_1__1_FuelCombustionTransport($L32,$G32,$I32)</f>
        <v>0</v>
      </c>
      <c r="P32" s="158" cm="1">
        <f t="array" ref="P32">Fuel_Equations.VEERG_8_1_1_1__1_FuelCombustionTransport($L32,$G32,$J32)</f>
        <v>0</v>
      </c>
      <c r="Q32" s="155" cm="1">
        <f t="array" ref="Q32">Scope3_Equations.VEERG_15_11_1_1__2_UpstreamTransportFuelEmissions(L32,G32,IF(ISNUMBER(K32),K32,0))</f>
        <v>0</v>
      </c>
    </row>
    <row r="33" spans="1:17" ht="20.100000000000001" customHeight="1" x14ac:dyDescent="0.2">
      <c r="A33" s="5" t="str">
        <f>HYPERLINK("#'8.2.1.1-2 Stationary fuel'!A1", "8.2.1.1-2 Stationary fuel")</f>
        <v>8.2.1.1-2 Stationary fuel</v>
      </c>
      <c r="D33" s="159" t="str">
        <f>Table_FuelTypesPerUse[[#Headers],[Off-road Agriculture and forestry equipment]]</f>
        <v>Off-road Agriculture and forestry equipment</v>
      </c>
      <c r="E33" s="160" t="str">
        <f>'Constants - Fuel'!$E$11</f>
        <v>Diesel oil</v>
      </c>
      <c r="F33" s="160" t="str">
        <f>'Constants - Fuel'!H131</f>
        <v>Diesel</v>
      </c>
      <c r="G33" s="161" cm="1">
        <f t="array" ref="G33">IFERROR(_xlfn.XLOOKUP(1, (Table_Fuel_EFs_Transport[Fuel combusted]=$E33)*(Table_Fuel_EFs_Transport[Transport type]=$D$33), Table_Fuel_EFs_Transport[Energy Content Factor (GJ per unit of fuel)]), 0)</f>
        <v>38.6</v>
      </c>
      <c r="H33" s="161" cm="1">
        <f t="array" ref="H33">IFERROR(_xlfn.XLOOKUP(1, (Table_Fuel_EFs_Transport[Fuel combusted]=$E33)*(Table_Fuel_EFs_Transport[Transport type]=$D$33), Table_Fuel_EFs_Transport[Scope 1 Emission Factor (kg CO2 - e / GJ) CO2]), 0)</f>
        <v>69.900000000000006</v>
      </c>
      <c r="I33" s="161" cm="1">
        <f t="array" ref="I33">IFERROR(_xlfn.XLOOKUP(1, (Table_Fuel_EFs_Transport[Fuel combusted]=$E33)*(Table_Fuel_EFs_Transport[Transport type]=$D$33), Table_Fuel_EFs_Transport[Scope 1 Emission Factor (kg CO2 - e / GJ) CH4]), 0)</f>
        <v>0.3</v>
      </c>
      <c r="J33" s="161" cm="1">
        <f t="array" ref="J33">IFERROR(_xlfn.XLOOKUP(1, (Table_Fuel_EFs_Transport[Fuel combusted]=$E33)*(Table_Fuel_EFs_Transport[Transport type]=$D$33), Table_Fuel_EFs_Transport[Scope 1 Emission Factor (kg CO2 - e / GJ) N2O]), 0)</f>
        <v>0.5</v>
      </c>
      <c r="K33" s="162" cm="1">
        <f t="array" ref="K33">IFERROR(_xlfn.XLOOKUP(1, (Table_Fuel_EFs_Transport[Fuel combusted]=$E33)*(Table_Fuel_EFs_Transport[Transport type]=$D$25), Table_Fuel_EFs_Transport[Scope 3 Emission Factor (kg CO2 - e / GJ)]), 0)</f>
        <v>17.3</v>
      </c>
      <c r="L33" s="163" cm="1">
        <f t="array" ref="L33">Fuel_InputFunctions.Fuel_TotalConsumption(Table_Input_Fuel[Amount consumed], Table_Input_Fuel[Fuel use (select)], D33, Table_Input_Fuel[Fuel type (select)],F33)</f>
        <v>10</v>
      </c>
      <c r="M33" s="164" t="str" cm="1">
        <f t="array" ref="M33">Common_InputFunctions.Utility_LookupValueInTable(F33,Table_FuelTypes_Units[Fuel type],Table_FuelTypes_Units[Unit])</f>
        <v>kL</v>
      </c>
      <c r="N33" s="165" cm="1">
        <f t="array" ref="N33">Fuel_Equations.VEERG_8_1_1_1__1_FuelCombustionTransport($L33,$G33,$H33)</f>
        <v>26.981400000000001</v>
      </c>
      <c r="O33" s="165" cm="1">
        <f t="array" ref="O33">Fuel_Equations.VEERG_8_1_1_1__1_FuelCombustionTransport($L33,$G33,$I33)</f>
        <v>0.1158</v>
      </c>
      <c r="P33" s="165" cm="1">
        <f t="array" ref="P33">Fuel_Equations.VEERG_8_1_1_1__1_FuelCombustionTransport($L33,$G33,$J33)</f>
        <v>0.193</v>
      </c>
      <c r="Q33" s="166" cm="1">
        <f t="array" ref="Q33">Scope3_Equations.VEERG_15_11_1_1__2_UpstreamTransportFuelEmissions(L33,G33,K33)</f>
        <v>6.6778000000000004</v>
      </c>
    </row>
    <row r="34" spans="1:17" ht="20.100000000000001" customHeight="1" x14ac:dyDescent="0.2">
      <c r="A34" s="5" t="str">
        <f>HYPERLINK("#'10.1.1-2 Solid waste treatment'!A1", "10.1.1.1-2 Solid waste")</f>
        <v>10.1.1.1-2 Solid waste</v>
      </c>
      <c r="D34" s="159" t="str">
        <f>Table_FuelTypesPerUse[[#Headers],[Aviation]]</f>
        <v>Aviation</v>
      </c>
      <c r="E34" s="160" t="str">
        <f>'Constants - Fuel'!$E$28</f>
        <v>Gasoline for use as fuel in an aircraft</v>
      </c>
      <c r="F34" s="160" t="str">
        <f>'Constants - Fuel'!$F$131</f>
        <v>Avgas</v>
      </c>
      <c r="G34" s="167" cm="1">
        <f t="array" ref="G34">IFERROR(_xlfn.XLOOKUP(1, (Table_Fuel_EFs_Transport[Fuel combusted]=$E34)*(Table_Fuel_EFs_Transport[Transport type]=$D$34), Table_Fuel_EFs_Transport[Energy Content Factor (GJ per unit of fuel)]), 0)</f>
        <v>33.1</v>
      </c>
      <c r="H34" s="167" cm="1">
        <f t="array" ref="H34">IFERROR(_xlfn.XLOOKUP(1, (Table_Fuel_EFs_Transport[Fuel combusted]=$E34)*(Table_Fuel_EFs_Transport[Transport type]=$D$34), Table_Fuel_EFs_Transport[Scope 1 Emission Factor (kg CO2 - e / GJ) CO2]), 0)</f>
        <v>67</v>
      </c>
      <c r="I34" s="167" cm="1">
        <f t="array" ref="I34">IFERROR(_xlfn.XLOOKUP(1, (Table_Fuel_EFs_Transport[Fuel combusted]=$E34)*(Table_Fuel_EFs_Transport[Transport type]=$D$34), Table_Fuel_EFs_Transport[Scope 1 Emission Factor (kg CO2 - e / GJ) CH4]), 0)</f>
        <v>0.06</v>
      </c>
      <c r="J34" s="167" cm="1">
        <f t="array" ref="J34">IFERROR(_xlfn.XLOOKUP(1, (Table_Fuel_EFs_Transport[Fuel combusted]=$E34)*(Table_Fuel_EFs_Transport[Transport type]=$D$34), Table_Fuel_EFs_Transport[Scope 1 Emission Factor (kg CO2 - e / GJ) N2O]), 0)</f>
        <v>0.6</v>
      </c>
      <c r="K34" s="167" cm="1">
        <f t="array" ref="K34">IFERROR(_xlfn.XLOOKUP(1, (Table_Fuel_EFs_Transport[Fuel combusted]=$E34)*(Table_Fuel_EFs_Transport[Transport type]=$D$25), Table_Fuel_EFs_Transport[Scope 3 Emission Factor (kg CO2 - e / GJ)]), 0)</f>
        <v>0</v>
      </c>
      <c r="L34" s="164" cm="1">
        <f t="array" ref="L34">Fuel_InputFunctions.Fuel_TotalConsumption(Table_Input_Fuel[Amount consumed], Table_Input_Fuel[Fuel use (select)], D34, Table_Input_Fuel[Fuel type (select)],F34)</f>
        <v>0</v>
      </c>
      <c r="M34" s="164" t="str" cm="1">
        <f t="array" ref="M34">Common_InputFunctions.Utility_LookupValueInTable(F34,Table_FuelTypes_Units[Fuel type],Table_FuelTypes_Units[Unit])</f>
        <v>kL</v>
      </c>
      <c r="N34" s="165" cm="1">
        <f t="array" ref="N34">Fuel_Equations.VEERG_8_1_1_1__1_FuelCombustionTransport($L34,$G34,$H34)</f>
        <v>0</v>
      </c>
      <c r="O34" s="165" cm="1">
        <f t="array" ref="O34">Fuel_Equations.VEERG_8_1_1_1__1_FuelCombustionTransport($L34,$G34,$I34)</f>
        <v>0</v>
      </c>
      <c r="P34" s="165" cm="1">
        <f t="array" ref="P34">Fuel_Equations.VEERG_8_1_1_1__1_FuelCombustionTransport($L34,$G34,$J34)</f>
        <v>0</v>
      </c>
      <c r="Q34" s="165" cm="1">
        <f t="array" ref="Q34">Scope3_Equations.VEERG_15_11_1_1__2_UpstreamTransportFuelEmissions(L34,G34,K34)</f>
        <v>0</v>
      </c>
    </row>
    <row r="35" spans="1:17" ht="20.100000000000001" customHeight="1" x14ac:dyDescent="0.2">
      <c r="A35" s="5" t="str">
        <f>HYPERLINK("#'14.1.1-2 Purchased electricity'!A1", "14.1.1-2 Purchased electricity")</f>
        <v>14.1.1-2 Purchased electricity</v>
      </c>
      <c r="D35" s="156" t="str">
        <f>$D$34</f>
        <v>Aviation</v>
      </c>
      <c r="E35" s="153" t="str">
        <f>'Constants - Fuel'!$E$29</f>
        <v>Kerosene for use as fuel in an aircraft</v>
      </c>
      <c r="F35" s="153"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54" cm="1">
        <f t="array" ref="L35">Fuel_InputFunctions.Fuel_TotalConsumption(Table_Input_Fuel[Amount consumed], Table_Input_Fuel[Fuel use (select)], D35, Table_Input_Fuel[Fuel type (select)],F35)</f>
        <v>0</v>
      </c>
      <c r="M35" s="154" t="str" cm="1">
        <f t="array" ref="M35">Common_InputFunctions.Utility_LookupValueInTable(F35,Table_FuelTypes_Units[Fuel type],Table_FuelTypes_Units[Unit])</f>
        <v>kL</v>
      </c>
      <c r="N35" s="155" cm="1">
        <f t="array" ref="N35">Fuel_Equations.VEERG_8_1_1_1__1_FuelCombustionTransport($L35,$G35,$H35)</f>
        <v>0</v>
      </c>
      <c r="O35" s="155" cm="1">
        <f t="array" ref="O35">Fuel_Equations.VEERG_8_1_1_1__1_FuelCombustionTransport($L35,$G35,$I35)</f>
        <v>0</v>
      </c>
      <c r="P35" s="155" cm="1">
        <f t="array" ref="P35">Fuel_Equations.VEERG_8_1_1_1__1_FuelCombustionTransport($L35,$G35,$J35)</f>
        <v>0</v>
      </c>
      <c r="Q35" s="155" cm="1">
        <f t="array" ref="Q35">Scope3_Equations.VEERG_15_11_1_1__2_UpstreamTransportFuelEmissions(L35,G35,K35)</f>
        <v>0</v>
      </c>
    </row>
    <row r="36" spans="1:17" ht="20.100000000000001" customHeight="1" x14ac:dyDescent="0.2">
      <c r="A36" s="5" t="str">
        <f>HYPERLINK("#'15 Scope 3'!A1", "15 Scope 3")</f>
        <v>15 Scope 3</v>
      </c>
      <c r="D36" s="156" t="str">
        <f>$D$34</f>
        <v>Aviation</v>
      </c>
      <c r="E36" s="153" t="str">
        <f>'Constants - Fuel'!$E$30</f>
        <v>Renewable aviation kerosene</v>
      </c>
      <c r="F36" s="153" t="str">
        <f>'Constants - Fuel'!$F$133</f>
        <v>Renewable aviation kerosene</v>
      </c>
      <c r="G36" s="150" cm="1">
        <f t="array" ref="G36">IFERROR(_xlfn.XLOOKUP(1, (Table_Fuel_EFs_Transport[Fuel combusted]=$E36)*(Table_Fuel_EFs_Transport[Transport type]=$D$34), Table_Fuel_EFs_Transport[Energy Content Factor (GJ per unit of fuel)]), 0)</f>
        <v>36.799999999999997</v>
      </c>
      <c r="H36" s="150" cm="1">
        <f t="array" ref="H36">IFERROR(_xlfn.XLOOKUP(1, (Table_Fuel_EFs_Transport[Fuel combusted]=$E36)*(Table_Fuel_EFs_Transport[Transport type]=$D$34), Table_Fuel_EFs_Transport[Scope 1 Emission Factor (kg CO2 - e / GJ) CO2]), 0)</f>
        <v>0</v>
      </c>
      <c r="I36" s="150" cm="1">
        <f t="array" ref="I36">IFERROR(_xlfn.XLOOKUP(1, (Table_Fuel_EFs_Transport[Fuel combusted]=$E36)*(Table_Fuel_EFs_Transport[Transport type]=$D$34), Table_Fuel_EFs_Transport[Scope 1 Emission Factor (kg CO2 - e / GJ) CH4]), 0)</f>
        <v>0.01</v>
      </c>
      <c r="J36" s="150" cm="1">
        <f t="array" ref="J36">IFERROR(_xlfn.XLOOKUP(1, (Table_Fuel_EFs_Transport[Fuel combusted]=$E36)*(Table_Fuel_EFs_Transport[Transport type]=$D$34), Table_Fuel_EFs_Transport[Scope 1 Emission Factor (kg CO2 - e / GJ) N2O]), 0)</f>
        <v>0.6</v>
      </c>
      <c r="K36" s="150" cm="1">
        <f t="array" ref="K36">IFERROR(_xlfn.XLOOKUP(1, (Table_Fuel_EFs_Transport[Fuel combusted]=$E36)*(Table_Fuel_EFs_Transport[Transport type]=$D$25), Table_Fuel_EFs_Transport[Scope 3 Emission Factor (kg CO2 - e / GJ)]), 0)</f>
        <v>0</v>
      </c>
      <c r="L36" s="157" cm="1">
        <f t="array" ref="L36">Fuel_InputFunctions.Fuel_TotalConsumption(Table_Input_Fuel[Amount consumed], Table_Input_Fuel[Fuel use (select)], D36, Table_Input_Fuel[Fuel type (select)],F36)</f>
        <v>0</v>
      </c>
      <c r="M36" s="154" t="str" cm="1">
        <f t="array" ref="M36">Common_InputFunctions.Utility_LookupValueInTable(F36,Table_FuelTypes_Units[Fuel type],Table_FuelTypes_Units[Unit])</f>
        <v>kL</v>
      </c>
      <c r="N36" s="155" cm="1">
        <f t="array" ref="N36">Fuel_Equations.VEERG_8_1_1_1__1_FuelCombustionTransport($L36,$G36,$H36)</f>
        <v>0</v>
      </c>
      <c r="O36" s="155" cm="1">
        <f t="array" ref="O36">Fuel_Equations.VEERG_8_1_1_1__1_FuelCombustionTransport($L36,$G36,$I36)</f>
        <v>0</v>
      </c>
      <c r="P36" s="155" cm="1">
        <f t="array" ref="P36">Fuel_Equations.VEERG_8_1_1_1__1_FuelCombustionTransport($L36,$G36,$J36)</f>
        <v>0</v>
      </c>
      <c r="Q36" s="158" cm="1">
        <f t="array" ref="Q36">Scope3_Equations.VEERG_15_11_1_1__2_UpstreamTransportFuelEmissions(L36,G36,K36)</f>
        <v>0</v>
      </c>
    </row>
    <row r="37" spans="1:17" ht="20.100000000000001" customHeight="1" x14ac:dyDescent="0.2">
      <c r="A37" s="5" t="str">
        <f>HYPERLINK("#'Calcs - Manure sent off-site'!A1", "Calcs - Manure sent off-site")</f>
        <v>Calcs - Manure sent off-site</v>
      </c>
      <c r="D37" s="159" t="str">
        <f>Table_FuelTypesPerUse[[#Headers],[Vessels]]</f>
        <v>Vessels</v>
      </c>
      <c r="E37" s="160" t="str">
        <f>'Constants - Fuel'!$E$10</f>
        <v>Gasoline</v>
      </c>
      <c r="F37" s="160" t="str">
        <f>'Constants - Fuel'!$I$131</f>
        <v>Petrol</v>
      </c>
      <c r="G37" s="167" cm="1">
        <f t="array" ref="G37">IFERROR(_xlfn.XLOOKUP(1, (Table_Fuel_EFs_Transport[Fuel combusted]=$E37)*(Table_Fuel_EFs_Transport[Transport type]=$D$37), Table_Fuel_EFs_Transport[Energy Content Factor (GJ per unit of fuel)]), 0)</f>
        <v>34.200000000000003</v>
      </c>
      <c r="H37" s="167" cm="1">
        <f t="array" ref="H37">IFERROR(_xlfn.XLOOKUP(1, (Table_Fuel_EFs_Transport[Fuel combusted]=$E37)*(Table_Fuel_EFs_Transport[Transport type]=$D$37), Table_Fuel_EFs_Transport[Scope 1 Emission Factor (kg CO2 - e / GJ) CO2]), 0)</f>
        <v>67.400000000000006</v>
      </c>
      <c r="I37" s="167" cm="1">
        <f t="array" ref="I37">IFERROR(_xlfn.XLOOKUP(1, (Table_Fuel_EFs_Transport[Fuel combusted]=$E37)*(Table_Fuel_EFs_Transport[Transport type]=$D$37), Table_Fuel_EFs_Transport[Scope 1 Emission Factor (kg CO2 - e / GJ) CH4]), 0)</f>
        <v>10.1</v>
      </c>
      <c r="J37" s="167" cm="1">
        <f t="array" ref="J37">IFERROR(_xlfn.XLOOKUP(1, (Table_Fuel_EFs_Transport[Fuel combusted]=$E37)*(Table_Fuel_EFs_Transport[Transport type]=$D$37), Table_Fuel_EFs_Transport[Scope 1 Emission Factor (kg CO2 - e / GJ) N2O]), 0)</f>
        <v>0.3</v>
      </c>
      <c r="K37" s="167" cm="1">
        <f t="array" ref="K37">IFERROR(_xlfn.XLOOKUP(1, (Table_Fuel_EFs_Transport[Fuel combusted]=$E37)*(Table_Fuel_EFs_Transport[Transport type]=$D$25), Table_Fuel_EFs_Transport[Scope 3 Emission Factor (kg CO2 - e / GJ)]), 0)</f>
        <v>17.2</v>
      </c>
      <c r="L37" s="164" cm="1">
        <f t="array" ref="L37">Fuel_InputFunctions.Fuel_TotalConsumption(Table_Input_Fuel[Amount consumed], Table_Input_Fuel[Fuel use (select)], D37, Table_Input_Fuel[Fuel type (select)],F37)</f>
        <v>0</v>
      </c>
      <c r="M37" s="168" t="str" cm="1">
        <f t="array" ref="M37">Common_InputFunctions.Utility_LookupValueInTable(F37,Table_FuelTypes_Units[Fuel type],Table_FuelTypes_Units[Unit])</f>
        <v>kL</v>
      </c>
      <c r="N37" s="165" cm="1">
        <f t="array" ref="N37">Fuel_Equations.VEERG_8_1_1_1__1_FuelCombustionTransport($L37,$G37,$H37)</f>
        <v>0</v>
      </c>
      <c r="O37" s="165" cm="1">
        <f t="array" ref="O37">Fuel_Equations.VEERG_8_1_1_1__1_FuelCombustionTransport($L37,$G37,$I37)</f>
        <v>0</v>
      </c>
      <c r="P37" s="165" cm="1">
        <f t="array" ref="P37">Fuel_Equations.VEERG_8_1_1_1__1_FuelCombustionTransport($L37,$G37,$J37)</f>
        <v>0</v>
      </c>
      <c r="Q37" s="165" cm="1">
        <f t="array" ref="Q37">Scope3_Equations.VEERG_15_11_1_1__2_UpstreamTransportFuelEmissions(L37,G37,K37)</f>
        <v>0</v>
      </c>
    </row>
    <row r="38" spans="1:17" ht="20.100000000000001" customHeight="1" x14ac:dyDescent="0.2">
      <c r="A38" s="5" t="str">
        <f>HYPERLINK("#'5.1.1.1-2 Inorganic fert N2O'!A1", "5.1.1.1-2 Inorganic fert N2O")</f>
        <v>5.1.1.1-2 Inorganic fert N2O</v>
      </c>
      <c r="D38" s="156" t="str">
        <f>$D$37</f>
        <v>Vessels</v>
      </c>
      <c r="E38" s="153" t="str">
        <f>'Constants - Fuel'!$E$11</f>
        <v>Diesel oil</v>
      </c>
      <c r="F38" s="153"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54" cm="1">
        <f t="array" ref="L38">Fuel_InputFunctions.Fuel_TotalConsumption(Table_Input_Fuel[Amount consumed], Table_Input_Fuel[Fuel use (select)], D38, Table_Input_Fuel[Fuel type (select)],F38)</f>
        <v>0</v>
      </c>
      <c r="M38" s="154" t="str" cm="1">
        <f t="array" ref="M38">Common_InputFunctions.Utility_LookupValueInTable(F38,Table_FuelTypes_Units[Fuel type],Table_FuelTypes_Units[Unit])</f>
        <v>kL</v>
      </c>
      <c r="N38" s="155" cm="1">
        <f t="array" ref="N38">Fuel_Equations.VEERG_8_1_1_1__1_FuelCombustionTransport($L38,$G38,$H38)</f>
        <v>0</v>
      </c>
      <c r="O38" s="155" cm="1">
        <f t="array" ref="O38">Fuel_Equations.VEERG_8_1_1_1__1_FuelCombustionTransport($L38,$G38,$I38)</f>
        <v>0</v>
      </c>
      <c r="P38" s="155" cm="1">
        <f t="array" ref="P38">Fuel_Equations.VEERG_8_1_1_1__1_FuelCombustionTransport($L38,$G38,$J38)</f>
        <v>0</v>
      </c>
      <c r="Q38" s="155" cm="1">
        <f t="array" ref="Q38">Scope3_Equations.VEERG_15_11_1_1__2_UpstreamTransportFuelEmissions(L38,G38,K38)</f>
        <v>0</v>
      </c>
    </row>
    <row r="39" spans="1:17" ht="20.100000000000001" customHeight="1" x14ac:dyDescent="0.2">
      <c r="A39" s="5" t="str">
        <f>HYPERLINK("#'5.1.1.3-4 Inorganic fert CO2'!A1", "5.1.1.3-4 Inorganic fert CO2")</f>
        <v>5.1.1.3-4 Inorganic fert CO2</v>
      </c>
      <c r="D39" s="156" t="str">
        <f>$D$37</f>
        <v>Vessels</v>
      </c>
      <c r="E39" s="153" t="str">
        <f>'Constants - Fuel'!E33</f>
        <v>Fuel Oil</v>
      </c>
      <c r="F39" s="153"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54" cm="1">
        <f t="array" ref="L39">Fuel_InputFunctions.Fuel_TotalConsumption(Table_Input_Fuel[Amount consumed], Table_Input_Fuel[Fuel use (select)], D39, Table_Input_Fuel[Fuel type (select)],F39)</f>
        <v>10</v>
      </c>
      <c r="M39" s="154" t="str" cm="1">
        <f t="array" ref="M39">Common_InputFunctions.Utility_LookupValueInTable(F39,Table_FuelTypes_Units[Fuel type],Table_FuelTypes_Units[Unit])</f>
        <v>kL</v>
      </c>
      <c r="N39" s="155" cm="1">
        <f t="array" ref="N39">Fuel_Equations.VEERG_8_1_1_1__1_FuelCombustionTransport($L39,$G39,$H39)</f>
        <v>29.219199999999997</v>
      </c>
      <c r="O39" s="155" cm="1">
        <f t="array" ref="O39">Fuel_Equations.VEERG_8_1_1_1__1_FuelCombustionTransport($L39,$G39,$I39)</f>
        <v>7.9400000000000012E-2</v>
      </c>
      <c r="P39" s="155" cm="1">
        <f t="array" ref="P39">Fuel_Equations.VEERG_8_1_1_1__1_FuelCombustionTransport($L39,$G39,$J39)</f>
        <v>0.19850000000000001</v>
      </c>
      <c r="Q39" s="155" cm="1">
        <f t="array" ref="Q39">Scope3_Equations.VEERG_15_11_1_1__2_UpstreamTransportFuelEmissions(L39,G39,K39)</f>
        <v>7.1459999999999999</v>
      </c>
    </row>
    <row r="40" spans="1:17" ht="20.100000000000001" customHeight="1" x14ac:dyDescent="0.2">
      <c r="A40" s="5" t="str">
        <f>HYPERLINK("#'5.2.1.1-2 Organic Fert N2O'!A1", "5.2.1.1-2 Organic Fert N2O")</f>
        <v>5.2.1.1-2 Organic Fert N2O</v>
      </c>
      <c r="H40" s="152"/>
      <c r="I40" s="152"/>
      <c r="J40" s="152"/>
      <c r="L40" s="152"/>
      <c r="M40" s="152"/>
      <c r="N40" s="152"/>
      <c r="O40" s="152"/>
      <c r="P40" s="152"/>
      <c r="Q40" s="152"/>
    </row>
    <row r="41" spans="1:17" ht="20.100000000000001" customHeight="1" x14ac:dyDescent="0.2">
      <c r="A41" s="5" t="str">
        <f>HYPERLINK("#'5.3.1.1-2 Lime CO2'!A1", "5.3.1.1-2 Lime CO2")</f>
        <v>5.3.1.1-2 Lime CO2</v>
      </c>
      <c r="H41" s="152"/>
      <c r="I41" s="152"/>
      <c r="J41" s="152"/>
      <c r="L41" s="152"/>
      <c r="M41" s="152"/>
      <c r="N41" s="152"/>
      <c r="O41" s="152"/>
      <c r="P41" s="152"/>
      <c r="Q41" s="152"/>
    </row>
    <row r="42" spans="1:17" ht="20.100000000000001" customHeight="1" x14ac:dyDescent="0.2">
      <c r="A42" s="5" t="str">
        <f>HYPERLINK("#'5.4.1.1-4 Atmos deposition'!A1", "5.4.1.1-4 Atmos deposition")</f>
        <v>5.4.1.1-4 Atmos deposition</v>
      </c>
      <c r="D42" s="169" t="str">
        <f>"Total scope 1 - " &amp; D25</f>
        <v>Total scope 1 - Cars and light commercial vehicles</v>
      </c>
      <c r="E42" s="170"/>
      <c r="F42" s="171"/>
    </row>
    <row r="43" spans="1:17" ht="20.100000000000001" customHeight="1" x14ac:dyDescent="0.2">
      <c r="A43" s="5" t="str">
        <f>HYPERLINK("#'5.5.1.1-2 Leaching and runoff'!A1", "5.5.1.1-2 Leaching and runoff")</f>
        <v>5.5.1.1-2 Leaching and runoff</v>
      </c>
      <c r="D43" s="24" t="s">
        <v>614</v>
      </c>
      <c r="E43" s="172">
        <f>SUM(N25:N32)+N("Partial sum")</f>
        <v>26.981400000000001</v>
      </c>
      <c r="F43" s="16" t="str">
        <f>$E$12</f>
        <v>t CO2-e</v>
      </c>
    </row>
    <row r="44" spans="1:17" ht="20.100000000000001" customHeight="1" x14ac:dyDescent="0.2">
      <c r="D44" s="24" t="s">
        <v>615</v>
      </c>
      <c r="E44" s="172">
        <f>SUM(O25:O32)+N("Partial sum")</f>
        <v>3.8600000000000001E-3</v>
      </c>
      <c r="F44" s="16" t="str">
        <f t="shared" ref="F44:F46" si="1">$E$12</f>
        <v>t CO2-e</v>
      </c>
    </row>
    <row r="45" spans="1:17" ht="20.100000000000001" customHeight="1" x14ac:dyDescent="0.2">
      <c r="D45" s="24" t="s">
        <v>616</v>
      </c>
      <c r="E45" s="172">
        <f>SUM(P25:P32)+N("Partial sum")</f>
        <v>0.193</v>
      </c>
      <c r="F45" s="16" t="str">
        <f t="shared" si="1"/>
        <v>t CO2-e</v>
      </c>
    </row>
    <row r="46" spans="1:17" ht="20.100000000000001" customHeight="1" x14ac:dyDescent="0.2">
      <c r="A46" s="80" t="s">
        <v>1</v>
      </c>
      <c r="D46" s="24" t="s">
        <v>239</v>
      </c>
      <c r="E46" s="172">
        <f>SUM(Q25:Q32)+N("Partial sum")</f>
        <v>6.6778000000000004</v>
      </c>
      <c r="F46" s="16" t="str">
        <f t="shared" si="1"/>
        <v>t CO2-e</v>
      </c>
    </row>
    <row r="47" spans="1:17" ht="20.100000000000001" customHeight="1" x14ac:dyDescent="0.2">
      <c r="A47" s="5" t="str">
        <f>HYPERLINK("#'Constants - Feedlot'!A1", "Constants - Feedlot")</f>
        <v>Constants - Feedlot</v>
      </c>
      <c r="D47" s="152"/>
      <c r="E47" s="152"/>
      <c r="F47" s="152"/>
    </row>
    <row r="48" spans="1:17" ht="20.100000000000001" customHeight="1" x14ac:dyDescent="0.2">
      <c r="A48" s="5" t="str">
        <f>HYPERLINK("#'Constants - Common livestock'!A1", "Constants - Common Livestock")</f>
        <v>Constants - Common Livestock</v>
      </c>
      <c r="D48" s="169" t="str">
        <f>"Total scope 1 - " &amp; D33</f>
        <v>Total scope 1 - Off-road Agriculture and forestry equipment</v>
      </c>
      <c r="E48" s="173"/>
      <c r="F48" s="171"/>
      <c r="H48" s="152"/>
      <c r="I48" s="152"/>
      <c r="J48" s="152"/>
      <c r="L48" s="152"/>
      <c r="M48" s="152"/>
      <c r="N48" s="152"/>
      <c r="O48" s="152"/>
      <c r="P48" s="152"/>
      <c r="Q48" s="152"/>
    </row>
    <row r="49" spans="1:17" ht="20.100000000000001" customHeight="1" x14ac:dyDescent="0.2">
      <c r="A49" s="5" t="str">
        <f>HYPERLINK("#'Constants - Electricity'!A1", "Constants - Electricity")</f>
        <v>Constants - Electricity</v>
      </c>
      <c r="D49" s="24" t="s">
        <v>614</v>
      </c>
      <c r="E49" s="172">
        <f>SUM(N33:N33)+N("Partial sum")</f>
        <v>26.981400000000001</v>
      </c>
      <c r="F49" s="16" t="str">
        <f t="shared" ref="F49:F52" si="2">$E$12</f>
        <v>t CO2-e</v>
      </c>
      <c r="H49" s="152"/>
      <c r="I49" s="152"/>
      <c r="J49" s="152"/>
      <c r="L49" s="152"/>
      <c r="M49" s="152"/>
      <c r="N49" s="152"/>
      <c r="O49" s="152"/>
      <c r="P49" s="152"/>
      <c r="Q49" s="152"/>
    </row>
    <row r="50" spans="1:17" ht="20.100000000000001" customHeight="1" x14ac:dyDescent="0.2">
      <c r="A50" s="5" t="str">
        <f>HYPERLINK("#'Constants - Fertiliser'!A1", "Constants - Fertiliser")</f>
        <v>Constants - Fertiliser</v>
      </c>
      <c r="D50" s="24" t="s">
        <v>615</v>
      </c>
      <c r="E50" s="172">
        <f>SUM(O33:O33)+N("Partial sum")</f>
        <v>0.1158</v>
      </c>
      <c r="F50" s="16" t="str">
        <f t="shared" si="2"/>
        <v>t CO2-e</v>
      </c>
      <c r="H50" s="152"/>
      <c r="I50" s="152"/>
      <c r="J50" s="152"/>
      <c r="L50" s="152"/>
      <c r="M50" s="152"/>
      <c r="N50" s="152"/>
      <c r="O50" s="152"/>
      <c r="P50" s="152"/>
      <c r="Q50" s="152"/>
    </row>
    <row r="51" spans="1:17" ht="20.100000000000001" customHeight="1" x14ac:dyDescent="0.2">
      <c r="A51" s="5" t="str">
        <f>HYPERLINK("#'Constants - Fuel'!A1", "Constants - Fuel")</f>
        <v>Constants - Fuel</v>
      </c>
      <c r="D51" s="24" t="s">
        <v>616</v>
      </c>
      <c r="E51" s="172">
        <f>SUM(P33:P33)+N("Partial sum")</f>
        <v>0.193</v>
      </c>
      <c r="F51" s="16" t="str">
        <f t="shared" si="2"/>
        <v>t CO2-e</v>
      </c>
      <c r="H51" s="152"/>
      <c r="I51" s="152"/>
      <c r="J51" s="152"/>
      <c r="L51" s="152"/>
      <c r="M51" s="152"/>
      <c r="N51" s="152"/>
      <c r="O51" s="152"/>
      <c r="P51" s="152"/>
      <c r="Q51" s="152"/>
    </row>
    <row r="52" spans="1:17" ht="20.100000000000001" customHeight="1" x14ac:dyDescent="0.2">
      <c r="A52" s="5" t="str">
        <f>HYPERLINK("#'Constants - Scope 3'!A1", "Constants - Scope 3")</f>
        <v>Constants - Scope 3</v>
      </c>
      <c r="D52" s="24" t="s">
        <v>239</v>
      </c>
      <c r="E52" s="172">
        <f>SUM(Q33)+N("Partial sum")</f>
        <v>6.6778000000000004</v>
      </c>
      <c r="F52" s="16" t="str">
        <f t="shared" si="2"/>
        <v>t CO2-e</v>
      </c>
      <c r="H52" s="152"/>
      <c r="I52" s="152"/>
      <c r="J52" s="152"/>
      <c r="L52" s="152"/>
      <c r="M52" s="152"/>
      <c r="N52" s="152"/>
      <c r="O52" s="152"/>
      <c r="P52" s="152"/>
      <c r="Q52" s="152"/>
    </row>
    <row r="53" spans="1:17" ht="20.100000000000001" customHeight="1" x14ac:dyDescent="0.2">
      <c r="A53" s="5" t="str">
        <f>HYPERLINK("#'Constants - Solid Waste'!A1", "Constants - Solid Waste")</f>
        <v>Constants - Solid Waste</v>
      </c>
      <c r="D53" s="152"/>
      <c r="E53" s="174"/>
      <c r="F53" s="152"/>
      <c r="G53" s="152"/>
      <c r="H53" s="152"/>
      <c r="I53" s="152"/>
      <c r="J53" s="152"/>
      <c r="L53" s="152"/>
      <c r="M53" s="152"/>
      <c r="N53" s="152"/>
      <c r="O53" s="152"/>
      <c r="P53" s="152"/>
      <c r="Q53" s="152"/>
    </row>
    <row r="54" spans="1:17" ht="20.100000000000001" customHeight="1" x14ac:dyDescent="0.2">
      <c r="A54" s="5" t="str">
        <f>HYPERLINK("#'Constants - Common'!A1", "Constants - Common")</f>
        <v>Constants - Common</v>
      </c>
      <c r="D54" s="169" t="str">
        <f>"Total scope 1 - " &amp; D34</f>
        <v>Total scope 1 - Aviation</v>
      </c>
      <c r="E54" s="173"/>
      <c r="F54" s="171"/>
      <c r="G54" s="152"/>
      <c r="H54" s="152"/>
      <c r="I54" s="152"/>
      <c r="J54" s="152"/>
      <c r="L54" s="152"/>
      <c r="M54" s="152"/>
      <c r="N54" s="152"/>
      <c r="O54" s="152"/>
      <c r="P54" s="152"/>
      <c r="Q54" s="152"/>
    </row>
    <row r="55" spans="1:17" ht="20.100000000000001" customHeight="1" x14ac:dyDescent="0.2">
      <c r="A55" s="5" t="str">
        <f>HYPERLINK("#'Acknowledgements'!A1", "Acknowledgements")</f>
        <v>Acknowledgements</v>
      </c>
      <c r="D55" s="24" t="s">
        <v>614</v>
      </c>
      <c r="E55" s="172">
        <f>SUM(N34:N36)+N("Partial sum")</f>
        <v>0</v>
      </c>
      <c r="F55" s="16" t="str">
        <f t="shared" ref="F55:F58" si="3">$E$12</f>
        <v>t CO2-e</v>
      </c>
      <c r="G55" s="152"/>
      <c r="H55" s="152"/>
      <c r="I55" s="152"/>
      <c r="J55" s="152"/>
      <c r="L55" s="152"/>
      <c r="M55" s="152"/>
      <c r="N55" s="152"/>
      <c r="O55" s="152"/>
      <c r="P55" s="152"/>
      <c r="Q55" s="152"/>
    </row>
    <row r="56" spans="1:17" ht="20.100000000000001" customHeight="1" x14ac:dyDescent="0.2">
      <c r="D56" s="24" t="s">
        <v>615</v>
      </c>
      <c r="E56" s="172">
        <f>SUM(O34:O36)+N("Partial sum")</f>
        <v>0</v>
      </c>
      <c r="F56" s="16" t="str">
        <f t="shared" si="3"/>
        <v>t CO2-e</v>
      </c>
      <c r="G56" s="152"/>
      <c r="H56" s="152"/>
      <c r="I56" s="152"/>
      <c r="J56" s="152"/>
      <c r="L56" s="152"/>
      <c r="M56" s="152"/>
      <c r="N56" s="152"/>
      <c r="O56" s="152"/>
      <c r="P56" s="152"/>
      <c r="Q56" s="152"/>
    </row>
    <row r="57" spans="1:17" ht="20.100000000000001" customHeight="1" x14ac:dyDescent="0.2">
      <c r="D57" s="24" t="s">
        <v>616</v>
      </c>
      <c r="E57" s="172">
        <f>SUM(P34:P36)+N("Partial sum")</f>
        <v>0</v>
      </c>
      <c r="F57" s="16" t="str">
        <f t="shared" si="3"/>
        <v>t CO2-e</v>
      </c>
      <c r="G57" s="152"/>
      <c r="H57" s="152"/>
      <c r="I57" s="152"/>
      <c r="J57" s="152"/>
      <c r="L57" s="152"/>
      <c r="M57" s="152"/>
      <c r="N57" s="152"/>
      <c r="O57" s="152"/>
      <c r="P57" s="152"/>
      <c r="Q57" s="152"/>
    </row>
    <row r="58" spans="1:17" ht="20.100000000000001" customHeight="1" x14ac:dyDescent="0.2">
      <c r="D58" s="24" t="s">
        <v>239</v>
      </c>
      <c r="E58" s="172">
        <f>SUM(Q34:Q36)+N("Partial sum")</f>
        <v>0</v>
      </c>
      <c r="F58" s="16" t="str">
        <f t="shared" si="3"/>
        <v>t CO2-e</v>
      </c>
      <c r="G58" s="152"/>
      <c r="H58" s="152"/>
      <c r="I58" s="152"/>
      <c r="J58" s="152"/>
      <c r="L58" s="152"/>
      <c r="M58" s="152"/>
      <c r="N58" s="152"/>
      <c r="O58" s="152"/>
      <c r="P58" s="152"/>
      <c r="Q58" s="152"/>
    </row>
    <row r="59" spans="1:17" ht="20.100000000000001" customHeight="1" x14ac:dyDescent="0.2">
      <c r="D59" s="152"/>
      <c r="E59" s="174"/>
      <c r="F59" s="152"/>
      <c r="G59" s="152"/>
      <c r="H59" s="152"/>
      <c r="I59" s="152"/>
      <c r="J59" s="152"/>
      <c r="L59" s="152"/>
      <c r="M59" s="152"/>
      <c r="N59" s="152"/>
      <c r="O59" s="152"/>
      <c r="P59" s="152"/>
      <c r="Q59" s="152"/>
    </row>
    <row r="60" spans="1:17" ht="20.100000000000001" customHeight="1" x14ac:dyDescent="0.2">
      <c r="D60" s="169" t="str">
        <f>"Total scope 1 - " &amp; D37</f>
        <v>Total scope 1 - Vessels</v>
      </c>
      <c r="E60" s="173"/>
      <c r="F60" s="171"/>
      <c r="G60" s="152"/>
      <c r="H60" s="152"/>
      <c r="I60" s="152"/>
      <c r="J60" s="152"/>
      <c r="L60" s="152"/>
      <c r="M60" s="152"/>
      <c r="N60" s="152"/>
      <c r="O60" s="152"/>
      <c r="P60" s="152"/>
      <c r="Q60" s="152"/>
    </row>
    <row r="61" spans="1:17" ht="20.100000000000001" customHeight="1" x14ac:dyDescent="0.2">
      <c r="D61" s="24" t="s">
        <v>614</v>
      </c>
      <c r="E61" s="172">
        <f>SUM(N37:N39)+N("Partial sum")</f>
        <v>29.219199999999997</v>
      </c>
      <c r="F61" s="16" t="str">
        <f t="shared" ref="F61:F64" si="4">$E$12</f>
        <v>t CO2-e</v>
      </c>
      <c r="G61" s="152"/>
      <c r="H61" s="152"/>
      <c r="I61" s="152"/>
      <c r="J61" s="152"/>
      <c r="L61" s="152"/>
      <c r="M61" s="152"/>
      <c r="N61" s="152"/>
      <c r="O61" s="152"/>
      <c r="P61" s="152"/>
      <c r="Q61" s="152"/>
    </row>
    <row r="62" spans="1:17" ht="20.100000000000001" customHeight="1" x14ac:dyDescent="0.2">
      <c r="D62" s="24" t="s">
        <v>615</v>
      </c>
      <c r="E62" s="172">
        <f>SUM(O37:O39)+N("Partial sum")</f>
        <v>7.9400000000000012E-2</v>
      </c>
      <c r="F62" s="16" t="str">
        <f t="shared" si="4"/>
        <v>t CO2-e</v>
      </c>
      <c r="G62" s="152"/>
      <c r="H62" s="152"/>
      <c r="I62" s="152"/>
      <c r="J62" s="152"/>
      <c r="L62" s="152"/>
      <c r="M62" s="152"/>
      <c r="N62" s="152"/>
      <c r="O62" s="152"/>
      <c r="P62" s="152"/>
      <c r="Q62" s="152"/>
    </row>
    <row r="63" spans="1:17" ht="20.100000000000001" customHeight="1" x14ac:dyDescent="0.2">
      <c r="D63" s="24" t="s">
        <v>616</v>
      </c>
      <c r="E63" s="172">
        <f>SUM(P37:P39)+N("Partial sum")</f>
        <v>0.19850000000000001</v>
      </c>
      <c r="F63" s="16" t="str">
        <f t="shared" si="4"/>
        <v>t CO2-e</v>
      </c>
      <c r="G63" s="152"/>
      <c r="H63" s="152"/>
      <c r="I63" s="152"/>
      <c r="J63" s="152"/>
      <c r="L63" s="152"/>
      <c r="M63" s="152"/>
      <c r="N63" s="152"/>
      <c r="O63" s="152"/>
      <c r="P63" s="152"/>
      <c r="Q63" s="152"/>
    </row>
    <row r="64" spans="1:17" ht="20.100000000000001" customHeight="1" x14ac:dyDescent="0.2">
      <c r="D64" s="24" t="s">
        <v>239</v>
      </c>
      <c r="E64" s="172">
        <f>SUM(Q37:Q39)+N("Partial sum")</f>
        <v>7.1459999999999999</v>
      </c>
      <c r="F64" s="16" t="str">
        <f t="shared" si="4"/>
        <v>t CO2-e</v>
      </c>
      <c r="G64" s="152"/>
      <c r="H64" s="152"/>
      <c r="I64" s="152"/>
      <c r="J64" s="152"/>
      <c r="L64" s="152"/>
      <c r="M64" s="152"/>
      <c r="N64" s="152"/>
      <c r="O64" s="152"/>
      <c r="P64" s="152"/>
      <c r="Q64" s="152"/>
    </row>
    <row r="65" spans="1:17" ht="20.100000000000001" customHeight="1" x14ac:dyDescent="0.2">
      <c r="G65" s="152"/>
      <c r="H65" s="152"/>
      <c r="I65" s="152"/>
      <c r="J65" s="152"/>
      <c r="L65" s="152"/>
      <c r="M65" s="152"/>
      <c r="N65" s="152"/>
      <c r="O65" s="152"/>
      <c r="P65" s="152"/>
      <c r="Q65" s="152"/>
    </row>
    <row r="66" spans="1:17" ht="20.100000000000001" customHeight="1" x14ac:dyDescent="0.2">
      <c r="A66" s="79" t="str">
        <f>HYPERLINK("#A1", "▲ Back to top")</f>
        <v>▲ Back to top</v>
      </c>
      <c r="D66" s="169" t="s">
        <v>617</v>
      </c>
      <c r="E66" s="175"/>
      <c r="F66" s="171"/>
      <c r="G66" s="152"/>
      <c r="H66" s="152"/>
      <c r="I66" s="152"/>
      <c r="J66" s="152"/>
      <c r="L66" s="152"/>
      <c r="M66" s="152"/>
      <c r="N66" s="152"/>
      <c r="O66" s="152"/>
      <c r="P66" s="152"/>
      <c r="Q66" s="152"/>
    </row>
    <row r="67" spans="1:17" ht="20.100000000000001" customHeight="1" x14ac:dyDescent="0.2">
      <c r="D67" s="24" t="s">
        <v>614</v>
      </c>
      <c r="E67" s="172">
        <f>E43+E49+E55+E61</f>
        <v>83.182000000000002</v>
      </c>
      <c r="F67" s="16" t="str">
        <f t="shared" ref="F67:F70" si="5">$E$12</f>
        <v>t CO2-e</v>
      </c>
      <c r="G67" s="152"/>
    </row>
    <row r="68" spans="1:17" ht="20.100000000000001" customHeight="1" x14ac:dyDescent="0.2">
      <c r="D68" s="24" t="s">
        <v>615</v>
      </c>
      <c r="E68" s="172">
        <f t="shared" ref="E68:E70" si="6">E44+E50+E56+E62</f>
        <v>0.19906000000000001</v>
      </c>
      <c r="F68" s="16" t="str">
        <f t="shared" si="5"/>
        <v>t CO2-e</v>
      </c>
      <c r="G68" s="152"/>
    </row>
    <row r="69" spans="1:17" ht="20.100000000000001" customHeight="1" x14ac:dyDescent="0.2">
      <c r="D69" s="24" t="s">
        <v>616</v>
      </c>
      <c r="E69" s="172">
        <f t="shared" si="6"/>
        <v>0.58450000000000002</v>
      </c>
      <c r="F69" s="16" t="str">
        <f t="shared" si="5"/>
        <v>t CO2-e</v>
      </c>
      <c r="G69" s="152"/>
    </row>
    <row r="70" spans="1:17" ht="20.100000000000001" customHeight="1" x14ac:dyDescent="0.2">
      <c r="D70" s="24" t="s">
        <v>239</v>
      </c>
      <c r="E70" s="172">
        <f t="shared" si="6"/>
        <v>20.5016</v>
      </c>
      <c r="F70" s="16" t="str">
        <f t="shared" si="5"/>
        <v>t CO2-e</v>
      </c>
      <c r="G70" s="152"/>
    </row>
    <row r="71" spans="1:17" ht="20.100000000000001" customHeight="1" x14ac:dyDescent="0.2">
      <c r="G71" s="152"/>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7F01C32C-8D4A-4D74-9A27-D95E35C5598D}"/>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F00FF-C55A-4329-87C0-86186C430CD0}">
  <sheetPr>
    <tabColor rgb="FF008000"/>
  </sheetPr>
  <dimension ref="A1:R71"/>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0" customFormat="1" ht="30" customHeight="1" x14ac:dyDescent="0.35">
      <c r="A1" s="10" t="e" vm="1">
        <v>#VALUE!</v>
      </c>
      <c r="C1" s="20" t="s">
        <v>618</v>
      </c>
    </row>
    <row r="2" spans="1:18" s="3" customFormat="1" ht="20.100000000000001" customHeight="1" x14ac:dyDescent="0.2">
      <c r="A2"/>
    </row>
    <row r="3" spans="1:18" ht="20.100000000000001" customHeight="1" x14ac:dyDescent="0.2">
      <c r="A3" s="5" t="str">
        <f>HYPERLINK("#'Home'!A1", "Home")</f>
        <v>Home</v>
      </c>
      <c r="C3" s="22"/>
      <c r="D3" s="22" t="s">
        <v>130</v>
      </c>
      <c r="E3" s="22"/>
      <c r="F3" s="22"/>
      <c r="G3" s="22"/>
      <c r="H3" s="22"/>
      <c r="I3" s="22"/>
      <c r="J3" s="22"/>
      <c r="K3" s="22"/>
      <c r="L3" s="22"/>
      <c r="M3" s="22"/>
      <c r="N3" s="22"/>
      <c r="O3" s="22"/>
      <c r="P3" s="22"/>
      <c r="Q3" s="22"/>
      <c r="R3" s="22"/>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52"/>
      <c r="P5" s="152"/>
      <c r="Q5" s="152"/>
      <c r="R5" s="152"/>
    </row>
    <row r="6" spans="1:18" ht="20.100000000000001" customHeight="1" x14ac:dyDescent="0.2">
      <c r="D6" s="17" t="str" cm="1">
        <f t="array" ref="D6">Fuel_Equations.VEERG_8_2_1_1__1_FuelCombustionStationary_Source()</f>
        <v>VEERG 2026: 8.2.1.1, Equation (1)</v>
      </c>
      <c r="K6" s="17" t="str" cm="1">
        <f t="array" ref="K6">Scope3_Equations.VEERG_15_11_1_1__3_UpstreamStationaryFuelEmissions_Source()</f>
        <v>VEERG 2026: 15.11.1.1, Equation (3)</v>
      </c>
      <c r="O6" s="152"/>
      <c r="P6" s="152"/>
      <c r="Q6" s="152"/>
      <c r="R6" s="152"/>
    </row>
    <row r="7" spans="1:18" ht="20.100000000000001" customHeight="1" x14ac:dyDescent="0.2">
      <c r="D7" s="112" t="s">
        <v>321</v>
      </c>
      <c r="E7" s="112" t="str" cm="1">
        <f t="array" aca="1" ref="E7" ca="1">Common_InputFunctions.Utility_DisplayFunctionName(N25)</f>
        <v>=Fuel_Equations.VEERG_8_2_1_1__1_FuelCombustionStationary</v>
      </c>
      <c r="K7" s="25" t="str" cm="1">
        <f t="array" ref="K7">Scope3_Equations.VEERG_15_11_1_1__3_UpstreamStationaryFuelEmissions_Variation()</f>
        <v>VARIATION ON SOURCE: Added 'state' and 'metro/non-metro' arguments as gaseous scope 3 EFs are state and metro/non-metro location-based.</v>
      </c>
      <c r="O7" s="152"/>
      <c r="P7" s="152"/>
      <c r="Q7" s="152"/>
      <c r="R7" s="152"/>
    </row>
    <row r="8" spans="1:18" ht="20.100000000000001" customHeight="1" x14ac:dyDescent="0.2">
      <c r="A8" s="7" t="s">
        <v>0</v>
      </c>
      <c r="K8" s="112" t="s">
        <v>321</v>
      </c>
      <c r="L8" s="112" t="str" cm="1">
        <f t="array" aca="1" ref="L8" ca="1">Common_InputFunctions.Utility_DisplayFunctionName(Q25)</f>
        <v>=Fuel_Equations.VEERG_8_2_1_1__1_FuelCombustionStationary</v>
      </c>
      <c r="O8" s="152"/>
      <c r="P8" s="152"/>
      <c r="Q8" s="152"/>
      <c r="R8" s="152"/>
    </row>
    <row r="9" spans="1:18" ht="20.100000000000001" customHeight="1" x14ac:dyDescent="0.2">
      <c r="A9" s="5" t="str">
        <f>HYPERLINK("#'Input - Enterprise'!A1", "Enterprise")</f>
        <v>Enterprise</v>
      </c>
      <c r="G9" s="17"/>
      <c r="O9" s="152"/>
      <c r="P9" s="152"/>
      <c r="Q9" s="152"/>
      <c r="R9" s="152"/>
    </row>
    <row r="10" spans="1:18" ht="20.100000000000001" customHeight="1" x14ac:dyDescent="0.2">
      <c r="A10" s="5" t="str">
        <f>HYPERLINK("#'Input - Site'!A1", "Site")</f>
        <v>Site</v>
      </c>
      <c r="O10" s="152"/>
      <c r="P10" s="152"/>
      <c r="Q10" s="152"/>
      <c r="R10" s="152"/>
    </row>
    <row r="11" spans="1:18" ht="20.100000000000001" customHeight="1" x14ac:dyDescent="0.2">
      <c r="A11" s="5" t="str">
        <f>HYPERLINK("#'Input - Feedlot'!A1", "Feedlot")</f>
        <v>Feedlot</v>
      </c>
      <c r="D11" s="75" t="s">
        <v>322</v>
      </c>
      <c r="E11" s="1" t="str" cm="1">
        <f t="array" ref="E11">Fuel_Equations.VEERG_8_2_1_1__1_FuelCombustionStationary_Variable()</f>
        <v>E_g</v>
      </c>
      <c r="K11" s="75" t="s">
        <v>322</v>
      </c>
      <c r="L11" s="1" t="str" cm="1">
        <f t="array" ref="L11">Scope3_Equations.VEERG_15_11_1_1__3_UpstreamStationaryFuelEmissions_Variable()</f>
        <v>E_WTTSCq</v>
      </c>
      <c r="O11" s="152"/>
      <c r="P11" s="152"/>
      <c r="Q11" s="152"/>
      <c r="R11" s="152"/>
    </row>
    <row r="12" spans="1:18" ht="20.100000000000001" customHeight="1" x14ac:dyDescent="0.2">
      <c r="A12" s="5" t="str">
        <f>HYPERLINK("#'Input - Livestock sales'!A1", "Livestock sales")</f>
        <v>Livestock sales</v>
      </c>
      <c r="D12" s="75" t="s">
        <v>118</v>
      </c>
      <c r="E12" s="9" t="str" cm="1">
        <f t="array" ref="E12">Fuel_Equations.VEERG_8_2_1_1__1_FuelCombustionStationary_Unit()</f>
        <v>t CO2-e</v>
      </c>
      <c r="K12" s="75" t="s">
        <v>118</v>
      </c>
      <c r="L12" s="9" t="str" cm="1">
        <f t="array" ref="L12">Scope3_Equations.VEERG_15_11_1_1__3_UpstreamStationaryFuelEmissions_Unit()</f>
        <v>t CO2e</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Fuel'!A1", "Fuel")</f>
        <v>Fuel</v>
      </c>
      <c r="D14" s="113" t="str" cm="1">
        <f t="array" ref="D14:E20">_xlfn.CHOOSECOLS(Fuel_Equations.VEERG_8_2_1_1__1_FuelCombustionStationary_Arguments(), 1,2)</f>
        <v>Q_SCq</v>
      </c>
      <c r="E14" s="121" t="str">
        <v>Amount of fuel type q used for stationary combustion operations</v>
      </c>
      <c r="F14" s="122"/>
      <c r="G14" s="113" t="str" cm="1">
        <f t="array" ref="G14:H20">_xlfn.CHOOSECOLS(Fuel_Equations.VEERG_8_2_1_1__1_FuelCombustionStationary_Arguments(), 3,4)</f>
        <v>Varies based on fuel type: kL, m3, GJ</v>
      </c>
      <c r="H14" s="114" t="str">
        <v>Input</v>
      </c>
      <c r="I14" s="116" t="str" cm="1">
        <f t="array" aca="1" ref="I14" ca="1">HYPERLINK(Common_InputFunctions.Utility_SourceHyperlink($D$22), $D$22)</f>
        <v>Table_E_g</v>
      </c>
      <c r="K14" s="113" t="str" cm="1">
        <f t="array" ref="K14:L18">_xlfn.CHOOSECOLS(Scope3_Equations.VEERG_15_11_1_1__3_UpstreamStationaryFuelEmissions_Arguments(),1,2)</f>
        <v>Q_SCq</v>
      </c>
      <c r="L14" s="113" t="str">
        <v>amount of fuel q used for stationary combustion operations</v>
      </c>
      <c r="M14" s="113"/>
      <c r="N14" s="113" t="str" cm="1">
        <f t="array" ref="N14:O18">_xlfn.CHOOSECOLS(Scope3_Equations.VEERG_15_11_1_1__3_UpstreamStationaryFuelEmissions_Arguments(),3,4)</f>
        <v>kL</v>
      </c>
      <c r="O14" s="114" t="str">
        <v>Input</v>
      </c>
      <c r="P14" s="116" t="str" cm="1">
        <f t="array" aca="1" ref="P14" ca="1">HYPERLINK(Common_InputFunctions.Utility_SourceHyperlink($D$22), $D$22)</f>
        <v>Table_E_g</v>
      </c>
      <c r="Q14" s="152"/>
    </row>
    <row r="15" spans="1:18" ht="20.100000000000001" customHeight="1" x14ac:dyDescent="0.2">
      <c r="A15" s="5" t="str">
        <f>HYPERLINK("#'Input - Electricity'!A1", "Electricity")</f>
        <v>Electricity</v>
      </c>
      <c r="D15" s="113" t="str">
        <v>EC_SCq</v>
      </c>
      <c r="E15" s="121" t="str">
        <v>Energy content factor for stationary combustion operations</v>
      </c>
      <c r="F15" s="122"/>
      <c r="G15" s="113" t="str">
        <v>GJ / unit of fuel</v>
      </c>
      <c r="H15" s="115" t="str">
        <v>Constant</v>
      </c>
      <c r="I15" s="116" t="str" cm="1">
        <f t="array" aca="1" ref="I15" ca="1">HYPERLINK(Common_InputFunctions.Utility_SourceHyperlink($D$22), $D$22)</f>
        <v>Table_E_g</v>
      </c>
      <c r="K15" s="113" t="str">
        <v>EC_SCq</v>
      </c>
      <c r="L15" s="113" t="str">
        <v>energy content factor for stationary combustion operations</v>
      </c>
      <c r="M15" s="113"/>
      <c r="N15" s="113" t="str">
        <v>GJ/kL</v>
      </c>
      <c r="O15" s="115" t="str">
        <v>Constant</v>
      </c>
      <c r="P15" s="116" t="str" cm="1">
        <f t="array" aca="1" ref="P15" ca="1">HYPERLINK(Common_InputFunctions.Utility_SourceHyperlink($D$22), $D$22)</f>
        <v>Table_E_g</v>
      </c>
      <c r="Q15" s="152"/>
    </row>
    <row r="16" spans="1:18" ht="20.100000000000001" customHeight="1" x14ac:dyDescent="0.2">
      <c r="A16" s="5" t="str">
        <f>HYPERLINK("#'Input - Common farm inputs'!A1", "Common farm inputs")</f>
        <v>Common farm inputs</v>
      </c>
      <c r="D16" s="113" t="str">
        <v>EF_SC1qg</v>
      </c>
      <c r="E16" s="121" t="str">
        <v>Scope 1 emission factor for stationary combustion for each greenhouse gas</v>
      </c>
      <c r="F16" s="122"/>
      <c r="G16" s="113" t="str">
        <v>kg CO2e / GJ</v>
      </c>
      <c r="H16" s="115" t="str">
        <v>Constant</v>
      </c>
      <c r="I16" s="116" t="str" cm="1">
        <f t="array" aca="1" ref="I16" ca="1">HYPERLINK(Common_InputFunctions.Utility_SourceHyperlink($D$22), $D$22)</f>
        <v>Table_E_g</v>
      </c>
      <c r="K16" s="113" t="str">
        <v>EF_SC3q</v>
      </c>
      <c r="L16" s="113" t="str">
        <v>scope 3 emission factor for stationary combustion operations</v>
      </c>
      <c r="M16" s="113"/>
      <c r="N16" s="113" t="str">
        <v>kg CO2e/GJ</v>
      </c>
      <c r="O16" s="115" t="str">
        <v>Constant</v>
      </c>
      <c r="P16" s="116" t="str" cm="1">
        <f t="array" aca="1" ref="P16" ca="1">HYPERLINK(Common_InputFunctions.Utility_SourceHyperlink($D$22), $D$22)</f>
        <v>Table_E_g</v>
      </c>
      <c r="Q16" s="152"/>
    </row>
    <row r="17" spans="1:17" ht="20.100000000000001" customHeight="1" x14ac:dyDescent="0.2">
      <c r="A17" s="5" t="str">
        <f>HYPERLINK("#'Input - Livestock farm Inputs'!A1", "Livestock farm Inputs")</f>
        <v>Livestock farm Inputs</v>
      </c>
      <c r="D17" s="113" t="str">
        <v>q</v>
      </c>
      <c r="E17" s="121" t="str">
        <v>Fuel type</v>
      </c>
      <c r="F17" s="122"/>
      <c r="G17" s="113" t="str">
        <v/>
      </c>
      <c r="H17" s="115" t="str">
        <v>Constant</v>
      </c>
      <c r="I17" s="116"/>
      <c r="J17" s="152"/>
      <c r="K17" s="113" t="str">
        <v>i</v>
      </c>
      <c r="L17" s="121" t="str">
        <v>state</v>
      </c>
      <c r="M17" s="122"/>
      <c r="N17" s="113" t="str">
        <v/>
      </c>
      <c r="O17" s="114" t="str">
        <v>Input</v>
      </c>
      <c r="P17" s="113" t="str">
        <f>X_Cell_Site_State</f>
        <v>Western Australia</v>
      </c>
      <c r="Q17" s="152"/>
    </row>
    <row r="18" spans="1:17" ht="20.100000000000001" customHeight="1" x14ac:dyDescent="0.2">
      <c r="A18" s="5" t="str">
        <f>HYPERLINK("#'Input - Freight'!A1", "Freight")</f>
        <v>Freight</v>
      </c>
      <c r="D18" s="113" t="str">
        <v>SC</v>
      </c>
      <c r="E18" s="121" t="str">
        <v>Stationary combustion</v>
      </c>
      <c r="F18" s="122"/>
      <c r="G18" s="113" t="str">
        <v/>
      </c>
      <c r="H18" s="115" t="str">
        <v>Constant</v>
      </c>
      <c r="I18" s="116"/>
      <c r="J18" s="152"/>
      <c r="K18" s="113" t="str">
        <v>m</v>
      </c>
      <c r="L18" s="121" t="str">
        <v>metropolitan/non-metropolitan location</v>
      </c>
      <c r="M18" s="122"/>
      <c r="N18" s="113" t="str">
        <v/>
      </c>
      <c r="O18" s="114" t="str">
        <v>Input</v>
      </c>
      <c r="P18" s="113" t="str">
        <f>X_Cell_Fuel_IsMetroLocation</f>
        <v>Metro</v>
      </c>
      <c r="Q18" s="152"/>
    </row>
    <row r="19" spans="1:17" ht="20.100000000000001" customHeight="1" x14ac:dyDescent="0.2">
      <c r="A19" s="5" t="str">
        <f>HYPERLINK("#'Input - Solid waste'!A1", "Solid waste")</f>
        <v>Solid waste</v>
      </c>
      <c r="D19" s="113" t="str">
        <v>g</v>
      </c>
      <c r="E19" s="121" t="str">
        <v>Greenhouse gas</v>
      </c>
      <c r="F19" s="122"/>
      <c r="G19" s="113" t="str">
        <v/>
      </c>
      <c r="H19" s="115" t="str">
        <v>Constant</v>
      </c>
      <c r="I19" s="116"/>
      <c r="J19" s="152"/>
      <c r="L19" s="152"/>
      <c r="N19" s="152"/>
      <c r="O19" s="152"/>
      <c r="P19" s="152"/>
      <c r="Q19" s="152"/>
    </row>
    <row r="20" spans="1:17" ht="20.100000000000001" customHeight="1" x14ac:dyDescent="0.2">
      <c r="A20" s="5" t="str">
        <f>HYPERLINK("#'Input - Manure sent off-site'!A1", "Manure sent off-site")</f>
        <v>Manure sent off-site</v>
      </c>
      <c r="D20" s="113" t="str">
        <v>1</v>
      </c>
      <c r="E20" s="121" t="str">
        <v>Scope 1</v>
      </c>
      <c r="F20" s="122"/>
      <c r="G20" s="113" t="str">
        <v/>
      </c>
      <c r="H20" s="115" t="str">
        <v>Constant</v>
      </c>
      <c r="I20" s="116"/>
      <c r="J20" s="152"/>
      <c r="L20" s="152"/>
      <c r="N20" s="152"/>
      <c r="O20" s="152"/>
      <c r="P20" s="152"/>
      <c r="Q20" s="152"/>
    </row>
    <row r="21" spans="1:17" ht="20.100000000000001" customHeight="1" x14ac:dyDescent="0.2">
      <c r="A21" s="5" t="str">
        <f>HYPERLINK("#'Input - Data quality'!A1", "Data quality")</f>
        <v>Data quality</v>
      </c>
      <c r="O21" s="152"/>
      <c r="P21" s="152"/>
      <c r="Q21" s="152"/>
    </row>
    <row r="22" spans="1:17" ht="20.100000000000001" customHeight="1" x14ac:dyDescent="0.2">
      <c r="A22" s="5" t="str">
        <f>HYPERLINK("#'Input - Fert Prod System'!A1", "Fert Prod System")</f>
        <v>Fert Prod System</v>
      </c>
      <c r="D22" s="118" t="s">
        <v>598</v>
      </c>
    </row>
    <row r="23" spans="1:17" ht="20.100000000000001" customHeight="1" x14ac:dyDescent="0.2">
      <c r="A23" s="5" t="str">
        <f>HYPERLINK("#'Input - Fertiliser'!A1", "Fertiliser")</f>
        <v>Fertiliser</v>
      </c>
      <c r="D23" s="119" t="s">
        <v>619</v>
      </c>
    </row>
    <row r="24" spans="1:17" ht="20.100000000000001" customHeight="1" x14ac:dyDescent="0.2">
      <c r="D24" s="120" t="s">
        <v>600</v>
      </c>
      <c r="E24" s="120" t="s">
        <v>601</v>
      </c>
      <c r="F24" s="120" t="s">
        <v>602</v>
      </c>
      <c r="G24" s="120" t="s">
        <v>620</v>
      </c>
      <c r="H24" s="120" t="s">
        <v>621</v>
      </c>
      <c r="I24" s="120" t="s">
        <v>622</v>
      </c>
      <c r="J24" s="120" t="s">
        <v>623</v>
      </c>
      <c r="K24" s="120" t="s">
        <v>624</v>
      </c>
      <c r="L24" s="78" t="s">
        <v>625</v>
      </c>
      <c r="M24" s="120" t="s">
        <v>609</v>
      </c>
      <c r="N24" s="120" t="s">
        <v>610</v>
      </c>
      <c r="O24" s="120" t="s">
        <v>611</v>
      </c>
      <c r="P24" s="120" t="s">
        <v>612</v>
      </c>
      <c r="Q24" s="120" t="s">
        <v>626</v>
      </c>
    </row>
    <row r="25" spans="1:17" ht="20.100000000000001" customHeight="1" x14ac:dyDescent="0.2">
      <c r="D25" s="24" t="str">
        <f>Table_FuelTypesPerUse[[#Headers],[Generators]]</f>
        <v>Generators</v>
      </c>
      <c r="E25" s="153" t="str">
        <f>'Constants - Fuel'!$D$58</f>
        <v>Automotive gasoline / petrol (other than for use as fuel in an aircraft)</v>
      </c>
      <c r="F25" s="153"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54" cm="1">
        <f t="array" ref="L25">Fuel_InputFunctions.Fuel_TotalConsumption(Table_Input_Fuel[Amount consumed], Table_Input_Fuel[Fuel use (select)], D25, Table_Input_Fuel[Fuel type (select)],F25)</f>
        <v>0</v>
      </c>
      <c r="M25" s="154" t="str" cm="1">
        <f t="array" ref="M25">Common_InputFunctions.Utility_LookupValueInTable(F25,Table_FuelTypes_Units[Fuel type],Table_FuelTypes_Units[Unit])</f>
        <v>kL</v>
      </c>
      <c r="N25" s="176" cm="1">
        <f t="array" ref="N25">Fuel_Equations.VEERG_8_2_1_1__1_FuelCombustionStationary($L25,$G25,H25)</f>
        <v>0</v>
      </c>
      <c r="O25" s="176" cm="1">
        <f t="array" ref="O25">Fuel_Equations.VEERG_8_2_1_1__1_FuelCombustionStationary($L25,$G25,I25)</f>
        <v>0</v>
      </c>
      <c r="P25" s="176" cm="1">
        <f t="array" ref="P25">Fuel_Equations.VEERG_8_2_1_1__1_FuelCombustionStationary($L25,$G25,J25)</f>
        <v>0</v>
      </c>
      <c r="Q25" s="176" cm="1">
        <f t="array" ref="Q25">Fuel_Equations.VEERG_8_2_1_1__1_FuelCombustionStationary($L25,$G25,IF(ISNUMBER(K25), K25, 0))</f>
        <v>0</v>
      </c>
    </row>
    <row r="26" spans="1:17" ht="20.100000000000001" customHeight="1" x14ac:dyDescent="0.2">
      <c r="A26" s="6" t="s">
        <v>2</v>
      </c>
      <c r="D26" s="156" t="str">
        <f t="shared" ref="D26:D31" si="0">$D$25</f>
        <v>Generators</v>
      </c>
      <c r="E26" s="153" t="str">
        <f>'Constants - Fuel'!$D$63</f>
        <v>Diesel oil</v>
      </c>
      <c r="F26" s="153"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54" cm="1">
        <f t="array" ref="L26">Fuel_InputFunctions.Fuel_TotalConsumption(Table_Input_Fuel[Amount consumed], Table_Input_Fuel[Fuel use (select)], D26, Table_Input_Fuel[Fuel type (select)],F26)</f>
        <v>0</v>
      </c>
      <c r="M26" s="154" t="str" cm="1">
        <f t="array" ref="M26">Common_InputFunctions.Utility_LookupValueInTable(F26,Table_FuelTypes_Units[Fuel type],Table_FuelTypes_Units[Unit])</f>
        <v>kL</v>
      </c>
      <c r="N26" s="176" cm="1">
        <f t="array" ref="N26">Fuel_Equations.VEERG_8_2_1_1__1_FuelCombustionStationary($L26,$G26,H26)</f>
        <v>0</v>
      </c>
      <c r="O26" s="176" cm="1">
        <f t="array" ref="O26">Fuel_Equations.VEERG_8_2_1_1__1_FuelCombustionStationary($L26,$G26,I26)</f>
        <v>0</v>
      </c>
      <c r="P26" s="176" cm="1">
        <f t="array" ref="P26">Fuel_Equations.VEERG_8_2_1_1__1_FuelCombustionStationary($L26,$G26,J26)</f>
        <v>0</v>
      </c>
      <c r="Q26" s="176" cm="1">
        <f t="array" ref="Q26">Fuel_Equations.VEERG_8_2_1_1__1_FuelCombustionStationary($L26,$G26,IF(ISNUMBER(K26), K26, 0))</f>
        <v>0</v>
      </c>
    </row>
    <row r="27" spans="1:17" ht="20.100000000000001" customHeight="1" x14ac:dyDescent="0.2">
      <c r="A27" s="5" t="str">
        <f>HYPERLINK("#'3.1.1.1-2 Enteric Methane'!A1", "3.1.1.1-2 Enteric Methane")</f>
        <v>3.1.1.1-2 Enteric Methane</v>
      </c>
      <c r="D27" s="156" t="str">
        <f t="shared" si="0"/>
        <v>Generators</v>
      </c>
      <c r="E27" s="153" t="str">
        <f>'Constants - Fuel'!$D$67</f>
        <v>Liquefied petroleum gas (LPG)</v>
      </c>
      <c r="F27" s="153"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54" cm="1">
        <f t="array" ref="L27">Fuel_InputFunctions.Fuel_TotalConsumption(Table_Input_Fuel[Amount consumed], Table_Input_Fuel[Fuel use (select)], D27, Table_Input_Fuel[Fuel type (select)],F27)</f>
        <v>0</v>
      </c>
      <c r="M27" s="154" t="str" cm="1">
        <f t="array" ref="M27">Common_InputFunctions.Utility_LookupValueInTable(F27,Table_FuelTypes_Units[Fuel type],Table_FuelTypes_Units[Unit])</f>
        <v>kL</v>
      </c>
      <c r="N27" s="176" cm="1">
        <f t="array" ref="N27">Fuel_Equations.VEERG_8_2_1_1__1_FuelCombustionStationary($L27,$G27,H27)</f>
        <v>0</v>
      </c>
      <c r="O27" s="176" cm="1">
        <f t="array" ref="O27">Fuel_Equations.VEERG_8_2_1_1__1_FuelCombustionStationary($L27,$G27,I27)</f>
        <v>0</v>
      </c>
      <c r="P27" s="176" cm="1">
        <f t="array" ref="P27">Fuel_Equations.VEERG_8_2_1_1__1_FuelCombustionStationary($L27,$G27,J27)</f>
        <v>0</v>
      </c>
      <c r="Q27" s="176" cm="1">
        <f t="array" ref="Q27">Fuel_Equations.VEERG_8_2_1_1__1_FuelCombustionStationary($L27,$G27,IF(ISNUMBER(K27), K27, 0))</f>
        <v>0</v>
      </c>
    </row>
    <row r="28" spans="1:17" ht="20.100000000000001" customHeight="1" x14ac:dyDescent="0.2">
      <c r="A28" s="5" t="str">
        <f>HYPERLINK("#'4.1.1.1-2 Methane'!A1", "4.1.1.1-2 Manure Methane")</f>
        <v>4.1.1.1-2 Manure Methane</v>
      </c>
      <c r="D28" s="156" t="str">
        <f t="shared" si="0"/>
        <v>Generators</v>
      </c>
      <c r="E28" s="153" t="str">
        <f>'Constants - Fuel'!$D$73</f>
        <v>Biodiesel</v>
      </c>
      <c r="F28" s="153"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54" cm="1">
        <f t="array" ref="L28">Fuel_InputFunctions.Fuel_TotalConsumption(Table_Input_Fuel[Amount consumed], Table_Input_Fuel[Fuel use (select)], D28, Table_Input_Fuel[Fuel type (select)],F28)</f>
        <v>0</v>
      </c>
      <c r="M28" s="154" t="str" cm="1">
        <f t="array" ref="M28">Common_InputFunctions.Utility_LookupValueInTable(F28,Table_FuelTypes_Units[Fuel type],Table_FuelTypes_Units[Unit])</f>
        <v>kL</v>
      </c>
      <c r="N28" s="176" cm="1">
        <f t="array" ref="N28">Fuel_Equations.VEERG_8_2_1_1__1_FuelCombustionStationary($L28,$G28,H28)</f>
        <v>0</v>
      </c>
      <c r="O28" s="176" cm="1">
        <f t="array" ref="O28">Fuel_Equations.VEERG_8_2_1_1__1_FuelCombustionStationary($L28,$G28,I28)</f>
        <v>0</v>
      </c>
      <c r="P28" s="176" cm="1">
        <f t="array" ref="P28">Fuel_Equations.VEERG_8_2_1_1__1_FuelCombustionStationary($L28,$G28,J28)</f>
        <v>0</v>
      </c>
      <c r="Q28" s="176" cm="1">
        <f t="array" ref="Q28">Fuel_Equations.VEERG_8_2_1_1__1_FuelCombustionStationary($L28,$G28,IF(ISNUMBER(K28), K28, 0))</f>
        <v>0</v>
      </c>
    </row>
    <row r="29" spans="1:17" ht="20.100000000000001" customHeight="1" x14ac:dyDescent="0.2">
      <c r="A29" s="5" t="str">
        <f>HYPERLINK("#'4.1.1.3-4 Direct N20'!A1", "4.1.1.3-4 Manure Direct N2O")</f>
        <v>4.1.1.3-4 Manure Direct N2O</v>
      </c>
      <c r="D29" s="156" t="str">
        <f t="shared" si="0"/>
        <v>Generators</v>
      </c>
      <c r="E29" s="153" t="str">
        <f>'Constants - Fuel'!$D$74</f>
        <v>Ethanol for use as a fuel in an internal combustion engine</v>
      </c>
      <c r="F29" s="153"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54" cm="1">
        <f t="array" ref="L29">Fuel_InputFunctions.Fuel_TotalConsumption(Table_Input_Fuel[Amount consumed], Table_Input_Fuel[Fuel use (select)], D29, Table_Input_Fuel[Fuel type (select)],F29)</f>
        <v>0</v>
      </c>
      <c r="M29" s="154" t="str" cm="1">
        <f t="array" ref="M29">Common_InputFunctions.Utility_LookupValueInTable(F29,Table_FuelTypes_Units[Fuel type],Table_FuelTypes_Units[Unit])</f>
        <v>kL</v>
      </c>
      <c r="N29" s="176" cm="1">
        <f t="array" ref="N29">Fuel_Equations.VEERG_8_2_1_1__1_FuelCombustionStationary($L29,$G29,H29)</f>
        <v>0</v>
      </c>
      <c r="O29" s="176" cm="1">
        <f t="array" ref="O29">Fuel_Equations.VEERG_8_2_1_1__1_FuelCombustionStationary($L29,$G29,I29)</f>
        <v>0</v>
      </c>
      <c r="P29" s="176" cm="1">
        <f t="array" ref="P29">Fuel_Equations.VEERG_8_2_1_1__1_FuelCombustionStationary($L29,$G29,J29)</f>
        <v>0</v>
      </c>
      <c r="Q29" s="176" cm="1">
        <f t="array" ref="Q29">Fuel_Equations.VEERG_8_2_1_1__1_FuelCombustionStationary($L29,$G29,IF(ISNUMBER(K29), K29, 0))</f>
        <v>0</v>
      </c>
    </row>
    <row r="30" spans="1:17" ht="20.100000000000001" customHeight="1" x14ac:dyDescent="0.2">
      <c r="A30" s="5" t="str">
        <f>HYPERLINK("#'4.1.1.5-6 Atmos Deposition'!A1", "4.1.1.5-6 Manure Atmos Dep")</f>
        <v>4.1.1.5-6 Manure Atmos Dep</v>
      </c>
      <c r="D30" s="156" t="str">
        <f t="shared" si="0"/>
        <v>Generators</v>
      </c>
      <c r="E30" s="153" t="str">
        <f>'Constants - Fuel'!$D$75</f>
        <v>Biofuels other than those mentioned in the items above and below</v>
      </c>
      <c r="F30" s="153"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54" cm="1">
        <f t="array" ref="L30">Fuel_InputFunctions.Fuel_TotalConsumption(Table_Input_Fuel[Amount consumed], Table_Input_Fuel[Fuel use (select)], D30, Table_Input_Fuel[Fuel type (select)],F30)</f>
        <v>0</v>
      </c>
      <c r="M30" s="154" t="str" cm="1">
        <f t="array" ref="M30">Common_InputFunctions.Utility_LookupValueInTable(F30,Table_FuelTypes_Units[Fuel type],Table_FuelTypes_Units[Unit])</f>
        <v>kL</v>
      </c>
      <c r="N30" s="176" cm="1">
        <f t="array" ref="N30">Fuel_Equations.VEERG_8_2_1_1__1_FuelCombustionStationary($L30,$G30,H30)</f>
        <v>0</v>
      </c>
      <c r="O30" s="176" cm="1">
        <f t="array" ref="O30">Fuel_Equations.VEERG_8_2_1_1__1_FuelCombustionStationary($L30,$G30,I30)</f>
        <v>0</v>
      </c>
      <c r="P30" s="176" cm="1">
        <f t="array" ref="P30">Fuel_Equations.VEERG_8_2_1_1__1_FuelCombustionStationary($L30,$G30,J30)</f>
        <v>0</v>
      </c>
      <c r="Q30" s="176" cm="1">
        <f t="array" ref="Q30">Fuel_Equations.VEERG_8_2_1_1__1_FuelCombustionStationary($L30,$G30,IF(ISNUMBER(K30), K30, 0))</f>
        <v>0</v>
      </c>
    </row>
    <row r="31" spans="1:17" ht="20.100000000000001" customHeight="1" x14ac:dyDescent="0.2">
      <c r="A31" s="5" t="str">
        <f>HYPERLINK("#'4.1.1.9 Manure applied to soils'!A1", "4.1.1.9 Manure applied to soils")</f>
        <v>4.1.1.9 Manure applied to soils</v>
      </c>
      <c r="D31" s="156" t="str">
        <f t="shared" si="0"/>
        <v>Generators</v>
      </c>
      <c r="E31" s="153" t="str">
        <f>'Constants - Fuel'!$D$77</f>
        <v>Renewable diesel</v>
      </c>
      <c r="F31" s="153" t="str">
        <f>'Constants - Fuel'!D137</f>
        <v>Renewable diesel</v>
      </c>
      <c r="G31" s="150">
        <f>IFERROR(_xlfn.XLOOKUP($E31, Table_Fuel_EFs_StationaryLiquid[Fuel combusted], Table_Fuel_EFs_StationaryLiquid[Energy Content Factor (GJ per unit of fuel)]),0)</f>
        <v>38.6</v>
      </c>
      <c r="H31" s="150">
        <f>IFERROR(_xlfn.XLOOKUP($E31, Table_Fuel_EFs_StationaryLiquid[Fuel combusted], Table_Fuel_EFs_StationaryLiquid[Scope 1 Emission Factor (kg CO2 - e / GJ) CO2]),0)</f>
        <v>0</v>
      </c>
      <c r="I31" s="150">
        <f>IFERROR(_xlfn.XLOOKUP($E31, Table_Fuel_EFs_StationaryLiquid[Fuel combusted], Table_Fuel_EFs_StationaryLiquid[Scope 1 Emission Factor (kg CO2 - e / GJ) CH4]),0)</f>
        <v>0.1</v>
      </c>
      <c r="J31" s="150">
        <f>IFERROR(_xlfn.XLOOKUP($E31, Table_Fuel_EFs_StationaryLiquid[Fuel combusted], Table_Fuel_EFs_StationaryLiquid[Scope 1 Emission Factor (kg CO2 - e / GJ) N2O]),0)</f>
        <v>0.2</v>
      </c>
      <c r="K31" s="150" t="str">
        <f>IFERROR(_xlfn.XLOOKUP($E31, Table_Fuel_EFs_StationaryLiquid[Fuel combusted], Table_Fuel_EFs_StationaryLiquid[Scope 3 Emission Factor (kg CO2 - e / GJ)]),0)</f>
        <v>NE</v>
      </c>
      <c r="L31" s="157" cm="1">
        <f t="array" ref="L31">Fuel_InputFunctions.Fuel_TotalConsumption(Table_Input_Fuel[Amount consumed], Table_Input_Fuel[Fuel use (select)], D31, Table_Input_Fuel[Fuel type (select)],F31)</f>
        <v>0</v>
      </c>
      <c r="M31" s="157" t="str" cm="1">
        <f t="array" ref="M31">Common_InputFunctions.Utility_LookupValueInTable(F31,Table_FuelTypes_Units[Fuel type],Table_FuelTypes_Units[Unit])</f>
        <v>kL</v>
      </c>
      <c r="N31" s="177" cm="1">
        <f t="array" ref="N31">Fuel_Equations.VEERG_8_2_1_1__1_FuelCombustionStationary($L31,$G31,H31)</f>
        <v>0</v>
      </c>
      <c r="O31" s="177" cm="1">
        <f t="array" ref="O31">Fuel_Equations.VEERG_8_2_1_1__1_FuelCombustionStationary($L31,$G31,I31)</f>
        <v>0</v>
      </c>
      <c r="P31" s="177" cm="1">
        <f t="array" ref="P31">Fuel_Equations.VEERG_8_2_1_1__1_FuelCombustionStationary($L31,$G31,J31)</f>
        <v>0</v>
      </c>
      <c r="Q31" s="177" cm="1">
        <f t="array" ref="Q31">Fuel_Equations.VEERG_8_2_1_1__1_FuelCombustionStationary($L31,$G31,IF(ISNUMBER(K31), K31, 0))</f>
        <v>0</v>
      </c>
    </row>
    <row r="32" spans="1:17" ht="20.100000000000001" customHeight="1" x14ac:dyDescent="0.2">
      <c r="A32" s="5" t="str">
        <f>HYPERLINK("#'8.1.1.1-2 Transport fuel'!A1", "8.1.1.1-2 Transport fuel")</f>
        <v>8.1.1.1-2 Transport fuel</v>
      </c>
      <c r="D32" s="159" t="str">
        <f>Table_FuelTypesPerUse[[#Headers],[Power standalone machinery or heating]]</f>
        <v>Power standalone machinery or heating</v>
      </c>
      <c r="E32" s="160" t="str">
        <f>'Constants - Fuel'!$D$58</f>
        <v>Automotive gasoline / petrol (other than for use as fuel in an aircraft)</v>
      </c>
      <c r="F32" s="160" t="str">
        <f>'Constants - Fuel'!E131</f>
        <v>Petrol</v>
      </c>
      <c r="G32" s="167">
        <f>IFERROR(_xlfn.XLOOKUP($E32, Table_Fuel_EFs_StationaryLiquid[Fuel combusted], Table_Fuel_EFs_StationaryLiquid[Energy Content Factor (GJ per unit of fuel)]),0)</f>
        <v>34.200000000000003</v>
      </c>
      <c r="H32" s="167">
        <f>IFERROR(_xlfn.XLOOKUP($E32, Table_Fuel_EFs_StationaryLiquid[Fuel combusted], Table_Fuel_EFs_StationaryLiquid[Scope 1 Emission Factor (kg CO2 - e / GJ) CO2]),0)</f>
        <v>67.400000000000006</v>
      </c>
      <c r="I32" s="167">
        <f>IFERROR(_xlfn.XLOOKUP($E32, Table_Fuel_EFs_StationaryLiquid[Fuel combusted], Table_Fuel_EFs_StationaryLiquid[Scope 1 Emission Factor (kg CO2 - e / GJ) CH4]),0)</f>
        <v>0.2</v>
      </c>
      <c r="J32" s="167">
        <f>IFERROR(_xlfn.XLOOKUP($E32, Table_Fuel_EFs_StationaryLiquid[Fuel combusted], Table_Fuel_EFs_StationaryLiquid[Scope 1 Emission Factor (kg CO2 - e / GJ) N2O]),0)</f>
        <v>0.2</v>
      </c>
      <c r="K32" s="167">
        <f>IFERROR(_xlfn.XLOOKUP($E32, Table_Fuel_EFs_StationaryLiquid[Fuel combusted], Table_Fuel_EFs_StationaryLiquid[Scope 3 Emission Factor (kg CO2 - e / GJ)]),0)</f>
        <v>17.2</v>
      </c>
      <c r="L32" s="163" cm="1">
        <f t="array" ref="L32">Fuel_InputFunctions.Fuel_TotalConsumption(Table_Input_Fuel[Amount consumed], Table_Input_Fuel[Fuel use (select)], D32, Table_Input_Fuel[Fuel type (select)],F32)</f>
        <v>10</v>
      </c>
      <c r="M32" s="164" t="str" cm="1">
        <f t="array" ref="M32">Common_InputFunctions.Utility_LookupValueInTable(F32,Table_FuelTypes_Units[Fuel type],Table_FuelTypes_Units[Unit])</f>
        <v>kL</v>
      </c>
      <c r="N32" s="178" cm="1">
        <f t="array" ref="N32">Fuel_Equations.VEERG_8_2_1_1__1_FuelCombustionStationary($L32,$G32,H32)</f>
        <v>23.050800000000002</v>
      </c>
      <c r="O32" s="178" cm="1">
        <f t="array" ref="O32">Fuel_Equations.VEERG_8_2_1_1__1_FuelCombustionStationary($L32,$G32,I32)</f>
        <v>6.8400000000000002E-2</v>
      </c>
      <c r="P32" s="178" cm="1">
        <f t="array" ref="P32">Fuel_Equations.VEERG_8_2_1_1__1_FuelCombustionStationary($L32,$G32,J32)</f>
        <v>6.8400000000000002E-2</v>
      </c>
      <c r="Q32" s="178" cm="1">
        <f t="array" ref="Q32">Fuel_Equations.VEERG_8_2_1_1__1_FuelCombustionStationary($L32,$G32,IF(ISNUMBER(K32), K32, 0))</f>
        <v>5.8823999999999996</v>
      </c>
    </row>
    <row r="33" spans="1:17" ht="20.100000000000001" customHeight="1" x14ac:dyDescent="0.2">
      <c r="A33" s="117" t="str">
        <f>HYPERLINK("#'8.2.1.1-2 Stationary fuel'!A1", "8.2.1.1-2 Stationary fuel")</f>
        <v>8.2.1.1-2 Stationary fuel</v>
      </c>
      <c r="D33" s="156" t="str">
        <f t="shared" ref="D33:D40" si="1">$D$32</f>
        <v>Power standalone machinery or heating</v>
      </c>
      <c r="E33" s="153" t="str">
        <f>'Constants - Fuel'!$D$63</f>
        <v>Diesel oil</v>
      </c>
      <c r="F33" s="153"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176" cm="1">
        <f t="array" ref="N33">Fuel_Equations.VEERG_8_2_1_1__1_FuelCombustionStationary($L33,$G33,H33)</f>
        <v>0</v>
      </c>
      <c r="O33" s="176" cm="1">
        <f t="array" ref="O33">Fuel_Equations.VEERG_8_2_1_1__1_FuelCombustionStationary($L33,$G33,I33)</f>
        <v>0</v>
      </c>
      <c r="P33" s="176" cm="1">
        <f t="array" ref="P33">Fuel_Equations.VEERG_8_2_1_1__1_FuelCombustionStationary($L33,$G33,J33)</f>
        <v>0</v>
      </c>
      <c r="Q33" s="176" cm="1">
        <f t="array" ref="Q33">Fuel_Equations.VEERG_8_2_1_1__1_FuelCombustionStationary($L33,$G33,IF(ISNUMBER(K33), K33, 0))</f>
        <v>0</v>
      </c>
    </row>
    <row r="34" spans="1:17" ht="20.100000000000001" customHeight="1" x14ac:dyDescent="0.2">
      <c r="A34" s="5" t="str">
        <f>HYPERLINK("#'10.1.1-2 Solid waste treatment'!A1", "10.1.1.1-2 Solid waste")</f>
        <v>10.1.1.1-2 Solid waste</v>
      </c>
      <c r="D34" s="156" t="str">
        <f t="shared" si="1"/>
        <v>Power standalone machinery or heating</v>
      </c>
      <c r="E34" s="153" t="str">
        <f>'Constants - Fuel'!$D$67</f>
        <v>Liquefied petroleum gas (LPG)</v>
      </c>
      <c r="F34" s="153"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176" cm="1">
        <f t="array" ref="N34">Fuel_Equations.VEERG_8_2_1_1__1_FuelCombustionStationary($L34,$G34,H34)</f>
        <v>0</v>
      </c>
      <c r="O34" s="176" cm="1">
        <f t="array" ref="O34">Fuel_Equations.VEERG_8_2_1_1__1_FuelCombustionStationary($L34,$G34,I34)</f>
        <v>0</v>
      </c>
      <c r="P34" s="176" cm="1">
        <f t="array" ref="P34">Fuel_Equations.VEERG_8_2_1_1__1_FuelCombustionStationary($L34,$G34,J34)</f>
        <v>0</v>
      </c>
      <c r="Q34" s="176" cm="1">
        <f t="array" ref="Q34">Fuel_Equations.VEERG_8_2_1_1__1_FuelCombustionStationary($L34,$G34,IF(ISNUMBER(K34), K34, 0))</f>
        <v>0</v>
      </c>
    </row>
    <row r="35" spans="1:17" ht="20.100000000000001" customHeight="1" x14ac:dyDescent="0.2">
      <c r="A35" s="5" t="str">
        <f>HYPERLINK("#'14.1.1-2 Purchased electricity'!A1", "14.1.1-2 Purchased electricity")</f>
        <v>14.1.1-2 Purchased electricity</v>
      </c>
      <c r="D35" s="156" t="str">
        <f t="shared" si="1"/>
        <v>Power standalone machinery or heating</v>
      </c>
      <c r="E35" s="153" t="str">
        <f>'Constants - Fuel'!$D$73</f>
        <v>Biodiesel</v>
      </c>
      <c r="F35" s="153"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176" cm="1">
        <f t="array" ref="N35">Fuel_Equations.VEERG_8_2_1_1__1_FuelCombustionStationary($L35,$G35,H35)</f>
        <v>0</v>
      </c>
      <c r="O35" s="176" cm="1">
        <f t="array" ref="O35">Fuel_Equations.VEERG_8_2_1_1__1_FuelCombustionStationary($L35,$G35,I35)</f>
        <v>0</v>
      </c>
      <c r="P35" s="176" cm="1">
        <f t="array" ref="P35">Fuel_Equations.VEERG_8_2_1_1__1_FuelCombustionStationary($L35,$G35,J35)</f>
        <v>0</v>
      </c>
      <c r="Q35" s="176" cm="1">
        <f t="array" ref="Q35">Fuel_Equations.VEERG_8_2_1_1__1_FuelCombustionStationary($L35,$G35,IF(ISNUMBER(K35), K35, 0))</f>
        <v>0</v>
      </c>
    </row>
    <row r="36" spans="1:17" ht="20.100000000000001" customHeight="1" x14ac:dyDescent="0.2">
      <c r="A36" s="5" t="str">
        <f>HYPERLINK("#'15 Scope 3'!A1", "15 Scope 3")</f>
        <v>15 Scope 3</v>
      </c>
      <c r="D36" s="156" t="str">
        <f t="shared" si="1"/>
        <v>Power standalone machinery or heating</v>
      </c>
      <c r="E36" s="153" t="str">
        <f>'Constants - Fuel'!$D$74</f>
        <v>Ethanol for use as a fuel in an internal combustion engine</v>
      </c>
      <c r="F36" s="153"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176" cm="1">
        <f t="array" ref="N36">Fuel_Equations.VEERG_8_2_1_1__1_FuelCombustionStationary($L36,$G36,H36)</f>
        <v>0</v>
      </c>
      <c r="O36" s="176" cm="1">
        <f t="array" ref="O36">Fuel_Equations.VEERG_8_2_1_1__1_FuelCombustionStationary($L36,$G36,I36)</f>
        <v>0</v>
      </c>
      <c r="P36" s="176" cm="1">
        <f t="array" ref="P36">Fuel_Equations.VEERG_8_2_1_1__1_FuelCombustionStationary($L36,$G36,J36)</f>
        <v>0</v>
      </c>
      <c r="Q36" s="176" cm="1">
        <f t="array" ref="Q36">Fuel_Equations.VEERG_8_2_1_1__1_FuelCombustionStationary($L36,$G36,IF(ISNUMBER(K36), K36, 0))</f>
        <v>0</v>
      </c>
    </row>
    <row r="37" spans="1:17" ht="20.100000000000001" customHeight="1" x14ac:dyDescent="0.2">
      <c r="A37" s="5" t="str">
        <f>HYPERLINK("#'Calcs - Manure sent off-site'!A1", "Calcs - Manure sent off-site")</f>
        <v>Calcs - Manure sent off-site</v>
      </c>
      <c r="D37" s="156" t="str">
        <f t="shared" si="1"/>
        <v>Power standalone machinery or heating</v>
      </c>
      <c r="E37" s="153" t="str">
        <f>'Constants - Fuel'!$D$75</f>
        <v>Biofuels other than those mentioned in the items above and below</v>
      </c>
      <c r="F37" s="153"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176" cm="1">
        <f t="array" ref="N37">Fuel_Equations.VEERG_8_2_1_1__1_FuelCombustionStationary($L37,$G37,H37)</f>
        <v>0</v>
      </c>
      <c r="O37" s="176" cm="1">
        <f t="array" ref="O37">Fuel_Equations.VEERG_8_2_1_1__1_FuelCombustionStationary($L37,$G37,I37)</f>
        <v>0</v>
      </c>
      <c r="P37" s="176" cm="1">
        <f t="array" ref="P37">Fuel_Equations.VEERG_8_2_1_1__1_FuelCombustionStationary($L37,$G37,J37)</f>
        <v>0</v>
      </c>
      <c r="Q37" s="176" cm="1">
        <f t="array" ref="Q37">Fuel_Equations.VEERG_8_2_1_1__1_FuelCombustionStationary($L37,$G37,IF(ISNUMBER(K37), K37, 0))</f>
        <v>0</v>
      </c>
    </row>
    <row r="38" spans="1:17" ht="20.100000000000001" customHeight="1" x14ac:dyDescent="0.2">
      <c r="A38" s="5" t="str">
        <f>HYPERLINK("#'5.1.1.1-2 Inorganic fert N2O'!A1", "5.1.1.1-2 Inorganic fert N2O")</f>
        <v>5.1.1.1-2 Inorganic fert N2O</v>
      </c>
      <c r="D38" s="156" t="str">
        <f t="shared" si="1"/>
        <v>Power standalone machinery or heating</v>
      </c>
      <c r="E38" s="153" t="str">
        <f>'Constants - Fuel'!$D$77</f>
        <v>Renewable diesel</v>
      </c>
      <c r="F38" s="153"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176" cm="1">
        <f t="array" ref="N38">Fuel_Equations.VEERG_8_2_1_1__1_FuelCombustionStationary($L38,$G38,H38)</f>
        <v>0</v>
      </c>
      <c r="O38" s="176" cm="1">
        <f t="array" ref="O38">Fuel_Equations.VEERG_8_2_1_1__1_FuelCombustionStationary($L38,$G38,I38)</f>
        <v>0</v>
      </c>
      <c r="P38" s="176" cm="1">
        <f t="array" ref="P38">Fuel_Equations.VEERG_8_2_1_1__1_FuelCombustionStationary($L38,$G38,J38)</f>
        <v>0</v>
      </c>
      <c r="Q38" s="176" cm="1">
        <f t="array" ref="Q38">Fuel_Equations.VEERG_8_2_1_1__1_FuelCombustionStationary($L38,$G38,IF(ISNUMBER(K38), K38, 0))</f>
        <v>0</v>
      </c>
    </row>
    <row r="39" spans="1:17" ht="20.100000000000001" customHeight="1" x14ac:dyDescent="0.2">
      <c r="A39" s="5" t="str">
        <f>HYPERLINK("#'5.1.1.3-4 Inorganic fert CO2'!A1", "5.1.1.3-4 Inorganic fert CO2")</f>
        <v>5.1.1.3-4 Inorganic fert CO2</v>
      </c>
      <c r="D39" s="156" t="str">
        <f t="shared" si="1"/>
        <v>Power standalone machinery or heating</v>
      </c>
      <c r="E39" s="153" t="str">
        <f>'Constants - Fuel'!$D$103</f>
        <v>Natural gas distributed in a pipeline - Gigajoules</v>
      </c>
      <c r="F39" s="153"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54" cm="1">
        <f t="array" ref="L39">Fuel_InputFunctions.Fuel_TotalConsumption(Table_Input_Fuel[Amount consumed], Table_Input_Fuel[Fuel use (select)], D39, Table_Input_Fuel[Fuel type (select)],F39)</f>
        <v>0</v>
      </c>
      <c r="M39" s="154" t="str" cm="1">
        <f t="array" ref="M39">Common_InputFunctions.Utility_LookupValueInTable(F39,Table_FuelTypes_Units[Fuel type],Table_FuelTypes_Units[Unit])</f>
        <v>GJ</v>
      </c>
      <c r="N39" s="176" cm="1">
        <f t="array" ref="N39">Fuel_Equations.VEERG_8_2_1_1__1_FuelCombustionStationary($L39,$G39,H39)</f>
        <v>0</v>
      </c>
      <c r="O39" s="176" cm="1">
        <f t="array" ref="O39">Fuel_Equations.VEERG_8_2_1_1__1_FuelCombustionStationary($L39,$G39,I39)</f>
        <v>0</v>
      </c>
      <c r="P39" s="176" cm="1">
        <f t="array" ref="P39">Fuel_Equations.VEERG_8_2_1_1__1_FuelCombustionStationary($L39,$G39,J39)</f>
        <v>0</v>
      </c>
      <c r="Q39" s="176" cm="1">
        <f t="array" ref="Q39">Fuel_Equations.VEERG_8_2_1_1__1_FuelCombustionStationary($L39,$G39,IF(ISNUMBER(K39), K39, 0))</f>
        <v>0</v>
      </c>
    </row>
    <row r="40" spans="1:17" ht="20.100000000000001" customHeight="1" x14ac:dyDescent="0.2">
      <c r="A40" s="5" t="str">
        <f>HYPERLINK("#'5.2.1.1-2 Organic Fert N2O'!A1", "5.2.1.1-2 Organic Fert N2O")</f>
        <v>5.2.1.1-2 Organic Fert N2O</v>
      </c>
      <c r="D40" s="156" t="str">
        <f t="shared" si="1"/>
        <v>Power standalone machinery or heating</v>
      </c>
      <c r="E40" s="153" t="str">
        <f>'Constants - Fuel'!$D$104</f>
        <v>Town gas - Gigajoules</v>
      </c>
      <c r="F40" s="153"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54" cm="1">
        <f t="array" ref="L40">Fuel_InputFunctions.Fuel_TotalConsumption(Table_Input_Fuel[Amount consumed], Table_Input_Fuel[Fuel use (select)], D40, Table_Input_Fuel[Fuel type (select)],F40)</f>
        <v>100</v>
      </c>
      <c r="M40" s="154" t="str" cm="1">
        <f t="array" ref="M40">Common_InputFunctions.Utility_LookupValueInTable(F40,Table_FuelTypes_Units[Fuel type],Table_FuelTypes_Units[Unit])</f>
        <v>GJ</v>
      </c>
      <c r="N40" s="176" cm="1">
        <f t="array" ref="N40">Fuel_Equations.VEERG_8_2_1_1__1_FuelCombustionStationary($L40,$G40,H40)</f>
        <v>6.0200000000000005</v>
      </c>
      <c r="O40" s="176" cm="1">
        <f t="array" ref="O40">Fuel_Equations.VEERG_8_2_1_1__1_FuelCombustionStationary($L40,$G40,I40)</f>
        <v>4.0000000000000001E-3</v>
      </c>
      <c r="P40" s="176" cm="1">
        <f t="array" ref="P40">Fuel_Equations.VEERG_8_2_1_1__1_FuelCombustionStationary($L40,$G40,J40)</f>
        <v>3.0000000000000001E-3</v>
      </c>
      <c r="Q40" s="176" cm="1">
        <f t="array" ref="Q40">Fuel_Equations.VEERG_8_2_1_1__1_FuelCombustionStationary($L40,$G40,IF(ISNUMBER(K40), K40, 0))</f>
        <v>0.41</v>
      </c>
    </row>
    <row r="41" spans="1:17" ht="20.100000000000001" customHeight="1" x14ac:dyDescent="0.2">
      <c r="A41" s="5" t="str">
        <f>HYPERLINK("#'5.3.1.1-2 Lime CO2'!A1", "5.3.1.1-2 Lime CO2")</f>
        <v>5.3.1.1-2 Lime CO2</v>
      </c>
    </row>
    <row r="42" spans="1:17" ht="20.100000000000001" customHeight="1" x14ac:dyDescent="0.2">
      <c r="A42" s="5" t="str">
        <f>HYPERLINK("#'5.4.1.1-4 Atmos deposition'!A1", "5.4.1.1-4 Atmos deposition")</f>
        <v>5.4.1.1-4 Atmos deposition</v>
      </c>
      <c r="D42" s="169" t="str">
        <f>"Total scope 1 - " &amp; D25</f>
        <v>Total scope 1 - Generators</v>
      </c>
      <c r="E42" s="170"/>
      <c r="F42" s="171"/>
    </row>
    <row r="43" spans="1:17" ht="20.100000000000001" customHeight="1" x14ac:dyDescent="0.2">
      <c r="A43" s="5" t="str">
        <f>HYPERLINK("#'5.5.1.1-2 Leaching and runoff'!A1", "5.5.1.1-2 Leaching and runoff")</f>
        <v>5.5.1.1-2 Leaching and runoff</v>
      </c>
      <c r="D43" s="24" t="s">
        <v>614</v>
      </c>
      <c r="E43" s="172">
        <f>SUM(N25:N31)+N("Partial sum")</f>
        <v>0</v>
      </c>
      <c r="F43" s="16" t="str">
        <f>$E$12</f>
        <v>t CO2-e</v>
      </c>
    </row>
    <row r="44" spans="1:17" ht="20.100000000000001" customHeight="1" x14ac:dyDescent="0.2">
      <c r="D44" s="24" t="s">
        <v>615</v>
      </c>
      <c r="E44" s="172">
        <f>SUM(O25:O31)+N("Partial sum")</f>
        <v>0</v>
      </c>
      <c r="F44" s="16" t="str">
        <f t="shared" ref="F44:F46" si="2">$E$12</f>
        <v>t CO2-e</v>
      </c>
    </row>
    <row r="45" spans="1:17" ht="20.100000000000001" customHeight="1" x14ac:dyDescent="0.2">
      <c r="D45" s="24" t="s">
        <v>616</v>
      </c>
      <c r="E45" s="172">
        <f>SUM(P25:P31)+N("Partial sum")</f>
        <v>0</v>
      </c>
      <c r="F45" s="16" t="str">
        <f t="shared" si="2"/>
        <v>t CO2-e</v>
      </c>
    </row>
    <row r="46" spans="1:17" ht="20.100000000000001" customHeight="1" x14ac:dyDescent="0.2">
      <c r="A46" s="80" t="s">
        <v>1</v>
      </c>
      <c r="D46" s="24" t="s">
        <v>239</v>
      </c>
      <c r="E46" s="172">
        <f>SUM(Q25:Q31)+N("Partial sum")</f>
        <v>0</v>
      </c>
      <c r="F46" s="16" t="str">
        <f t="shared" si="2"/>
        <v>t CO2-e</v>
      </c>
    </row>
    <row r="47" spans="1:17" ht="20.100000000000001" customHeight="1" x14ac:dyDescent="0.2">
      <c r="A47" s="5" t="str">
        <f>HYPERLINK("#'Constants - Feedlot'!A1", "Constants - Feedlot")</f>
        <v>Constants - Feedlot</v>
      </c>
      <c r="H47" s="152"/>
      <c r="I47" s="152"/>
      <c r="J47" s="152"/>
      <c r="L47" s="152"/>
      <c r="N47" s="152"/>
      <c r="O47" s="152"/>
      <c r="P47" s="152"/>
      <c r="Q47" s="152"/>
    </row>
    <row r="48" spans="1:17" ht="20.100000000000001" customHeight="1" x14ac:dyDescent="0.2">
      <c r="A48" s="5" t="str">
        <f>HYPERLINK("#'Constants - Common livestock'!A1", "Constants - Common Livestock")</f>
        <v>Constants - Common Livestock</v>
      </c>
      <c r="D48" s="169" t="str">
        <f>"Total scope 1 - " &amp; D32</f>
        <v>Total scope 1 - Power standalone machinery or heating</v>
      </c>
      <c r="E48" s="173"/>
      <c r="F48" s="171"/>
      <c r="H48" s="152"/>
      <c r="I48" s="152"/>
      <c r="J48" s="152"/>
      <c r="L48" s="152"/>
      <c r="N48" s="152"/>
      <c r="O48" s="152"/>
      <c r="P48" s="152"/>
      <c r="Q48" s="152"/>
    </row>
    <row r="49" spans="1:17" ht="20.100000000000001" customHeight="1" x14ac:dyDescent="0.2">
      <c r="A49" s="5" t="str">
        <f>HYPERLINK("#'Constants - Electricity'!A1", "Constants - Electricity")</f>
        <v>Constants - Electricity</v>
      </c>
      <c r="D49" s="24" t="s">
        <v>614</v>
      </c>
      <c r="E49" s="172">
        <f>SUM(N32:N40)+N("Partial sum")</f>
        <v>29.070800000000002</v>
      </c>
      <c r="F49" s="16" t="str">
        <f t="shared" ref="F49:F52" si="3">$E$12</f>
        <v>t CO2-e</v>
      </c>
      <c r="H49" s="152"/>
      <c r="I49" s="152"/>
      <c r="J49" s="152"/>
      <c r="L49" s="152"/>
      <c r="N49" s="152"/>
      <c r="O49" s="152"/>
      <c r="P49" s="152"/>
      <c r="Q49" s="152"/>
    </row>
    <row r="50" spans="1:17" ht="20.100000000000001" customHeight="1" x14ac:dyDescent="0.2">
      <c r="A50" s="5" t="str">
        <f>HYPERLINK("#'Constants - Fertiliser'!A1", "Constants - Fertiliser")</f>
        <v>Constants - Fertiliser</v>
      </c>
      <c r="D50" s="24" t="s">
        <v>615</v>
      </c>
      <c r="E50" s="172">
        <f>SUM(O32:O40)+N("Partial sum")</f>
        <v>7.2400000000000006E-2</v>
      </c>
      <c r="F50" s="16" t="str">
        <f t="shared" si="3"/>
        <v>t CO2-e</v>
      </c>
      <c r="H50" s="152"/>
      <c r="I50" s="152"/>
      <c r="J50" s="152"/>
      <c r="L50" s="152"/>
      <c r="N50" s="152"/>
      <c r="O50" s="152"/>
      <c r="P50" s="152"/>
      <c r="Q50" s="152"/>
    </row>
    <row r="51" spans="1:17" ht="20.100000000000001" customHeight="1" x14ac:dyDescent="0.2">
      <c r="A51" s="5" t="str">
        <f>HYPERLINK("#'Constants - Fuel'!A1", "Constants - Fuel")</f>
        <v>Constants - Fuel</v>
      </c>
      <c r="D51" s="24" t="s">
        <v>616</v>
      </c>
      <c r="E51" s="172">
        <f>SUM(P32:P40)+N("Partial sum")</f>
        <v>7.1400000000000005E-2</v>
      </c>
      <c r="F51" s="16" t="str">
        <f t="shared" si="3"/>
        <v>t CO2-e</v>
      </c>
      <c r="H51" s="152"/>
      <c r="I51" s="152"/>
      <c r="J51" s="152"/>
      <c r="L51" s="152"/>
      <c r="N51" s="152"/>
      <c r="O51" s="152"/>
      <c r="P51" s="152"/>
      <c r="Q51" s="152"/>
    </row>
    <row r="52" spans="1:17" ht="20.100000000000001" customHeight="1" x14ac:dyDescent="0.2">
      <c r="A52" s="5" t="str">
        <f>HYPERLINK("#'Constants - Scope 3'!A1", "Constants - Scope 3")</f>
        <v>Constants - Scope 3</v>
      </c>
      <c r="D52" s="24" t="s">
        <v>239</v>
      </c>
      <c r="E52" s="172">
        <f>SUM(Q32:Q40)+N("Partial sum")</f>
        <v>6.2923999999999998</v>
      </c>
      <c r="F52" s="16" t="str">
        <f t="shared" si="3"/>
        <v>t CO2-e</v>
      </c>
      <c r="G52" s="152"/>
      <c r="H52" s="152"/>
      <c r="I52" s="152"/>
      <c r="J52" s="152"/>
      <c r="L52" s="152"/>
      <c r="N52" s="152"/>
      <c r="O52" s="152"/>
      <c r="P52" s="152"/>
      <c r="Q52" s="152"/>
    </row>
    <row r="53" spans="1:17" ht="20.100000000000001" customHeight="1" x14ac:dyDescent="0.2">
      <c r="A53" s="5" t="str">
        <f>HYPERLINK("#'Constants - Solid Waste'!A1", "Constants - Solid Waste")</f>
        <v>Constants - Solid Waste</v>
      </c>
      <c r="G53" s="152"/>
      <c r="H53" s="152"/>
      <c r="I53" s="152"/>
      <c r="J53" s="152"/>
      <c r="L53" s="152"/>
      <c r="N53" s="152"/>
      <c r="O53" s="152"/>
      <c r="P53" s="152"/>
      <c r="Q53" s="152"/>
    </row>
    <row r="54" spans="1:17" ht="20.100000000000001" customHeight="1" x14ac:dyDescent="0.2">
      <c r="A54" s="5" t="str">
        <f>HYPERLINK("#'Constants - Common'!A1", "Constants - Common")</f>
        <v>Constants - Common</v>
      </c>
      <c r="D54" s="169" t="s">
        <v>627</v>
      </c>
      <c r="E54" s="173"/>
      <c r="F54" s="171"/>
      <c r="G54" s="152"/>
      <c r="H54" s="152"/>
      <c r="I54" s="152"/>
      <c r="J54" s="152"/>
      <c r="L54" s="152"/>
      <c r="N54" s="152"/>
      <c r="O54" s="152"/>
      <c r="P54" s="152"/>
      <c r="Q54" s="152"/>
    </row>
    <row r="55" spans="1:17" ht="20.100000000000001" customHeight="1" x14ac:dyDescent="0.2">
      <c r="A55" s="5" t="str">
        <f>HYPERLINK("#'Acknowledgements'!A1", "Acknowledgements")</f>
        <v>Acknowledgements</v>
      </c>
      <c r="D55" s="24" t="s">
        <v>614</v>
      </c>
      <c r="E55" s="172">
        <f>E43+E49</f>
        <v>29.070800000000002</v>
      </c>
      <c r="F55" s="16" t="str">
        <f t="shared" ref="F55:F58" si="4">$E$12</f>
        <v>t CO2-e</v>
      </c>
      <c r="G55" s="152"/>
      <c r="H55" s="152"/>
      <c r="I55" s="152"/>
      <c r="J55" s="152"/>
      <c r="L55" s="152"/>
      <c r="N55" s="152"/>
      <c r="O55" s="152"/>
      <c r="P55" s="152"/>
      <c r="Q55" s="152"/>
    </row>
    <row r="56" spans="1:17" ht="20.100000000000001" customHeight="1" x14ac:dyDescent="0.2">
      <c r="D56" s="24" t="s">
        <v>615</v>
      </c>
      <c r="E56" s="172">
        <f>E44+E50</f>
        <v>7.2400000000000006E-2</v>
      </c>
      <c r="F56" s="16" t="str">
        <f t="shared" si="4"/>
        <v>t CO2-e</v>
      </c>
      <c r="H56" s="152"/>
    </row>
    <row r="57" spans="1:17" ht="20.100000000000001" customHeight="1" x14ac:dyDescent="0.2">
      <c r="D57" s="24" t="s">
        <v>616</v>
      </c>
      <c r="E57" s="172">
        <f>E45+E51</f>
        <v>7.1400000000000005E-2</v>
      </c>
      <c r="F57" s="16" t="str">
        <f t="shared" si="4"/>
        <v>t CO2-e</v>
      </c>
      <c r="G57" s="152"/>
      <c r="H57" s="152"/>
      <c r="I57" s="152"/>
      <c r="J57" s="152"/>
      <c r="L57" s="152"/>
      <c r="N57" s="152"/>
      <c r="O57" s="152"/>
      <c r="P57" s="152"/>
      <c r="Q57" s="152"/>
    </row>
    <row r="58" spans="1:17" ht="20.100000000000001" customHeight="1" x14ac:dyDescent="0.2">
      <c r="D58" s="24" t="s">
        <v>239</v>
      </c>
      <c r="E58" s="172">
        <f>E46+E52</f>
        <v>6.2923999999999998</v>
      </c>
      <c r="F58" s="16" t="str">
        <f t="shared" si="4"/>
        <v>t CO2-e</v>
      </c>
      <c r="G58" s="152"/>
      <c r="H58" s="152"/>
      <c r="I58" s="152"/>
      <c r="J58" s="152"/>
      <c r="L58" s="152"/>
      <c r="N58" s="152"/>
      <c r="O58" s="152"/>
      <c r="P58" s="152"/>
      <c r="Q58" s="152"/>
    </row>
    <row r="59" spans="1:17" ht="20.100000000000001" customHeight="1" x14ac:dyDescent="0.2">
      <c r="G59" s="152"/>
      <c r="H59" s="152"/>
      <c r="I59" s="152"/>
      <c r="J59" s="152"/>
      <c r="L59" s="152"/>
      <c r="N59" s="152"/>
      <c r="O59" s="152"/>
      <c r="P59" s="152"/>
      <c r="Q59" s="152"/>
    </row>
    <row r="60" spans="1:17" ht="20.100000000000001" customHeight="1" x14ac:dyDescent="0.2">
      <c r="G60" s="152"/>
      <c r="H60" s="152"/>
      <c r="I60" s="152"/>
      <c r="J60" s="152"/>
      <c r="L60" s="152"/>
      <c r="N60" s="152"/>
      <c r="O60" s="152"/>
      <c r="P60" s="152"/>
      <c r="Q60" s="152"/>
    </row>
    <row r="61" spans="1:17" ht="20.100000000000001" customHeight="1" x14ac:dyDescent="0.2">
      <c r="G61" s="152"/>
      <c r="H61" s="152"/>
      <c r="I61" s="152"/>
      <c r="J61" s="152"/>
      <c r="L61" s="152"/>
      <c r="N61" s="152"/>
      <c r="O61" s="152"/>
      <c r="P61" s="152"/>
      <c r="Q61" s="152"/>
    </row>
    <row r="62" spans="1:17" ht="20.100000000000001" customHeight="1" x14ac:dyDescent="0.2">
      <c r="G62" s="152"/>
      <c r="H62" s="152"/>
      <c r="I62" s="152"/>
      <c r="J62" s="152"/>
      <c r="L62" s="152"/>
      <c r="N62" s="152"/>
      <c r="O62" s="152"/>
      <c r="P62" s="152"/>
      <c r="Q62" s="152"/>
    </row>
    <row r="63" spans="1:17" ht="20.100000000000001" customHeight="1" x14ac:dyDescent="0.2">
      <c r="G63" s="152"/>
      <c r="H63" s="152"/>
      <c r="I63" s="152"/>
      <c r="J63" s="152"/>
      <c r="L63" s="152"/>
      <c r="N63" s="152"/>
      <c r="O63" s="152"/>
      <c r="P63" s="152"/>
      <c r="Q63" s="152"/>
    </row>
    <row r="64" spans="1:17" ht="20.100000000000001" customHeight="1" x14ac:dyDescent="0.2">
      <c r="G64" s="152"/>
      <c r="H64" s="152"/>
      <c r="I64" s="152"/>
      <c r="J64" s="152"/>
      <c r="L64" s="152"/>
      <c r="N64" s="152"/>
      <c r="O64" s="152"/>
      <c r="P64" s="152"/>
      <c r="Q64" s="152"/>
    </row>
    <row r="65" spans="7:17" ht="20.100000000000001" customHeight="1" x14ac:dyDescent="0.2">
      <c r="G65" s="152"/>
      <c r="H65" s="152"/>
      <c r="I65" s="152"/>
      <c r="J65" s="152"/>
      <c r="L65" s="152"/>
      <c r="N65" s="152"/>
      <c r="O65" s="152"/>
      <c r="P65" s="152"/>
      <c r="Q65" s="152"/>
    </row>
    <row r="66" spans="7:17" ht="20.100000000000001" customHeight="1" x14ac:dyDescent="0.2">
      <c r="G66" s="152"/>
      <c r="H66" s="152"/>
      <c r="I66" s="152"/>
      <c r="J66" s="152"/>
      <c r="L66" s="152"/>
      <c r="N66" s="152"/>
      <c r="O66" s="152"/>
      <c r="P66" s="152"/>
      <c r="Q66" s="152"/>
    </row>
    <row r="67" spans="7:17" ht="20.100000000000001" customHeight="1" x14ac:dyDescent="0.2">
      <c r="G67" s="152"/>
    </row>
    <row r="68" spans="7:17" ht="20.100000000000001" customHeight="1" x14ac:dyDescent="0.2">
      <c r="G68" s="152"/>
    </row>
    <row r="69" spans="7:17" ht="20.100000000000001" customHeight="1" x14ac:dyDescent="0.2">
      <c r="G69" s="152"/>
    </row>
    <row r="70" spans="7:17" ht="20.100000000000001" customHeight="1" x14ac:dyDescent="0.2">
      <c r="G70" s="152"/>
    </row>
    <row r="71" spans="7:17" ht="20.100000000000001" customHeight="1" x14ac:dyDescent="0.2">
      <c r="G71" s="152"/>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4020-EDFD-4B33-8CD6-14869D953602}">
  <sheetPr>
    <tabColor rgb="FF008000"/>
  </sheetPr>
  <dimension ref="A1:L34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0" customFormat="1" ht="30" customHeight="1" x14ac:dyDescent="0.35">
      <c r="A1" s="10" t="e" vm="1">
        <v>#VALUE!</v>
      </c>
      <c r="C1" s="20" t="s">
        <v>267</v>
      </c>
    </row>
    <row r="2" spans="1:12" s="3" customFormat="1" ht="20.100000000000001" customHeight="1" x14ac:dyDescent="0.2">
      <c r="A2"/>
    </row>
    <row r="3" spans="1:12" ht="20.100000000000001" customHeight="1" x14ac:dyDescent="0.2">
      <c r="A3" s="5" t="str">
        <f>HYPERLINK("#'Home'!A1", "Home")</f>
        <v>Home</v>
      </c>
      <c r="C3" s="22"/>
      <c r="D3" s="22" t="s">
        <v>130</v>
      </c>
      <c r="E3" s="22"/>
      <c r="F3" s="22"/>
      <c r="G3" s="22"/>
      <c r="H3" s="22"/>
      <c r="I3" s="22"/>
      <c r="J3" s="22"/>
      <c r="K3" s="22"/>
      <c r="L3" s="22"/>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2" t="str" cm="1">
        <f t="array" ref="D5">WasteSolid_Equations.VEERG_10_1_1_1__2_MassOfWasteFromVolume_Title()</f>
        <v>Mass of waste from waste volume</v>
      </c>
    </row>
    <row r="6" spans="1:12" ht="20.100000000000001" customHeight="1" x14ac:dyDescent="0.2">
      <c r="D6" s="17" t="str" cm="1">
        <f t="array" ref="D6">WasteSolid_Equations.VEERG_10_1_1_1__2_MassOfWasteFromVolume_Source()</f>
        <v>VEERG 2026: 10.1.1.1, Equation (2)</v>
      </c>
    </row>
    <row r="7" spans="1:12" ht="20.100000000000001" customHeight="1" x14ac:dyDescent="0.2">
      <c r="D7" s="112" t="s">
        <v>321</v>
      </c>
      <c r="E7" s="112" t="str" cm="1">
        <f t="array" aca="1" ref="E7" ca="1">Common_InputFunctions.Utility_DisplayFunctionName(I21)</f>
        <v>=WasteSolid_Equations.VEERG_10_1_1_1__2_MassOfWasteFromVolume</v>
      </c>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5" t="s">
        <v>322</v>
      </c>
      <c r="E10" s="1" t="str" cm="1">
        <f t="array" ref="E10">WasteSolid_Equations.VEERG_10_1_1_1__2_MassOfWasteFromVolume_Variable()</f>
        <v>Q_wt</v>
      </c>
    </row>
    <row r="11" spans="1:12" ht="20.100000000000001" customHeight="1" x14ac:dyDescent="0.2">
      <c r="A11" s="5" t="str">
        <f>HYPERLINK("#'Input - Feedlot'!A1", "Feedlot")</f>
        <v>Feedlot</v>
      </c>
      <c r="D11" s="75" t="s">
        <v>118</v>
      </c>
      <c r="E11" s="9" t="str" cm="1">
        <f t="array" ref="E11">WasteSolid_Equations.VEERG_10_1_1_1__2_MassOfWasteFromVolume_Unit()</f>
        <v>t</v>
      </c>
    </row>
    <row r="12" spans="1:12" ht="20.100000000000001" customHeight="1" x14ac:dyDescent="0.2">
      <c r="A12" s="5" t="str">
        <f>HYPERLINK("#'Input - Livestock sales'!A1", "Livestock sales")</f>
        <v>Livestock sales</v>
      </c>
    </row>
    <row r="13" spans="1:12" ht="20.100000000000001" customHeight="1" x14ac:dyDescent="0.2">
      <c r="A13" s="5" t="str">
        <f>HYPERLINK("#'Input - Beef cattle purchases'!A1", "Beef cattle purchases")</f>
        <v>Beef cattle purchases</v>
      </c>
      <c r="D13" s="113" t="str" cm="1">
        <f t="array" ref="D13:E16">_xlfn.CHOOSECOLS(WasteSolid_Equations.VEERG_10_1_1_1__2_MassOfWasteFromVolume_Arguments(),1,2)</f>
        <v>V_wt</v>
      </c>
      <c r="E13" s="121" t="str">
        <v>volume of solid waste type w being sent to treatment facility t</v>
      </c>
      <c r="F13" s="122"/>
      <c r="G13" s="113" t="str" cm="1">
        <f t="array" ref="G13:H16">_xlfn.CHOOSECOLS(WasteSolid_Equations.VEERG_10_1_1_1__2_MassOfWasteFromVolume_Arguments(),3,4)</f>
        <v>m3</v>
      </c>
      <c r="H13" s="114" t="str">
        <v>Input</v>
      </c>
      <c r="I13" s="116" t="str" cm="1">
        <f t="array" aca="1" ref="I13" ca="1">HYPERLINK(Common_InputFunctions.Utility_SourceHyperlink($D$18),$D$18)</f>
        <v>Table_V_w_t_onsite</v>
      </c>
      <c r="J13" s="116" t="str" cm="1">
        <f t="array" aca="1" ref="J13" ca="1">HYPERLINK(Common_InputFunctions.Utility_SourceHyperlink($D$56),$D$56)</f>
        <v>Table_V_w_t_offsite</v>
      </c>
    </row>
    <row r="14" spans="1:12" ht="20.100000000000001" customHeight="1" x14ac:dyDescent="0.2">
      <c r="A14" s="5" t="str">
        <f>HYPERLINK("#'Input - Fuel'!A1", "Fuel")</f>
        <v>Fuel</v>
      </c>
      <c r="D14" s="113" t="str">
        <v>VTM_w</v>
      </c>
      <c r="E14" s="121" t="str">
        <v>conversion factor of volume to mass for waste type w</v>
      </c>
      <c r="F14" s="122"/>
      <c r="G14" s="113" t="str">
        <v>t/m3</v>
      </c>
      <c r="H14" s="115" t="str">
        <v>Constant</v>
      </c>
      <c r="I14" s="116" t="str" cm="1">
        <f t="array" aca="1" ref="I14" ca="1">HYPERLINK(Common_InputFunctions.Utility_SourceHyperlink($D$18),$D$18)</f>
        <v>Table_V_w_t_onsite</v>
      </c>
      <c r="J14" s="116" t="str" cm="1">
        <f t="array" aca="1" ref="J14" ca="1">HYPERLINK(Common_InputFunctions.Utility_SourceHyperlink($D$56),$D$56)</f>
        <v>Table_V_w_t_offsite</v>
      </c>
    </row>
    <row r="15" spans="1:12" ht="20.100000000000001" customHeight="1" x14ac:dyDescent="0.2">
      <c r="A15" s="5" t="str">
        <f>HYPERLINK("#'Input - Electricity'!A1", "Electricity")</f>
        <v>Electricity</v>
      </c>
      <c r="D15" s="113" t="str">
        <v>w</v>
      </c>
      <c r="E15" s="121" t="str">
        <v>waste type</v>
      </c>
      <c r="F15" s="122"/>
      <c r="G15" s="113" t="str">
        <v/>
      </c>
      <c r="H15" s="114" t="str">
        <v>Input</v>
      </c>
      <c r="I15" s="116" t="str" cm="1">
        <f t="array" aca="1" ref="I15" ca="1">HYPERLINK(Common_InputFunctions.Utility_SourceHyperlink($D$18),$D$18)</f>
        <v>Table_V_w_t_onsite</v>
      </c>
      <c r="J15" s="116" t="str" cm="1">
        <f t="array" aca="1" ref="J15" ca="1">HYPERLINK(Common_InputFunctions.Utility_SourceHyperlink($D$56),$D$56)</f>
        <v>Table_V_w_t_offsite</v>
      </c>
    </row>
    <row r="16" spans="1:12" ht="20.100000000000001" customHeight="1" x14ac:dyDescent="0.2">
      <c r="A16" s="5" t="str">
        <f>HYPERLINK("#'Input - Common farm inputs'!A1", "Common farm inputs")</f>
        <v>Common farm inputs</v>
      </c>
      <c r="D16" s="113" t="str">
        <v>t</v>
      </c>
      <c r="E16" s="121" t="str">
        <v>treatment facility</v>
      </c>
      <c r="F16" s="122"/>
      <c r="G16" s="113" t="str">
        <v/>
      </c>
      <c r="H16" s="114" t="str">
        <v>Input</v>
      </c>
      <c r="I16" s="116" t="str" cm="1">
        <f t="array" aca="1" ref="I16" ca="1">HYPERLINK(Common_InputFunctions.Utility_SourceHyperlink($D$18),$D$18)</f>
        <v>Table_V_w_t_onsite</v>
      </c>
      <c r="J16" s="116" t="str" cm="1">
        <f t="array" aca="1" ref="J16" ca="1">HYPERLINK(Common_InputFunctions.Utility_SourceHyperlink($D$56),$D$56)</f>
        <v>Table_V_w_t_offsite</v>
      </c>
    </row>
    <row r="17" spans="1:9" ht="20.100000000000001" customHeight="1" x14ac:dyDescent="0.2">
      <c r="A17" s="5" t="str">
        <f>HYPERLINK("#'Input - Livestock farm Inputs'!A1", "Livestock farm Inputs")</f>
        <v>Livestock farm Inputs</v>
      </c>
    </row>
    <row r="18" spans="1:9" ht="20.100000000000001" customHeight="1" x14ac:dyDescent="0.2">
      <c r="A18" s="5" t="str">
        <f>HYPERLINK("#'Input - Freight'!A1", "Freight")</f>
        <v>Freight</v>
      </c>
      <c r="D18" s="118" t="s">
        <v>902</v>
      </c>
    </row>
    <row r="19" spans="1:9" ht="20.100000000000001" customHeight="1" x14ac:dyDescent="0.2">
      <c r="A19" s="5" t="str">
        <f>HYPERLINK("#'Input - Solid waste'!A1", "Solid waste")</f>
        <v>Solid waste</v>
      </c>
      <c r="D19" s="119" t="s">
        <v>903</v>
      </c>
    </row>
    <row r="20" spans="1:9" ht="20.100000000000001" customHeight="1" x14ac:dyDescent="0.2">
      <c r="A20" s="5" t="str">
        <f>HYPERLINK("#'Input - Manure sent off-site'!A1", "Manure sent off-site")</f>
        <v>Manure sent off-site</v>
      </c>
      <c r="D20" s="78" t="s">
        <v>904</v>
      </c>
      <c r="E20" s="78" t="s">
        <v>905</v>
      </c>
      <c r="F20" s="78"/>
      <c r="G20" s="78" t="s">
        <v>906</v>
      </c>
      <c r="H20" s="120" t="s">
        <v>907</v>
      </c>
      <c r="I20" s="120" t="s">
        <v>908</v>
      </c>
    </row>
    <row r="21" spans="1:9" ht="20.100000000000001" customHeight="1" x14ac:dyDescent="0.2">
      <c r="A21" s="5" t="str">
        <f>HYPERLINK("#'Input - Data quality'!A1", "Data quality")</f>
        <v>Data quality</v>
      </c>
      <c r="D21" s="113" t="str" cm="1">
        <f t="array" ref="D21:D54">Table_SourceData_WasteSolid_WasteTreatmentEFs[Treatment type t]</f>
        <v>Landfill</v>
      </c>
      <c r="E21" s="121" t="str" cm="1">
        <f t="array" ref="E21:E54">Table_SourceData_WasteSolid_WasteTreatmentEFs[Waste type w]</f>
        <v>Food waste (including animal carcasses, spoiled animal feed or crop)</v>
      </c>
      <c r="F21" s="226"/>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cm="1">
        <f t="array" ref="I21">WasteSolid_Equations.VEERG_10_1_1_1__2_MassOfWasteFromVolume(G21,H21)</f>
        <v>25</v>
      </c>
    </row>
    <row r="22" spans="1:9" ht="20.100000000000001" customHeight="1" x14ac:dyDescent="0.2">
      <c r="A22" s="5" t="str">
        <f>HYPERLINK("#'Input - Fert Prod System'!A1", "Fert Prod System")</f>
        <v>Fert Prod System</v>
      </c>
      <c r="D22" s="113" t="str">
        <v>Landfill</v>
      </c>
      <c r="E22" s="121" t="str">
        <v>Paper and cardboard</v>
      </c>
      <c r="F22" s="226"/>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cm="1">
        <f t="array" ref="I22">WasteSolid_Equations.VEERG_10_1_1_1__2_MassOfWasteFromVolume(G22,H22)</f>
        <v>4.5</v>
      </c>
    </row>
    <row r="23" spans="1:9" ht="20.100000000000001" customHeight="1" x14ac:dyDescent="0.2">
      <c r="A23" s="5" t="str">
        <f>HYPERLINK("#'Input - Fertiliser'!A1", "Fertiliser")</f>
        <v>Fertiliser</v>
      </c>
      <c r="D23" s="113" t="str">
        <v>Landfill</v>
      </c>
      <c r="E23" s="121" t="str">
        <v>Green waste (including crop residues or prunings)</v>
      </c>
      <c r="F23" s="226"/>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cm="1">
        <f t="array" ref="I23">WasteSolid_Equations.VEERG_10_1_1_1__2_MassOfWasteFromVolume(G23,H23)</f>
        <v>12</v>
      </c>
    </row>
    <row r="24" spans="1:9" ht="20.100000000000001" customHeight="1" x14ac:dyDescent="0.2">
      <c r="D24" s="113" t="str">
        <v>Landfill</v>
      </c>
      <c r="E24" s="121" t="str">
        <v>Wood</v>
      </c>
      <c r="F24" s="226"/>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cm="1">
        <f t="array" ref="I24">WasteSolid_Equations.VEERG_10_1_1_1__2_MassOfWasteFromVolume(G24,H24)</f>
        <v>0</v>
      </c>
    </row>
    <row r="25" spans="1:9" ht="20.100000000000001" customHeight="1" x14ac:dyDescent="0.2">
      <c r="D25" s="113" t="str">
        <v>Landfill</v>
      </c>
      <c r="E25" s="121" t="str">
        <v>Textiles</v>
      </c>
      <c r="F25" s="226"/>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cm="1">
        <f t="array" ref="I25">WasteSolid_Equations.VEERG_10_1_1_1__2_MassOfWasteFromVolume(G25,H25)</f>
        <v>0</v>
      </c>
    </row>
    <row r="26" spans="1:9" ht="20.100000000000001" customHeight="1" x14ac:dyDescent="0.2">
      <c r="A26" s="6" t="s">
        <v>2</v>
      </c>
      <c r="D26" s="113" t="str">
        <v>Landfill</v>
      </c>
      <c r="E26" s="121" t="str">
        <v>Sludge</v>
      </c>
      <c r="F26" s="226"/>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cm="1">
        <f t="array" ref="I26">WasteSolid_Equations.VEERG_10_1_1_1__2_MassOfWasteFromVolume(G26,H26)</f>
        <v>0</v>
      </c>
    </row>
    <row r="27" spans="1:9" ht="20.100000000000001" customHeight="1" x14ac:dyDescent="0.2">
      <c r="A27" s="5" t="str">
        <f>HYPERLINK("#'3.1.1.1-2 Enteric Methane'!A1", "3.1.1.1-2 Enteric Methane")</f>
        <v>3.1.1.1-2 Enteric Methane</v>
      </c>
      <c r="D27" s="113" t="str">
        <v>Landfill</v>
      </c>
      <c r="E27" s="121" t="str">
        <v>Rubber and leather</v>
      </c>
      <c r="F27" s="226"/>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cm="1">
        <f t="array" ref="I27">WasteSolid_Equations.VEERG_10_1_1_1__2_MassOfWasteFromVolume(G27,H27)</f>
        <v>0</v>
      </c>
    </row>
    <row r="28" spans="1:9" ht="20.100000000000001" customHeight="1" x14ac:dyDescent="0.2">
      <c r="A28" s="5" t="str">
        <f>HYPERLINK("#'4.1.1.1-2 Methane'!A1", "4.1.1.1-2 Manure Methane")</f>
        <v>4.1.1.1-2 Manure Methane</v>
      </c>
      <c r="D28" s="113" t="str">
        <v>Landfill</v>
      </c>
      <c r="E28" s="121" t="str">
        <v>Inert waste (including concrete, metal, plastic or glass)</v>
      </c>
      <c r="F28" s="226"/>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cm="1">
        <f t="array" ref="I28">WasteSolid_Equations.VEERG_10_1_1_1__2_MassOfWasteFromVolume(G28,H28)</f>
        <v>0</v>
      </c>
    </row>
    <row r="29" spans="1:9" ht="20.100000000000001" customHeight="1" x14ac:dyDescent="0.2">
      <c r="A29" s="5" t="str">
        <f>HYPERLINK("#'4.1.1.3-4 Direct N20'!A1", "4.1.1.3-4 Manure Direct N2O")</f>
        <v>4.1.1.3-4 Manure Direct N2O</v>
      </c>
      <c r="D29" s="113" t="str">
        <v>Landfill</v>
      </c>
      <c r="E29" s="121" t="str">
        <v>Municipal solid waste</v>
      </c>
      <c r="F29" s="226"/>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cm="1">
        <f t="array" ref="I29">WasteSolid_Equations.VEERG_10_1_1_1__2_MassOfWasteFromVolume(G29,H29)</f>
        <v>0</v>
      </c>
    </row>
    <row r="30" spans="1:9" ht="20.100000000000001" customHeight="1" x14ac:dyDescent="0.2">
      <c r="A30" s="5" t="str">
        <f>HYPERLINK("#'4.1.1.5-6 Atmos Deposition'!A1", "4.1.1.5-6 Manure Atmos Dep")</f>
        <v>4.1.1.5-6 Manure Atmos Dep</v>
      </c>
      <c r="D30" s="113" t="str">
        <v>Landfill</v>
      </c>
      <c r="E30" s="121" t="str">
        <v>Commercial and industrial waste</v>
      </c>
      <c r="F30" s="226"/>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cm="1">
        <f t="array" ref="I30">WasteSolid_Equations.VEERG_10_1_1_1__2_MassOfWasteFromVolume(G30,H30)</f>
        <v>0</v>
      </c>
    </row>
    <row r="31" spans="1:9" ht="20.100000000000001" customHeight="1" x14ac:dyDescent="0.2">
      <c r="A31" s="5" t="str">
        <f>HYPERLINK("#'4.1.1.9 Manure applied to soils'!A1", "4.1.1.9 Manure applied to soils")</f>
        <v>4.1.1.9 Manure applied to soils</v>
      </c>
      <c r="D31" s="113" t="str">
        <v>Landfill</v>
      </c>
      <c r="E31" s="121" t="str">
        <v>Construction and demolition waste</v>
      </c>
      <c r="F31" s="226"/>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cm="1">
        <f t="array" ref="I31">WasteSolid_Equations.VEERG_10_1_1_1__2_MassOfWasteFromVolume(G31,H31)</f>
        <v>0</v>
      </c>
    </row>
    <row r="32" spans="1:9" ht="20.100000000000001" customHeight="1" x14ac:dyDescent="0.2">
      <c r="A32" s="5" t="str">
        <f>HYPERLINK("#'8.1.1.1-2 Transport fuel'!A1", "8.1.1.1-2 Transport fuel")</f>
        <v>8.1.1.1-2 Transport fuel</v>
      </c>
      <c r="D32" s="113" t="str">
        <v>Incineration</v>
      </c>
      <c r="E32" s="121" t="str">
        <v>Food waste, green waste, wood, sludge</v>
      </c>
      <c r="F32" s="226"/>
      <c r="G32" s="15" t="s">
        <v>773</v>
      </c>
      <c r="H32" s="15" t="s">
        <v>773</v>
      </c>
      <c r="I32" s="15" t="s">
        <v>773</v>
      </c>
    </row>
    <row r="33" spans="1:9" ht="20.100000000000001" customHeight="1" x14ac:dyDescent="0.2">
      <c r="A33" s="5" t="str">
        <f>HYPERLINK("#'8.2.1.1-2 Stationary fuel'!A1", "8.2.1.1-2 Stationary fuel")</f>
        <v>8.2.1.1-2 Stationary fuel</v>
      </c>
      <c r="D33" s="113" t="str">
        <v>Incineration</v>
      </c>
      <c r="E33" s="121" t="str">
        <v>Food waste (including animal carcasses, spoiled animal feed or crop)</v>
      </c>
      <c r="F33" s="226"/>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cm="1">
        <f t="array" ref="I33">WasteSolid_Equations.VEERG_10_1_1_1__2_MassOfWasteFromVolume(G33,H33)</f>
        <v>0</v>
      </c>
    </row>
    <row r="34" spans="1:9" ht="20.100000000000001" customHeight="1" x14ac:dyDescent="0.2">
      <c r="A34" s="117" t="str">
        <f>HYPERLINK("#'10.1.1-2 Solid waste treatment'!A1", "10.1.1.1-2 Solid waste")</f>
        <v>10.1.1.1-2 Solid waste</v>
      </c>
      <c r="D34" s="113" t="str">
        <v>Incineration</v>
      </c>
      <c r="E34" s="121" t="str">
        <v>Green waste (including crop residues or prunings)</v>
      </c>
      <c r="F34" s="226"/>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cm="1">
        <f t="array" ref="I34">WasteSolid_Equations.VEERG_10_1_1_1__2_MassOfWasteFromVolume(G34,H34)</f>
        <v>24</v>
      </c>
    </row>
    <row r="35" spans="1:9" ht="20.100000000000001" customHeight="1" x14ac:dyDescent="0.2">
      <c r="A35" s="5" t="str">
        <f>HYPERLINK("#'14.1.1-2 Purchased electricity'!A1", "14.1.1-2 Purchased electricity")</f>
        <v>14.1.1-2 Purchased electricity</v>
      </c>
      <c r="D35" s="113" t="str">
        <v>Incineration</v>
      </c>
      <c r="E35" s="121" t="str">
        <v>Wood</v>
      </c>
      <c r="F35" s="226"/>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cm="1">
        <f t="array" ref="I35">WasteSolid_Equations.VEERG_10_1_1_1__2_MassOfWasteFromVolume(G35,H35)</f>
        <v>0</v>
      </c>
    </row>
    <row r="36" spans="1:9" ht="20.100000000000001" customHeight="1" x14ac:dyDescent="0.2">
      <c r="A36" s="5" t="str">
        <f>HYPERLINK("#'15 Scope 3'!A1", "15 Scope 3")</f>
        <v>15 Scope 3</v>
      </c>
      <c r="D36" s="113" t="str">
        <v>Incineration</v>
      </c>
      <c r="E36" s="121" t="str">
        <v>Sludge</v>
      </c>
      <c r="F36" s="226"/>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cm="1">
        <f t="array" ref="I36">WasteSolid_Equations.VEERG_10_1_1_1__2_MassOfWasteFromVolume(G36,H36)</f>
        <v>0</v>
      </c>
    </row>
    <row r="37" spans="1:9" ht="20.100000000000001" customHeight="1" x14ac:dyDescent="0.2">
      <c r="A37" s="5" t="str">
        <f>HYPERLINK("#'Calcs - Manure sent off-site'!A1", "Calcs - Manure sent off-site")</f>
        <v>Calcs - Manure sent off-site</v>
      </c>
      <c r="D37" s="113" t="str">
        <v>Incineration</v>
      </c>
      <c r="E37" s="121" t="str">
        <v>Paper and cardboard</v>
      </c>
      <c r="F37" s="226"/>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cm="1">
        <f t="array" ref="I37">WasteSolid_Equations.VEERG_10_1_1_1__2_MassOfWasteFromVolume(G37,H37)</f>
        <v>4.5</v>
      </c>
    </row>
    <row r="38" spans="1:9" ht="20.100000000000001" customHeight="1" x14ac:dyDescent="0.2">
      <c r="A38" s="5" t="str">
        <f>HYPERLINK("#'5.1.1.1-2 Inorganic fert N2O'!A1", "5.1.1.1-2 Inorganic fert N2O")</f>
        <v>5.1.1.1-2 Inorganic fert N2O</v>
      </c>
      <c r="D38" s="113" t="str">
        <v>Incineration</v>
      </c>
      <c r="E38" s="121" t="str">
        <v>Textiles</v>
      </c>
      <c r="F38" s="226"/>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cm="1">
        <f t="array" ref="I38">WasteSolid_Equations.VEERG_10_1_1_1__2_MassOfWasteFromVolume(G38,H38)</f>
        <v>0</v>
      </c>
    </row>
    <row r="39" spans="1:9" ht="20.100000000000001" customHeight="1" x14ac:dyDescent="0.2">
      <c r="A39" s="5" t="str">
        <f>HYPERLINK("#'5.1.1.3-4 Inorganic fert CO2'!A1", "5.1.1.3-4 Inorganic fert CO2")</f>
        <v>5.1.1.3-4 Inorganic fert CO2</v>
      </c>
      <c r="D39" s="113" t="str">
        <v>Incineration</v>
      </c>
      <c r="E39" s="121" t="str">
        <v>Rubber and leather</v>
      </c>
      <c r="F39" s="226"/>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cm="1">
        <f t="array" ref="I39">WasteSolid_Equations.VEERG_10_1_1_1__2_MassOfWasteFromVolume(G39,H39)</f>
        <v>0</v>
      </c>
    </row>
    <row r="40" spans="1:9" ht="20.100000000000001" customHeight="1" x14ac:dyDescent="0.2">
      <c r="A40" s="5" t="str">
        <f>HYPERLINK("#'5.2.1.1-2 Organic Fert N2O'!A1", "5.2.1.1-2 Organic Fert N2O")</f>
        <v>5.2.1.1-2 Organic Fert N2O</v>
      </c>
      <c r="D40" s="113" t="str">
        <v>Incineration</v>
      </c>
      <c r="E40" s="113" t="str">
        <v>Inert waste (including concrete, metal, plastic or glass)</v>
      </c>
      <c r="F40" s="113"/>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cm="1">
        <f t="array" ref="I40">WasteSolid_Equations.VEERG_10_1_1_1__2_MassOfWasteFromVolume(G40,H40)</f>
        <v>0</v>
      </c>
    </row>
    <row r="41" spans="1:9" ht="20.100000000000001" customHeight="1" x14ac:dyDescent="0.2">
      <c r="A41" s="5" t="str">
        <f>HYPERLINK("#'5.3.1.1-2 Lime CO2'!A1", "5.3.1.1-2 Lime CO2")</f>
        <v>5.3.1.1-2 Lime CO2</v>
      </c>
      <c r="D41" s="113" t="str">
        <v>Incineration</v>
      </c>
      <c r="E41" s="121" t="str">
        <v>Municipal solid waste</v>
      </c>
      <c r="F41" s="122"/>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cm="1">
        <f t="array" ref="I41">WasteSolid_Equations.VEERG_10_1_1_1__2_MassOfWasteFromVolume(G41,H41)</f>
        <v>0</v>
      </c>
    </row>
    <row r="42" spans="1:9" ht="20.100000000000001" customHeight="1" x14ac:dyDescent="0.2">
      <c r="A42" s="5" t="str">
        <f>HYPERLINK("#'5.4.1.1-4 Atmos deposition'!A1", "5.4.1.1-4 Atmos deposition")</f>
        <v>5.4.1.1-4 Atmos deposition</v>
      </c>
      <c r="D42" s="113" t="str">
        <v>Incineration</v>
      </c>
      <c r="E42" s="121" t="str">
        <v>Commercial and industrial waste</v>
      </c>
      <c r="F42" s="122"/>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cm="1">
        <f t="array" ref="I42">WasteSolid_Equations.VEERG_10_1_1_1__2_MassOfWasteFromVolume(G42,H42)</f>
        <v>0</v>
      </c>
    </row>
    <row r="43" spans="1:9" ht="20.100000000000001" customHeight="1" x14ac:dyDescent="0.2">
      <c r="A43" s="5" t="str">
        <f>HYPERLINK("#'5.5.1.1-2 Leaching and runoff'!A1", "5.5.1.1-2 Leaching and runoff")</f>
        <v>5.5.1.1-2 Leaching and runoff</v>
      </c>
      <c r="D43" s="113" t="str">
        <v>Composting</v>
      </c>
      <c r="E43" s="121" t="str">
        <v>All organic waste</v>
      </c>
      <c r="F43" s="122"/>
      <c r="G43" s="15" t="s">
        <v>773</v>
      </c>
      <c r="H43" s="15" t="s">
        <v>773</v>
      </c>
      <c r="I43" s="15" t="s">
        <v>773</v>
      </c>
    </row>
    <row r="44" spans="1:9" ht="20.100000000000001" customHeight="1" x14ac:dyDescent="0.2">
      <c r="D44" s="113" t="str">
        <v>Composting</v>
      </c>
      <c r="E44" s="121" t="str">
        <v>Food waste (including animal carcasses, spoiled animal feed or crop)</v>
      </c>
      <c r="F44" s="122"/>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cm="1">
        <f t="array" ref="I44">WasteSolid_Equations.VEERG_10_1_1_1__2_MassOfWasteFromVolume(G44,H44)</f>
        <v>25</v>
      </c>
    </row>
    <row r="45" spans="1:9" ht="20.100000000000001" customHeight="1" x14ac:dyDescent="0.2">
      <c r="D45" s="113" t="str">
        <v>Composting</v>
      </c>
      <c r="E45" s="121" t="str">
        <v>Green waste (including crop residues or prunings)</v>
      </c>
      <c r="F45" s="122"/>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cm="1">
        <f t="array" ref="I45">WasteSolid_Equations.VEERG_10_1_1_1__2_MassOfWasteFromVolume(G45,H45)</f>
        <v>0</v>
      </c>
    </row>
    <row r="46" spans="1:9" ht="20.100000000000001" customHeight="1" x14ac:dyDescent="0.2">
      <c r="A46" s="80" t="s">
        <v>1</v>
      </c>
      <c r="D46" s="113" t="str">
        <v>Composting</v>
      </c>
      <c r="E46" s="121" t="str">
        <v>Wood</v>
      </c>
      <c r="F46" s="122"/>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cm="1">
        <f t="array" ref="I46">WasteSolid_Equations.VEERG_10_1_1_1__2_MassOfWasteFromVolume(G46,H46)</f>
        <v>0</v>
      </c>
    </row>
    <row r="47" spans="1:9" ht="20.100000000000001" customHeight="1" x14ac:dyDescent="0.2">
      <c r="A47" s="5" t="str">
        <f>HYPERLINK("#'Constants - Feedlot'!A1", "Constants - Feedlot")</f>
        <v>Constants - Feedlot</v>
      </c>
      <c r="D47" s="113" t="str">
        <v>Composting</v>
      </c>
      <c r="E47" s="121" t="str">
        <v>Sludge</v>
      </c>
      <c r="F47" s="122"/>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cm="1">
        <f t="array" ref="I47">WasteSolid_Equations.VEERG_10_1_1_1__2_MassOfWasteFromVolume(G47,H47)</f>
        <v>0</v>
      </c>
    </row>
    <row r="48" spans="1:9" ht="20.100000000000001" customHeight="1" x14ac:dyDescent="0.2">
      <c r="A48" s="5" t="str">
        <f>HYPERLINK("#'Constants - Common livestock'!A1", "Constants - Common Livestock")</f>
        <v>Constants - Common Livestock</v>
      </c>
      <c r="D48" s="113" t="str">
        <v>Composting</v>
      </c>
      <c r="E48" s="121" t="str">
        <v>Paper and cardboard</v>
      </c>
      <c r="F48" s="122"/>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cm="1">
        <f t="array" ref="I48">WasteSolid_Equations.VEERG_10_1_1_1__2_MassOfWasteFromVolume(G48,H48)</f>
        <v>4.5</v>
      </c>
    </row>
    <row r="49" spans="1:9" ht="20.100000000000001" customHeight="1" x14ac:dyDescent="0.2">
      <c r="A49" s="5" t="str">
        <f>HYPERLINK("#'Constants - Electricity'!A1", "Constants - Electricity")</f>
        <v>Constants - Electricity</v>
      </c>
      <c r="D49" s="113" t="str">
        <v>Anaerobic digestion</v>
      </c>
      <c r="E49" s="121" t="str">
        <v>All organic waste</v>
      </c>
      <c r="F49" s="122"/>
      <c r="G49" s="15" t="s">
        <v>773</v>
      </c>
      <c r="H49" s="15" t="s">
        <v>773</v>
      </c>
      <c r="I49" s="15" t="s">
        <v>773</v>
      </c>
    </row>
    <row r="50" spans="1:9" ht="20.100000000000001" customHeight="1" x14ac:dyDescent="0.2">
      <c r="A50" s="5" t="str">
        <f>HYPERLINK("#'Constants - Fertiliser'!A1", "Constants - Fertiliser")</f>
        <v>Constants - Fertiliser</v>
      </c>
      <c r="D50" s="113" t="str">
        <v>Anaerobic digestion</v>
      </c>
      <c r="E50" s="121" t="str">
        <v>Food waste (including animal carcasses, spoiled animal feed or crop)</v>
      </c>
      <c r="F50" s="122"/>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cm="1">
        <f t="array" ref="I50">WasteSolid_Equations.VEERG_10_1_1_1__2_MassOfWasteFromVolume(G50,H50)</f>
        <v>0</v>
      </c>
    </row>
    <row r="51" spans="1:9" ht="20.100000000000001" customHeight="1" x14ac:dyDescent="0.2">
      <c r="A51" s="5" t="str">
        <f>HYPERLINK("#'Constants - Fuel'!A1", "Constants - Fuel")</f>
        <v>Constants - Fuel</v>
      </c>
      <c r="D51" s="113" t="str">
        <v>Anaerobic digestion</v>
      </c>
      <c r="E51" s="121" t="str">
        <v>Green waste (including crop residues or prunings)</v>
      </c>
      <c r="F51" s="122"/>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cm="1">
        <f t="array" ref="I51">WasteSolid_Equations.VEERG_10_1_1_1__2_MassOfWasteFromVolume(G51,H51)</f>
        <v>0</v>
      </c>
    </row>
    <row r="52" spans="1:9" ht="20.100000000000001" customHeight="1" x14ac:dyDescent="0.2">
      <c r="A52" s="5" t="str">
        <f>HYPERLINK("#'Constants - Scope 3'!A1", "Constants - Scope 3")</f>
        <v>Constants - Scope 3</v>
      </c>
      <c r="D52" s="113" t="str">
        <v>Anaerobic digestion</v>
      </c>
      <c r="E52" s="121" t="str">
        <v>Wood</v>
      </c>
      <c r="F52" s="122"/>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cm="1">
        <f t="array" ref="I52">WasteSolid_Equations.VEERG_10_1_1_1__2_MassOfWasteFromVolume(G52,H52)</f>
        <v>0</v>
      </c>
    </row>
    <row r="53" spans="1:9" ht="20.100000000000001" customHeight="1" x14ac:dyDescent="0.2">
      <c r="A53" s="5" t="str">
        <f>HYPERLINK("#'Constants - Solid Waste'!A1", "Constants - Solid Waste")</f>
        <v>Constants - Solid Waste</v>
      </c>
      <c r="D53" s="113" t="str">
        <v>Anaerobic digestion</v>
      </c>
      <c r="E53" s="121" t="str">
        <v>Sludge</v>
      </c>
      <c r="F53" s="122"/>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cm="1">
        <f t="array" ref="I53">WasteSolid_Equations.VEERG_10_1_1_1__2_MassOfWasteFromVolume(G53,H53)</f>
        <v>0</v>
      </c>
    </row>
    <row r="54" spans="1:9" ht="20.100000000000001" customHeight="1" x14ac:dyDescent="0.2">
      <c r="A54" s="5" t="str">
        <f>HYPERLINK("#'Constants - Common'!A1", "Constants - Common")</f>
        <v>Constants - Common</v>
      </c>
      <c r="D54" s="113" t="str">
        <v>Anaerobic digestion</v>
      </c>
      <c r="E54" s="121" t="str">
        <v>Paper and cardboard</v>
      </c>
      <c r="F54" s="122"/>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cm="1">
        <f t="array" ref="I54">WasteSolid_Equations.VEERG_10_1_1_1__2_MassOfWasteFromVolume(G54,H54)</f>
        <v>0</v>
      </c>
    </row>
    <row r="55" spans="1:9" ht="20.100000000000001" customHeight="1" x14ac:dyDescent="0.2">
      <c r="A55" s="5" t="str">
        <f>HYPERLINK("#'Acknowledgements'!A1", "Acknowledgements")</f>
        <v>Acknowledgements</v>
      </c>
    </row>
    <row r="56" spans="1:9" ht="20.100000000000001" customHeight="1" x14ac:dyDescent="0.2">
      <c r="D56" s="118" t="s">
        <v>909</v>
      </c>
    </row>
    <row r="57" spans="1:9" ht="20.100000000000001" customHeight="1" x14ac:dyDescent="0.2">
      <c r="D57" s="119" t="s">
        <v>910</v>
      </c>
    </row>
    <row r="58" spans="1:9" ht="20.100000000000001" customHeight="1" x14ac:dyDescent="0.2">
      <c r="D58" s="78" t="s">
        <v>904</v>
      </c>
      <c r="E58" s="78" t="s">
        <v>905</v>
      </c>
      <c r="F58" s="78"/>
      <c r="G58" s="78" t="s">
        <v>906</v>
      </c>
      <c r="H58" s="120" t="s">
        <v>907</v>
      </c>
      <c r="I58" s="120" t="s">
        <v>908</v>
      </c>
    </row>
    <row r="59" spans="1:9" ht="20.100000000000001" customHeight="1" x14ac:dyDescent="0.2">
      <c r="D59" s="113" t="str" cm="1">
        <f t="array" ref="D59:D92">Table_SourceData_WasteSolid_WasteTreatmentEFs[Treatment type t]</f>
        <v>Landfill</v>
      </c>
      <c r="E59" s="121" t="str" cm="1">
        <f t="array" ref="E59:E92">Table_SourceData_WasteSolid_WasteTreatmentEFs[Waste type w]</f>
        <v>Food waste (including animal carcasses, spoiled animal feed or crop)</v>
      </c>
      <c r="F59" s="226"/>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cm="1">
        <f t="array" ref="I59">WasteSolid_Equations.VEERG_10_1_1_1__2_MassOfWasteFromVolume(G59,H59)</f>
        <v>25</v>
      </c>
    </row>
    <row r="60" spans="1:9" ht="20.100000000000001" customHeight="1" x14ac:dyDescent="0.2">
      <c r="D60" s="113" t="str">
        <v>Landfill</v>
      </c>
      <c r="E60" s="121" t="str">
        <v>Paper and cardboard</v>
      </c>
      <c r="F60" s="226"/>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cm="1">
        <f t="array" ref="I60">WasteSolid_Equations.VEERG_10_1_1_1__2_MassOfWasteFromVolume(G60,H60)</f>
        <v>4.5</v>
      </c>
    </row>
    <row r="61" spans="1:9" ht="20.100000000000001" customHeight="1" x14ac:dyDescent="0.2">
      <c r="D61" s="113" t="str">
        <v>Landfill</v>
      </c>
      <c r="E61" s="121" t="str">
        <v>Green waste (including crop residues or prunings)</v>
      </c>
      <c r="F61" s="226"/>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cm="1">
        <f t="array" ref="I61">WasteSolid_Equations.VEERG_10_1_1_1__2_MassOfWasteFromVolume(G61,H61)</f>
        <v>12</v>
      </c>
    </row>
    <row r="62" spans="1:9" ht="20.100000000000001" customHeight="1" x14ac:dyDescent="0.2">
      <c r="D62" s="113" t="str">
        <v>Landfill</v>
      </c>
      <c r="E62" s="121" t="str">
        <v>Wood</v>
      </c>
      <c r="F62" s="226"/>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cm="1">
        <f t="array" ref="I62">WasteSolid_Equations.VEERG_10_1_1_1__2_MassOfWasteFromVolume(G62,H62)</f>
        <v>0</v>
      </c>
    </row>
    <row r="63" spans="1:9" ht="20.100000000000001" customHeight="1" x14ac:dyDescent="0.2">
      <c r="D63" s="113" t="str">
        <v>Landfill</v>
      </c>
      <c r="E63" s="121" t="str">
        <v>Textiles</v>
      </c>
      <c r="F63" s="226"/>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cm="1">
        <f t="array" ref="I63">WasteSolid_Equations.VEERG_10_1_1_1__2_MassOfWasteFromVolume(G63,H63)</f>
        <v>0</v>
      </c>
    </row>
    <row r="64" spans="1:9" ht="20.100000000000001" customHeight="1" x14ac:dyDescent="0.2">
      <c r="D64" s="113" t="str">
        <v>Landfill</v>
      </c>
      <c r="E64" s="121" t="str">
        <v>Sludge</v>
      </c>
      <c r="F64" s="226"/>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cm="1">
        <f t="array" ref="I64">WasteSolid_Equations.VEERG_10_1_1_1__2_MassOfWasteFromVolume(G64,H64)</f>
        <v>0</v>
      </c>
    </row>
    <row r="65" spans="1:9" ht="20.100000000000001" customHeight="1" x14ac:dyDescent="0.2">
      <c r="D65" s="113" t="str">
        <v>Landfill</v>
      </c>
      <c r="E65" s="121" t="str">
        <v>Rubber and leather</v>
      </c>
      <c r="F65" s="226"/>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cm="1">
        <f t="array" ref="I65">WasteSolid_Equations.VEERG_10_1_1_1__2_MassOfWasteFromVolume(G65,H65)</f>
        <v>0</v>
      </c>
    </row>
    <row r="66" spans="1:9" ht="20.100000000000001" customHeight="1" x14ac:dyDescent="0.2">
      <c r="A66" s="79" t="str">
        <f>HYPERLINK("#A1", "▲ Back to top")</f>
        <v>▲ Back to top</v>
      </c>
      <c r="D66" s="113" t="str">
        <v>Landfill</v>
      </c>
      <c r="E66" s="121" t="str">
        <v>Inert waste (including concrete, metal, plastic or glass)</v>
      </c>
      <c r="F66" s="226"/>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cm="1">
        <f t="array" ref="I66">WasteSolid_Equations.VEERG_10_1_1_1__2_MassOfWasteFromVolume(G66,H66)</f>
        <v>0</v>
      </c>
    </row>
    <row r="67" spans="1:9" ht="20.100000000000001" customHeight="1" x14ac:dyDescent="0.2">
      <c r="D67" s="113" t="str">
        <v>Landfill</v>
      </c>
      <c r="E67" s="121" t="str">
        <v>Municipal solid waste</v>
      </c>
      <c r="F67" s="226"/>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cm="1">
        <f t="array" ref="I67">WasteSolid_Equations.VEERG_10_1_1_1__2_MassOfWasteFromVolume(G67,H67)</f>
        <v>0</v>
      </c>
    </row>
    <row r="68" spans="1:9" ht="20.100000000000001" customHeight="1" x14ac:dyDescent="0.2">
      <c r="D68" s="113" t="str">
        <v>Landfill</v>
      </c>
      <c r="E68" s="121" t="str">
        <v>Commercial and industrial waste</v>
      </c>
      <c r="F68" s="226"/>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cm="1">
        <f t="array" ref="I68">WasteSolid_Equations.VEERG_10_1_1_1__2_MassOfWasteFromVolume(G68,H68)</f>
        <v>0</v>
      </c>
    </row>
    <row r="69" spans="1:9" ht="20.100000000000001" customHeight="1" x14ac:dyDescent="0.2">
      <c r="D69" s="113" t="str">
        <v>Landfill</v>
      </c>
      <c r="E69" s="121" t="str">
        <v>Construction and demolition waste</v>
      </c>
      <c r="F69" s="226"/>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cm="1">
        <f t="array" ref="I69">WasteSolid_Equations.VEERG_10_1_1_1__2_MassOfWasteFromVolume(G69,H69)</f>
        <v>0</v>
      </c>
    </row>
    <row r="70" spans="1:9" ht="20.100000000000001" customHeight="1" x14ac:dyDescent="0.2">
      <c r="D70" s="113" t="str">
        <v>Incineration</v>
      </c>
      <c r="E70" s="121" t="str">
        <v>Food waste, green waste, wood, sludge</v>
      </c>
      <c r="F70" s="226"/>
      <c r="G70" s="15" t="s">
        <v>773</v>
      </c>
      <c r="H70" s="15" t="s">
        <v>773</v>
      </c>
      <c r="I70" s="15" t="s">
        <v>773</v>
      </c>
    </row>
    <row r="71" spans="1:9" ht="20.100000000000001" customHeight="1" x14ac:dyDescent="0.2">
      <c r="D71" s="113" t="str">
        <v>Incineration</v>
      </c>
      <c r="E71" s="121" t="str">
        <v>Food waste (including animal carcasses, spoiled animal feed or crop)</v>
      </c>
      <c r="F71" s="226"/>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cm="1">
        <f t="array" ref="I71">WasteSolid_Equations.VEERG_10_1_1_1__2_MassOfWasteFromVolume(G71,H71)</f>
        <v>0</v>
      </c>
    </row>
    <row r="72" spans="1:9" ht="20.100000000000001" customHeight="1" x14ac:dyDescent="0.2">
      <c r="D72" s="113" t="str">
        <v>Incineration</v>
      </c>
      <c r="E72" s="121" t="str">
        <v>Green waste (including crop residues or prunings)</v>
      </c>
      <c r="F72" s="226"/>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cm="1">
        <f t="array" ref="I72">WasteSolid_Equations.VEERG_10_1_1_1__2_MassOfWasteFromVolume(G72,H72)</f>
        <v>12</v>
      </c>
    </row>
    <row r="73" spans="1:9" ht="20.100000000000001" customHeight="1" x14ac:dyDescent="0.2">
      <c r="D73" s="113" t="str">
        <v>Incineration</v>
      </c>
      <c r="E73" s="121" t="str">
        <v>Wood</v>
      </c>
      <c r="F73" s="226"/>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cm="1">
        <f t="array" ref="I73">WasteSolid_Equations.VEERG_10_1_1_1__2_MassOfWasteFromVolume(G73,H73)</f>
        <v>0</v>
      </c>
    </row>
    <row r="74" spans="1:9" ht="20.100000000000001" customHeight="1" x14ac:dyDescent="0.2">
      <c r="D74" s="113" t="str">
        <v>Incineration</v>
      </c>
      <c r="E74" s="121" t="str">
        <v>Sludge</v>
      </c>
      <c r="F74" s="226"/>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cm="1">
        <f t="array" ref="I74">WasteSolid_Equations.VEERG_10_1_1_1__2_MassOfWasteFromVolume(G74,H74)</f>
        <v>0</v>
      </c>
    </row>
    <row r="75" spans="1:9" ht="20.100000000000001" customHeight="1" x14ac:dyDescent="0.2">
      <c r="D75" s="113" t="str">
        <v>Incineration</v>
      </c>
      <c r="E75" s="121" t="str">
        <v>Paper and cardboard</v>
      </c>
      <c r="F75" s="226"/>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cm="1">
        <f t="array" ref="I75">WasteSolid_Equations.VEERG_10_1_1_1__2_MassOfWasteFromVolume(G75,H75)</f>
        <v>0</v>
      </c>
    </row>
    <row r="76" spans="1:9" ht="20.100000000000001" customHeight="1" x14ac:dyDescent="0.2">
      <c r="D76" s="113" t="str">
        <v>Incineration</v>
      </c>
      <c r="E76" s="121" t="str">
        <v>Textiles</v>
      </c>
      <c r="F76" s="226"/>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cm="1">
        <f t="array" ref="I76">WasteSolid_Equations.VEERG_10_1_1_1__2_MassOfWasteFromVolume(G76,H76)</f>
        <v>0</v>
      </c>
    </row>
    <row r="77" spans="1:9" ht="20.100000000000001" customHeight="1" x14ac:dyDescent="0.2">
      <c r="D77" s="113" t="str">
        <v>Incineration</v>
      </c>
      <c r="E77" s="121" t="str">
        <v>Rubber and leather</v>
      </c>
      <c r="F77" s="226"/>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cm="1">
        <f t="array" ref="I77">WasteSolid_Equations.VEERG_10_1_1_1__2_MassOfWasteFromVolume(G77,H77)</f>
        <v>0</v>
      </c>
    </row>
    <row r="78" spans="1:9" ht="20.100000000000001" customHeight="1" x14ac:dyDescent="0.2">
      <c r="D78" s="113" t="str">
        <v>Incineration</v>
      </c>
      <c r="E78" s="121" t="str">
        <v>Inert waste (including concrete, metal, plastic or glass)</v>
      </c>
      <c r="F78" s="226"/>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cm="1">
        <f t="array" ref="I78">WasteSolid_Equations.VEERG_10_1_1_1__2_MassOfWasteFromVolume(G78,H78)</f>
        <v>0</v>
      </c>
    </row>
    <row r="79" spans="1:9" ht="20.100000000000001" customHeight="1" x14ac:dyDescent="0.2">
      <c r="D79" s="113" t="str">
        <v>Incineration</v>
      </c>
      <c r="E79" s="121" t="str">
        <v>Municipal solid waste</v>
      </c>
      <c r="F79" s="122"/>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cm="1">
        <f t="array" ref="I79">WasteSolid_Equations.VEERG_10_1_1_1__2_MassOfWasteFromVolume(G79,H79)</f>
        <v>0</v>
      </c>
    </row>
    <row r="80" spans="1:9" ht="20.100000000000001" customHeight="1" x14ac:dyDescent="0.2">
      <c r="D80" s="113" t="str">
        <v>Incineration</v>
      </c>
      <c r="E80" s="121" t="str">
        <v>Commercial and industrial waste</v>
      </c>
      <c r="F80" s="122"/>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cm="1">
        <f t="array" ref="I80">WasteSolid_Equations.VEERG_10_1_1_1__2_MassOfWasteFromVolume(G80,H80)</f>
        <v>0</v>
      </c>
    </row>
    <row r="81" spans="1:12" ht="20.100000000000001" customHeight="1" x14ac:dyDescent="0.2">
      <c r="D81" s="113" t="str">
        <v>Composting</v>
      </c>
      <c r="E81" s="121" t="str">
        <v>All organic waste</v>
      </c>
      <c r="F81" s="122"/>
      <c r="G81" s="15" t="s">
        <v>773</v>
      </c>
      <c r="H81" s="15" t="s">
        <v>773</v>
      </c>
      <c r="I81" s="15" t="s">
        <v>773</v>
      </c>
    </row>
    <row r="82" spans="1:12" ht="20.100000000000001" customHeight="1" x14ac:dyDescent="0.2">
      <c r="D82" s="113" t="str">
        <v>Composting</v>
      </c>
      <c r="E82" s="121" t="str">
        <v>Food waste (including animal carcasses, spoiled animal feed or crop)</v>
      </c>
      <c r="F82" s="122"/>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cm="1">
        <f t="array" ref="I82">WasteSolid_Equations.VEERG_10_1_1_1__2_MassOfWasteFromVolume(G82,H82)</f>
        <v>0</v>
      </c>
    </row>
    <row r="83" spans="1:12" ht="20.100000000000001" customHeight="1" x14ac:dyDescent="0.2">
      <c r="D83" s="113" t="str">
        <v>Composting</v>
      </c>
      <c r="E83" s="121" t="str">
        <v>Green waste (including crop residues or prunings)</v>
      </c>
      <c r="F83" s="122"/>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cm="1">
        <f t="array" ref="I83">WasteSolid_Equations.VEERG_10_1_1_1__2_MassOfWasteFromVolume(G83,H83)</f>
        <v>0</v>
      </c>
    </row>
    <row r="84" spans="1:12" ht="20.100000000000001" customHeight="1" x14ac:dyDescent="0.2">
      <c r="D84" s="113" t="str">
        <v>Composting</v>
      </c>
      <c r="E84" s="121" t="str">
        <v>Wood</v>
      </c>
      <c r="F84" s="122"/>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cm="1">
        <f t="array" ref="I84">WasteSolid_Equations.VEERG_10_1_1_1__2_MassOfWasteFromVolume(G84,H84)</f>
        <v>0</v>
      </c>
    </row>
    <row r="85" spans="1:12" ht="20.100000000000001" customHeight="1" x14ac:dyDescent="0.2">
      <c r="D85" s="113" t="str">
        <v>Composting</v>
      </c>
      <c r="E85" s="121" t="str">
        <v>Sludge</v>
      </c>
      <c r="F85" s="122"/>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cm="1">
        <f t="array" ref="I85">WasteSolid_Equations.VEERG_10_1_1_1__2_MassOfWasteFromVolume(G85,H85)</f>
        <v>0</v>
      </c>
    </row>
    <row r="86" spans="1:12" ht="20.100000000000001" customHeight="1" x14ac:dyDescent="0.2">
      <c r="D86" s="113" t="str">
        <v>Composting</v>
      </c>
      <c r="E86" s="121" t="str">
        <v>Paper and cardboard</v>
      </c>
      <c r="F86" s="122"/>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cm="1">
        <f t="array" ref="I86">WasteSolid_Equations.VEERG_10_1_1_1__2_MassOfWasteFromVolume(G86,H86)</f>
        <v>0</v>
      </c>
    </row>
    <row r="87" spans="1:12" ht="20.100000000000001" customHeight="1" x14ac:dyDescent="0.2">
      <c r="D87" s="113" t="str">
        <v>Anaerobic digestion</v>
      </c>
      <c r="E87" s="121" t="str">
        <v>All organic waste</v>
      </c>
      <c r="F87" s="122"/>
      <c r="G87" s="15" t="s">
        <v>773</v>
      </c>
      <c r="H87" s="15" t="s">
        <v>773</v>
      </c>
      <c r="I87" s="15" t="s">
        <v>773</v>
      </c>
    </row>
    <row r="88" spans="1:12" ht="20.100000000000001" customHeight="1" x14ac:dyDescent="0.2">
      <c r="D88" s="113" t="str">
        <v>Anaerobic digestion</v>
      </c>
      <c r="E88" s="121" t="str">
        <v>Food waste (including animal carcasses, spoiled animal feed or crop)</v>
      </c>
      <c r="F88" s="122"/>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cm="1">
        <f t="array" ref="I88">WasteSolid_Equations.VEERG_10_1_1_1__2_MassOfWasteFromVolume(G88,H88)</f>
        <v>0</v>
      </c>
    </row>
    <row r="89" spans="1:12" ht="20.100000000000001" customHeight="1" x14ac:dyDescent="0.2">
      <c r="D89" s="113" t="str">
        <v>Anaerobic digestion</v>
      </c>
      <c r="E89" s="121" t="str">
        <v>Green waste (including crop residues or prunings)</v>
      </c>
      <c r="F89" s="122"/>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cm="1">
        <f t="array" ref="I89">WasteSolid_Equations.VEERG_10_1_1_1__2_MassOfWasteFromVolume(G89,H89)</f>
        <v>0</v>
      </c>
    </row>
    <row r="90" spans="1:12" ht="20.100000000000001" customHeight="1" x14ac:dyDescent="0.2">
      <c r="D90" s="113" t="str">
        <v>Anaerobic digestion</v>
      </c>
      <c r="E90" s="121" t="str">
        <v>Wood</v>
      </c>
      <c r="F90" s="122"/>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cm="1">
        <f t="array" ref="I90">WasteSolid_Equations.VEERG_10_1_1_1__2_MassOfWasteFromVolume(G90,H90)</f>
        <v>0</v>
      </c>
    </row>
    <row r="91" spans="1:12" ht="20.100000000000001" customHeight="1" x14ac:dyDescent="0.2">
      <c r="D91" s="113" t="str">
        <v>Anaerobic digestion</v>
      </c>
      <c r="E91" s="121" t="str">
        <v>Sludge</v>
      </c>
      <c r="F91" s="122"/>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cm="1">
        <f t="array" ref="I91">WasteSolid_Equations.VEERG_10_1_1_1__2_MassOfWasteFromVolume(G91,H91)</f>
        <v>0</v>
      </c>
    </row>
    <row r="92" spans="1:12" ht="20.100000000000001" customHeight="1" x14ac:dyDescent="0.2">
      <c r="D92" s="113" t="str">
        <v>Anaerobic digestion</v>
      </c>
      <c r="E92" s="121" t="str">
        <v>Paper and cardboard</v>
      </c>
      <c r="F92" s="122"/>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cm="1">
        <f t="array" ref="I92">WasteSolid_Equations.VEERG_10_1_1_1__2_MassOfWasteFromVolume(G92,H92)</f>
        <v>0</v>
      </c>
    </row>
    <row r="95" spans="1:12" ht="20.100000000000001" customHeight="1" x14ac:dyDescent="0.2">
      <c r="C95" s="83"/>
      <c r="D95" s="83"/>
      <c r="E95" s="83"/>
      <c r="F95" s="83"/>
      <c r="G95" s="83"/>
      <c r="H95" s="83"/>
      <c r="I95" s="83"/>
      <c r="J95" s="83"/>
      <c r="K95" s="83"/>
      <c r="L95" s="83"/>
    </row>
    <row r="96" spans="1:12" ht="20.100000000000001" customHeight="1" x14ac:dyDescent="0.2">
      <c r="A96" s="79" t="str">
        <f>HYPERLINK("#A1", "▲ Back to top")</f>
        <v>▲ Back to top</v>
      </c>
      <c r="D96" s="2" t="str" cm="1">
        <f t="array" ref="D96">WasteSolid_Equations.VEERG_10_1_1_1__1_EmissionsFromWasteManagement_Title()</f>
        <v>Emissions from waste management by greenhouse gas</v>
      </c>
    </row>
    <row r="97" spans="4:9" ht="20.100000000000001" customHeight="1" x14ac:dyDescent="0.2">
      <c r="D97" s="17" t="str" cm="1">
        <f t="array" ref="D97">WasteSolid_Equations.VEERG_10_1_1_1__1_EmissionsFromWasteManagement_Source()</f>
        <v>VEERG 2026: 10.1.1.1, Equation (1)</v>
      </c>
    </row>
    <row r="98" spans="4:9" ht="20.100000000000001" customHeight="1" x14ac:dyDescent="0.2">
      <c r="D98" s="25"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
      <c r="D99" s="112" t="s">
        <v>321</v>
      </c>
      <c r="E99" s="112" t="str" cm="1">
        <f t="array" aca="1" ref="E99" ca="1">Common_InputFunctions.Utility_DisplayFunctionName(K116)</f>
        <v>=WasteSolid_Equations.VEERG_10_1_1_1__1_EmissionsFromWasteManagement</v>
      </c>
    </row>
    <row r="102" spans="4:9" ht="20.100000000000001" customHeight="1" x14ac:dyDescent="0.2">
      <c r="D102" s="75" t="s">
        <v>322</v>
      </c>
      <c r="E102" s="1" t="str" cm="1">
        <f t="array" ref="E102">WasteSolid_Equations.VEERG_10_1_1_1__1_EmissionsFromWasteManagement_Variable()</f>
        <v>E_g</v>
      </c>
    </row>
    <row r="103" spans="4:9" ht="20.100000000000001" customHeight="1" x14ac:dyDescent="0.2">
      <c r="D103" s="75" t="s">
        <v>118</v>
      </c>
      <c r="E103" s="9" t="str" cm="1">
        <f t="array" ref="E103">WasteSolid_Equations.VEERG_10_1_1_1__1_EmissionsFromWasteManagement_Unit()</f>
        <v>t CO2e</v>
      </c>
    </row>
    <row r="105" spans="4:9" ht="20.100000000000001" customHeight="1" x14ac:dyDescent="0.2">
      <c r="D105" s="113" t="str" cm="1">
        <f t="array" ref="D105:E111">_xlfn.CHOOSECOLS(WasteSolid_Equations.VEERG_10_1_1_1__1_EmissionsFromWasteManagement_Arguments(),1,2)</f>
        <v>Q_wt</v>
      </c>
      <c r="E105" s="121" t="str">
        <v>quantity of solid waste of type w being sent to treatment facility t, on a wet weight basis</v>
      </c>
      <c r="F105" s="132"/>
      <c r="G105" s="122"/>
      <c r="H105" s="113" t="str" cm="1">
        <f t="array" ref="H105:I111">_xlfn.CHOOSECOLS(WasteSolid_Equations.VEERG_10_1_1_1__1_EmissionsFromWasteManagement_Arguments(),3,4)</f>
        <v>t</v>
      </c>
      <c r="I105" s="115" t="str">
        <v>Sum of Q_volwt and Q_masswt</v>
      </c>
    </row>
    <row r="106" spans="4:9" ht="20.100000000000001" customHeight="1" x14ac:dyDescent="0.2">
      <c r="D106" s="113" t="str">
        <v>EF_wtg</v>
      </c>
      <c r="E106" s="121" t="str">
        <v>emission factor for greenhouse gas g for the management of waste at treatment facility t</v>
      </c>
      <c r="F106" s="132"/>
      <c r="G106" s="122"/>
      <c r="H106" s="113" t="str">
        <v>t CO2e/t</v>
      </c>
      <c r="I106" s="115" t="str">
        <v>Constant</v>
      </c>
    </row>
    <row r="107" spans="4:9" ht="20.100000000000001" customHeight="1" x14ac:dyDescent="0.2">
      <c r="D107" s="113" t="str">
        <v>w</v>
      </c>
      <c r="E107" s="121" t="str">
        <v>waste type</v>
      </c>
      <c r="F107" s="132"/>
      <c r="G107" s="122"/>
      <c r="H107" s="113" t="str">
        <v/>
      </c>
      <c r="I107" s="114" t="str">
        <v>Input</v>
      </c>
    </row>
    <row r="108" spans="4:9" ht="20.100000000000001" customHeight="1" x14ac:dyDescent="0.2">
      <c r="D108" s="113" t="str">
        <v>t</v>
      </c>
      <c r="E108" s="121" t="str">
        <v>treatment facility</v>
      </c>
      <c r="F108" s="132"/>
      <c r="G108" s="122"/>
      <c r="H108" s="113" t="str">
        <v/>
      </c>
      <c r="I108" s="114" t="str">
        <v>Input</v>
      </c>
    </row>
    <row r="109" spans="4:9" ht="20.100000000000001" customHeight="1" x14ac:dyDescent="0.2">
      <c r="D109" s="113" t="str">
        <v>g</v>
      </c>
      <c r="E109" s="121" t="str">
        <v>greenhouse gas</v>
      </c>
      <c r="F109" s="132"/>
      <c r="G109" s="122"/>
      <c r="H109" s="113" t="str">
        <v/>
      </c>
      <c r="I109" s="114" t="str">
        <v>Input</v>
      </c>
    </row>
    <row r="110" spans="4:9" ht="20.100000000000001" customHeight="1" x14ac:dyDescent="0.2">
      <c r="D110" s="113" t="str">
        <v>Q_volwt</v>
      </c>
      <c r="E110" s="121" t="str">
        <v>quantity of sold waste input as volume and converted to tonnes</v>
      </c>
      <c r="F110" s="132"/>
      <c r="G110" s="122"/>
      <c r="H110" s="113" t="str">
        <v>tonnes</v>
      </c>
      <c r="I110" s="115" t="str">
        <v>Calculated from 10.1.1.1 (2)</v>
      </c>
    </row>
    <row r="111" spans="4:9" ht="20.100000000000001" customHeight="1" x14ac:dyDescent="0.2">
      <c r="D111" s="113" t="str">
        <v>Q_masswt</v>
      </c>
      <c r="E111" s="121" t="str">
        <v>quantity of solid waste input as mass</v>
      </c>
      <c r="F111" s="132"/>
      <c r="G111" s="122"/>
      <c r="H111" s="113" t="str">
        <v>tonnes</v>
      </c>
      <c r="I111" s="114" t="str">
        <v>Input</v>
      </c>
    </row>
    <row r="113" spans="1:11" ht="20.100000000000001" customHeight="1" x14ac:dyDescent="0.2">
      <c r="D113" s="118" t="s">
        <v>911</v>
      </c>
    </row>
    <row r="114" spans="1:11" ht="20.100000000000001" customHeight="1" x14ac:dyDescent="0.2">
      <c r="D114" s="119" t="s">
        <v>912</v>
      </c>
    </row>
    <row r="115" spans="1:11" ht="20.100000000000001" customHeight="1" x14ac:dyDescent="0.2">
      <c r="D115" s="78" t="s">
        <v>904</v>
      </c>
      <c r="E115" s="78" t="s">
        <v>905</v>
      </c>
      <c r="F115" s="78"/>
      <c r="G115" s="78" t="s">
        <v>913</v>
      </c>
      <c r="H115" s="120" t="s">
        <v>914</v>
      </c>
      <c r="I115" s="120" t="s">
        <v>908</v>
      </c>
      <c r="J115" s="120" t="s">
        <v>915</v>
      </c>
      <c r="K115" s="120" t="s">
        <v>916</v>
      </c>
    </row>
    <row r="116" spans="1:11" ht="20.100000000000001" customHeight="1" x14ac:dyDescent="0.2">
      <c r="D116" s="113" t="str" cm="1">
        <f t="array" ref="D116:D149">Table_SourceData_WasteSolid_WasteTreatmentEFs[Treatment type t]</f>
        <v>Landfill</v>
      </c>
      <c r="E116" s="121" t="str" cm="1">
        <f t="array" ref="E116:E149">Table_SourceData_WasteSolid_WasteTreatmentEFs[Waste type w]</f>
        <v>Food waste (including animal carcasses, spoiled animal feed or crop)</v>
      </c>
      <c r="F116" s="226"/>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cm="1">
        <f t="array" ref="K116">WasteSolid_Equations.VEERG_10_1_1_1__1_EmissionsFromWasteManagement(I116, J116)</f>
        <v>157.5</v>
      </c>
    </row>
    <row r="117" spans="1:11" ht="20.100000000000001" customHeight="1" x14ac:dyDescent="0.2">
      <c r="D117" s="113" t="str">
        <v>Landfill</v>
      </c>
      <c r="E117" s="121" t="str">
        <v>Paper and cardboard</v>
      </c>
      <c r="F117" s="226"/>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cm="1">
        <f t="array" ref="K117">WasteSolid_Equations.VEERG_10_1_1_1__1_EmissionsFromWasteManagement(I117, J117)</f>
        <v>179.85</v>
      </c>
    </row>
    <row r="118" spans="1:11" ht="20.100000000000001" customHeight="1" x14ac:dyDescent="0.2">
      <c r="D118" s="113" t="str">
        <v>Landfill</v>
      </c>
      <c r="E118" s="121" t="str">
        <v>Green waste (including crop residues or prunings)</v>
      </c>
      <c r="F118" s="226"/>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cm="1">
        <f t="array" ref="K118">WasteSolid_Equations.VEERG_10_1_1_1__1_EmissionsFromWasteManagement(I118, J118)</f>
        <v>99.2</v>
      </c>
    </row>
    <row r="119" spans="1:11" ht="20.100000000000001" customHeight="1" x14ac:dyDescent="0.2">
      <c r="D119" s="113" t="str">
        <v>Landfill</v>
      </c>
      <c r="E119" s="121" t="str">
        <v>Wood</v>
      </c>
      <c r="F119" s="226"/>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cm="1">
        <f t="array" ref="K119">WasteSolid_Equations.VEERG_10_1_1_1__1_EmissionsFromWasteManagement(I119, J119)</f>
        <v>0</v>
      </c>
    </row>
    <row r="120" spans="1:11" ht="20.100000000000001" customHeight="1" x14ac:dyDescent="0.2">
      <c r="D120" s="113" t="str">
        <v>Landfill</v>
      </c>
      <c r="E120" s="121" t="str">
        <v>Textiles</v>
      </c>
      <c r="F120" s="226"/>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cm="1">
        <f t="array" ref="K120">WasteSolid_Equations.VEERG_10_1_1_1__1_EmissionsFromWasteManagement(I120, J120)</f>
        <v>0</v>
      </c>
    </row>
    <row r="121" spans="1:11" ht="20.100000000000001" customHeight="1" x14ac:dyDescent="0.2">
      <c r="D121" s="113" t="str">
        <v>Landfill</v>
      </c>
      <c r="E121" s="121" t="str">
        <v>Sludge</v>
      </c>
      <c r="F121" s="226"/>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cm="1">
        <f t="array" ref="K121">WasteSolid_Equations.VEERG_10_1_1_1__1_EmissionsFromWasteManagement(I121, J121)</f>
        <v>0</v>
      </c>
    </row>
    <row r="122" spans="1:11" ht="20.100000000000001" customHeight="1" x14ac:dyDescent="0.2">
      <c r="D122" s="113" t="str">
        <v>Landfill</v>
      </c>
      <c r="E122" s="121" t="str">
        <v>Rubber and leather</v>
      </c>
      <c r="F122" s="226"/>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cm="1">
        <f t="array" ref="K122">WasteSolid_Equations.VEERG_10_1_1_1__1_EmissionsFromWasteManagement(I122, J122)</f>
        <v>0</v>
      </c>
    </row>
    <row r="123" spans="1:11" ht="20.100000000000001" customHeight="1" x14ac:dyDescent="0.2">
      <c r="D123" s="113" t="str">
        <v>Landfill</v>
      </c>
      <c r="E123" s="121" t="str">
        <v>Inert waste (including concrete, metal, plastic or glass)</v>
      </c>
      <c r="F123" s="226"/>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cm="1">
        <f t="array" ref="K123">WasteSolid_Equations.VEERG_10_1_1_1__1_EmissionsFromWasteManagement(I123, J123)</f>
        <v>0</v>
      </c>
    </row>
    <row r="124" spans="1:11" ht="20.100000000000001" customHeight="1" x14ac:dyDescent="0.2">
      <c r="D124" s="113" t="str">
        <v>Landfill</v>
      </c>
      <c r="E124" s="121" t="str">
        <v>Municipal solid waste</v>
      </c>
      <c r="F124" s="226"/>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cm="1">
        <f t="array" ref="K124">WasteSolid_Equations.VEERG_10_1_1_1__1_EmissionsFromWasteManagement(I124, J124)</f>
        <v>0</v>
      </c>
    </row>
    <row r="125" spans="1:11" ht="20.100000000000001" customHeight="1" x14ac:dyDescent="0.2">
      <c r="D125" s="113" t="str">
        <v>Landfill</v>
      </c>
      <c r="E125" s="121" t="str">
        <v>Commercial and industrial waste</v>
      </c>
      <c r="F125" s="226"/>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cm="1">
        <f t="array" ref="K125">WasteSolid_Equations.VEERG_10_1_1_1__1_EmissionsFromWasteManagement(I125, J125)</f>
        <v>0</v>
      </c>
    </row>
    <row r="126" spans="1:11" ht="20.100000000000001" customHeight="1" x14ac:dyDescent="0.2">
      <c r="A126" s="79" t="str">
        <f>HYPERLINK("#A1", "▲ Back to top")</f>
        <v>▲ Back to top</v>
      </c>
      <c r="D126" s="113" t="str">
        <v>Landfill</v>
      </c>
      <c r="E126" s="121" t="str">
        <v>Construction and demolition waste</v>
      </c>
      <c r="F126" s="226"/>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cm="1">
        <f t="array" ref="K126">WasteSolid_Equations.VEERG_10_1_1_1__1_EmissionsFromWasteManagement(I126, J126)</f>
        <v>0</v>
      </c>
    </row>
    <row r="127" spans="1:11" ht="20.100000000000001" customHeight="1" x14ac:dyDescent="0.2">
      <c r="D127" s="113" t="str">
        <v>Incineration</v>
      </c>
      <c r="E127" s="121" t="str">
        <v>Food waste, green waste, wood, sludge</v>
      </c>
      <c r="F127" s="226"/>
      <c r="G127" s="15" t="s">
        <v>773</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cm="1">
        <f t="array" ref="K127">WasteSolid_Equations.VEERG_10_1_1_1__1_EmissionsFromWasteManagement(I127, J127)</f>
        <v>0</v>
      </c>
    </row>
    <row r="128" spans="1:11" ht="20.100000000000001" customHeight="1" x14ac:dyDescent="0.2">
      <c r="D128" s="113" t="str">
        <v>Incineration</v>
      </c>
      <c r="E128" s="121" t="str">
        <v>Food waste (including animal carcasses, spoiled animal feed or crop)</v>
      </c>
      <c r="F128" s="226"/>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917</v>
      </c>
      <c r="J128" s="15" t="s">
        <v>773</v>
      </c>
      <c r="K128" s="15" t="s">
        <v>773</v>
      </c>
    </row>
    <row r="129" spans="4:11" ht="20.100000000000001" customHeight="1" x14ac:dyDescent="0.2">
      <c r="D129" s="113" t="str">
        <v>Incineration</v>
      </c>
      <c r="E129" s="121" t="str">
        <v>Green waste (including crop residues or prunings)</v>
      </c>
      <c r="F129" s="226"/>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917</v>
      </c>
      <c r="J129" s="15" t="s">
        <v>773</v>
      </c>
      <c r="K129" s="15" t="s">
        <v>773</v>
      </c>
    </row>
    <row r="130" spans="4:11" ht="20.100000000000001" customHeight="1" x14ac:dyDescent="0.2">
      <c r="D130" s="113" t="str">
        <v>Incineration</v>
      </c>
      <c r="E130" s="121" t="str">
        <v>Wood</v>
      </c>
      <c r="F130" s="226"/>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917</v>
      </c>
      <c r="J130" s="15" t="s">
        <v>773</v>
      </c>
      <c r="K130" s="15" t="s">
        <v>773</v>
      </c>
    </row>
    <row r="131" spans="4:11" ht="20.100000000000001" customHeight="1" x14ac:dyDescent="0.2">
      <c r="D131" s="113" t="str">
        <v>Incineration</v>
      </c>
      <c r="E131" s="121" t="str">
        <v>Sludge</v>
      </c>
      <c r="F131" s="226"/>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917</v>
      </c>
      <c r="J131" s="15" t="s">
        <v>773</v>
      </c>
      <c r="K131" s="15" t="s">
        <v>773</v>
      </c>
    </row>
    <row r="132" spans="4:11" ht="20.100000000000001" customHeight="1" x14ac:dyDescent="0.2">
      <c r="D132" s="113" t="str">
        <v>Incineration</v>
      </c>
      <c r="E132" s="121" t="str">
        <v>Paper and cardboard</v>
      </c>
      <c r="F132" s="226"/>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cm="1">
        <f t="array" ref="K132">WasteSolid_Equations.VEERG_10_1_1_1__1_EmissionsFromWasteManagement(I132, J132)</f>
        <v>0.92104999999999992</v>
      </c>
    </row>
    <row r="133" spans="4:11" ht="20.100000000000001" customHeight="1" x14ac:dyDescent="0.2">
      <c r="D133" s="113" t="str">
        <v>Incineration</v>
      </c>
      <c r="E133" s="121" t="str">
        <v>Textiles</v>
      </c>
      <c r="F133" s="226"/>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cm="1">
        <f t="array" ref="K133">WasteSolid_Equations.VEERG_10_1_1_1__1_EmissionsFromWasteManagement(I133, J133)</f>
        <v>0</v>
      </c>
    </row>
    <row r="134" spans="4:11" ht="20.100000000000001" customHeight="1" x14ac:dyDescent="0.2">
      <c r="D134" s="113" t="str">
        <v>Incineration</v>
      </c>
      <c r="E134" s="121" t="str">
        <v>Rubber and leather</v>
      </c>
      <c r="F134" s="226"/>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cm="1">
        <f t="array" ref="K134">WasteSolid_Equations.VEERG_10_1_1_1__1_EmissionsFromWasteManagement(I134, J134)</f>
        <v>0</v>
      </c>
    </row>
    <row r="135" spans="4:11" ht="20.100000000000001" customHeight="1" x14ac:dyDescent="0.2">
      <c r="D135" s="113" t="str">
        <v>Incineration</v>
      </c>
      <c r="E135" s="121" t="str">
        <v>Inert waste (including concrete, metal, plastic or glass)</v>
      </c>
      <c r="F135" s="226"/>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cm="1">
        <f t="array" ref="K135">WasteSolid_Equations.VEERG_10_1_1_1__1_EmissionsFromWasteManagement(I135, J135)</f>
        <v>0</v>
      </c>
    </row>
    <row r="136" spans="4:11" ht="20.100000000000001" customHeight="1" x14ac:dyDescent="0.2">
      <c r="D136" s="113" t="str">
        <v>Incineration</v>
      </c>
      <c r="E136" s="121" t="str">
        <v>Municipal solid waste</v>
      </c>
      <c r="F136" s="122"/>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cm="1">
        <f t="array" ref="K136">WasteSolid_Equations.VEERG_10_1_1_1__1_EmissionsFromWasteManagement(I136, J136)</f>
        <v>0</v>
      </c>
    </row>
    <row r="137" spans="4:11" ht="20.100000000000001" customHeight="1" x14ac:dyDescent="0.2">
      <c r="D137" s="113" t="str">
        <v>Incineration</v>
      </c>
      <c r="E137" s="121" t="str">
        <v>Commercial and industrial waste</v>
      </c>
      <c r="F137" s="122"/>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cm="1">
        <f t="array" ref="K137">WasteSolid_Equations.VEERG_10_1_1_1__1_EmissionsFromWasteManagement(I137, J137)</f>
        <v>0</v>
      </c>
    </row>
    <row r="138" spans="4:11" ht="20.100000000000001" customHeight="1" x14ac:dyDescent="0.2">
      <c r="D138" s="113" t="str">
        <v>Composting</v>
      </c>
      <c r="E138" s="121" t="str">
        <v>All organic waste</v>
      </c>
      <c r="F138" s="122"/>
      <c r="G138" s="15" t="s">
        <v>773</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cm="1">
        <f t="array" ref="K138">WasteSolid_Equations.VEERG_10_1_1_1__1_EmissionsFromWasteManagement(I138, J138)</f>
        <v>1.357</v>
      </c>
    </row>
    <row r="139" spans="4:11" ht="20.100000000000001" customHeight="1" x14ac:dyDescent="0.2">
      <c r="D139" s="113" t="str">
        <v>Composting</v>
      </c>
      <c r="E139" s="121" t="str">
        <v>Food waste (including animal carcasses, spoiled animal feed or crop)</v>
      </c>
      <c r="F139" s="122"/>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917</v>
      </c>
      <c r="J139" s="15" t="s">
        <v>773</v>
      </c>
      <c r="K139" s="15" t="s">
        <v>773</v>
      </c>
    </row>
    <row r="140" spans="4:11" ht="20.100000000000001" customHeight="1" x14ac:dyDescent="0.2">
      <c r="D140" s="113" t="str">
        <v>Composting</v>
      </c>
      <c r="E140" s="121" t="str">
        <v>Green waste (including crop residues or prunings)</v>
      </c>
      <c r="F140" s="122"/>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917</v>
      </c>
      <c r="J140" s="15" t="s">
        <v>773</v>
      </c>
      <c r="K140" s="15" t="s">
        <v>773</v>
      </c>
    </row>
    <row r="141" spans="4:11" ht="20.100000000000001" customHeight="1" x14ac:dyDescent="0.2">
      <c r="D141" s="113" t="str">
        <v>Composting</v>
      </c>
      <c r="E141" s="121" t="str">
        <v>Wood</v>
      </c>
      <c r="F141" s="122"/>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917</v>
      </c>
      <c r="J141" s="15" t="s">
        <v>773</v>
      </c>
      <c r="K141" s="15" t="s">
        <v>773</v>
      </c>
    </row>
    <row r="142" spans="4:11" ht="20.100000000000001" customHeight="1" x14ac:dyDescent="0.2">
      <c r="D142" s="113" t="str">
        <v>Composting</v>
      </c>
      <c r="E142" s="121" t="str">
        <v>Sludge</v>
      </c>
      <c r="F142" s="122"/>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917</v>
      </c>
      <c r="J142" s="15" t="s">
        <v>773</v>
      </c>
      <c r="K142" s="15" t="s">
        <v>773</v>
      </c>
    </row>
    <row r="143" spans="4:11" ht="20.100000000000001" customHeight="1" x14ac:dyDescent="0.2">
      <c r="D143" s="113" t="str">
        <v>Composting</v>
      </c>
      <c r="E143" s="121" t="str">
        <v>Paper and cardboard</v>
      </c>
      <c r="F143" s="122"/>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917</v>
      </c>
      <c r="J143" s="15" t="s">
        <v>773</v>
      </c>
      <c r="K143" s="15" t="s">
        <v>773</v>
      </c>
    </row>
    <row r="144" spans="4:11" ht="20.100000000000001" customHeight="1" x14ac:dyDescent="0.2">
      <c r="D144" s="113" t="str">
        <v>Anaerobic digestion</v>
      </c>
      <c r="E144" s="121" t="str">
        <v>All organic waste</v>
      </c>
      <c r="F144" s="122"/>
      <c r="G144" s="15" t="s">
        <v>773</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cm="1">
        <f t="array" ref="K144">WasteSolid_Equations.VEERG_10_1_1_1__1_EmissionsFromWasteManagement(I144, J144)</f>
        <v>0</v>
      </c>
    </row>
    <row r="145" spans="1:11" ht="20.100000000000001" customHeight="1" x14ac:dyDescent="0.2">
      <c r="D145" s="113" t="str">
        <v>Anaerobic digestion</v>
      </c>
      <c r="E145" s="121" t="str">
        <v>Food waste (including animal carcasses, spoiled animal feed or crop)</v>
      </c>
      <c r="F145" s="122"/>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917</v>
      </c>
      <c r="J145" s="15" t="s">
        <v>773</v>
      </c>
      <c r="K145" s="15" t="s">
        <v>773</v>
      </c>
    </row>
    <row r="146" spans="1:11" ht="20.100000000000001" customHeight="1" x14ac:dyDescent="0.2">
      <c r="D146" s="113" t="str">
        <v>Anaerobic digestion</v>
      </c>
      <c r="E146" s="121" t="str">
        <v>Green waste (including crop residues or prunings)</v>
      </c>
      <c r="F146" s="122"/>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917</v>
      </c>
      <c r="J146" s="15" t="s">
        <v>773</v>
      </c>
      <c r="K146" s="15" t="s">
        <v>773</v>
      </c>
    </row>
    <row r="147" spans="1:11" ht="20.100000000000001" customHeight="1" x14ac:dyDescent="0.2">
      <c r="D147" s="113" t="str">
        <v>Anaerobic digestion</v>
      </c>
      <c r="E147" s="121" t="str">
        <v>Wood</v>
      </c>
      <c r="F147" s="122"/>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917</v>
      </c>
      <c r="J147" s="15" t="s">
        <v>773</v>
      </c>
      <c r="K147" s="15" t="s">
        <v>773</v>
      </c>
    </row>
    <row r="148" spans="1:11" ht="20.100000000000001" customHeight="1" x14ac:dyDescent="0.2">
      <c r="D148" s="113" t="str">
        <v>Anaerobic digestion</v>
      </c>
      <c r="E148" s="121" t="str">
        <v>Sludge</v>
      </c>
      <c r="F148" s="122"/>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917</v>
      </c>
      <c r="J148" s="15" t="s">
        <v>773</v>
      </c>
      <c r="K148" s="15" t="s">
        <v>773</v>
      </c>
    </row>
    <row r="149" spans="1:11" ht="20.100000000000001" customHeight="1" x14ac:dyDescent="0.2">
      <c r="D149" s="113" t="str">
        <v>Anaerobic digestion</v>
      </c>
      <c r="E149" s="121" t="str">
        <v>Paper and cardboard</v>
      </c>
      <c r="F149" s="122"/>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917</v>
      </c>
      <c r="J149" s="15" t="s">
        <v>773</v>
      </c>
      <c r="K149" s="15" t="s">
        <v>773</v>
      </c>
    </row>
    <row r="151" spans="1:11" ht="20.100000000000001" customHeight="1" x14ac:dyDescent="0.2">
      <c r="D151" s="85" t="s">
        <v>918</v>
      </c>
      <c r="E151" s="86">
        <f>SUM(K116:K149)</f>
        <v>438.82805000000002</v>
      </c>
      <c r="F151" s="95" t="str">
        <f>$E$103</f>
        <v>t CO2e</v>
      </c>
    </row>
    <row r="154" spans="1:11" ht="20.100000000000001" customHeight="1" x14ac:dyDescent="0.2">
      <c r="D154" s="118" t="s">
        <v>919</v>
      </c>
    </row>
    <row r="155" spans="1:11" ht="20.100000000000001" customHeight="1" x14ac:dyDescent="0.2">
      <c r="D155" s="119" t="s">
        <v>920</v>
      </c>
    </row>
    <row r="156" spans="1:11" ht="20.100000000000001" customHeight="1" x14ac:dyDescent="0.2">
      <c r="A156" s="79" t="str">
        <f>HYPERLINK("#A1", "▲ Back to top")</f>
        <v>▲ Back to top</v>
      </c>
      <c r="D156" s="78" t="s">
        <v>904</v>
      </c>
      <c r="E156" s="78" t="s">
        <v>905</v>
      </c>
      <c r="F156" s="78"/>
      <c r="G156" s="78" t="s">
        <v>913</v>
      </c>
      <c r="H156" s="120" t="s">
        <v>914</v>
      </c>
      <c r="I156" s="120" t="s">
        <v>908</v>
      </c>
      <c r="J156" s="120" t="s">
        <v>915</v>
      </c>
      <c r="K156" s="120" t="s">
        <v>916</v>
      </c>
    </row>
    <row r="157" spans="1:11" ht="20.100000000000001" customHeight="1" x14ac:dyDescent="0.2">
      <c r="D157" s="113" t="str" cm="1">
        <f t="array" ref="D157:D190">Table_SourceData_WasteSolid_WasteTreatmentEFs[Treatment type t]</f>
        <v>Landfill</v>
      </c>
      <c r="E157" s="121" t="str" cm="1">
        <f t="array" ref="E157:E190">Table_SourceData_WasteSolid_WasteTreatmentEFs[Waste type w]</f>
        <v>Food waste (including animal carcasses, spoiled animal feed or crop)</v>
      </c>
      <c r="F157" s="226"/>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cm="1">
        <f t="array" ref="K157">WasteSolid_Equations.VEERG_10_1_1_1__1_EmissionsFromWasteManagement(I157, J157)</f>
        <v>157.5</v>
      </c>
    </row>
    <row r="158" spans="1:11" ht="20.100000000000001" customHeight="1" x14ac:dyDescent="0.2">
      <c r="D158" s="113" t="str">
        <v>Landfill</v>
      </c>
      <c r="E158" s="121" t="str">
        <v>Paper and cardboard</v>
      </c>
      <c r="F158" s="226"/>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cm="1">
        <f t="array" ref="K158">WasteSolid_Equations.VEERG_10_1_1_1__1_EmissionsFromWasteManagement(I158, J158)</f>
        <v>179.85</v>
      </c>
    </row>
    <row r="159" spans="1:11" ht="20.100000000000001" customHeight="1" x14ac:dyDescent="0.2">
      <c r="D159" s="113" t="str">
        <v>Landfill</v>
      </c>
      <c r="E159" s="121" t="str">
        <v>Green waste (including crop residues or prunings)</v>
      </c>
      <c r="F159" s="226"/>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cm="1">
        <f t="array" ref="K159">WasteSolid_Equations.VEERG_10_1_1_1__1_EmissionsFromWasteManagement(I159, J159)</f>
        <v>99.2</v>
      </c>
    </row>
    <row r="160" spans="1:11" ht="20.100000000000001" customHeight="1" x14ac:dyDescent="0.2">
      <c r="D160" s="113" t="str">
        <v>Landfill</v>
      </c>
      <c r="E160" s="121" t="str">
        <v>Wood</v>
      </c>
      <c r="F160" s="226"/>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cm="1">
        <f t="array" ref="K160">WasteSolid_Equations.VEERG_10_1_1_1__1_EmissionsFromWasteManagement(I160, J160)</f>
        <v>0</v>
      </c>
    </row>
    <row r="161" spans="4:11" ht="20.100000000000001" customHeight="1" x14ac:dyDescent="0.2">
      <c r="D161" s="113" t="str">
        <v>Landfill</v>
      </c>
      <c r="E161" s="121" t="str">
        <v>Textiles</v>
      </c>
      <c r="F161" s="226"/>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cm="1">
        <f t="array" ref="K161">WasteSolid_Equations.VEERG_10_1_1_1__1_EmissionsFromWasteManagement(I161, J161)</f>
        <v>0</v>
      </c>
    </row>
    <row r="162" spans="4:11" ht="20.100000000000001" customHeight="1" x14ac:dyDescent="0.2">
      <c r="D162" s="113" t="str">
        <v>Landfill</v>
      </c>
      <c r="E162" s="121" t="str">
        <v>Sludge</v>
      </c>
      <c r="F162" s="226"/>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cm="1">
        <f t="array" ref="K162">WasteSolid_Equations.VEERG_10_1_1_1__1_EmissionsFromWasteManagement(I162, J162)</f>
        <v>0</v>
      </c>
    </row>
    <row r="163" spans="4:11" ht="20.100000000000001" customHeight="1" x14ac:dyDescent="0.2">
      <c r="D163" s="113" t="str">
        <v>Landfill</v>
      </c>
      <c r="E163" s="121" t="str">
        <v>Rubber and leather</v>
      </c>
      <c r="F163" s="226"/>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cm="1">
        <f t="array" ref="K163">WasteSolid_Equations.VEERG_10_1_1_1__1_EmissionsFromWasteManagement(I163, J163)</f>
        <v>0</v>
      </c>
    </row>
    <row r="164" spans="4:11" ht="20.100000000000001" customHeight="1" x14ac:dyDescent="0.2">
      <c r="D164" s="113" t="str">
        <v>Landfill</v>
      </c>
      <c r="E164" s="121" t="str">
        <v>Inert waste (including concrete, metal, plastic or glass)</v>
      </c>
      <c r="F164" s="226"/>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cm="1">
        <f t="array" ref="K164">WasteSolid_Equations.VEERG_10_1_1_1__1_EmissionsFromWasteManagement(I164, J164)</f>
        <v>0</v>
      </c>
    </row>
    <row r="165" spans="4:11" ht="20.100000000000001" customHeight="1" x14ac:dyDescent="0.2">
      <c r="D165" s="113" t="str">
        <v>Landfill</v>
      </c>
      <c r="E165" s="121" t="str">
        <v>Municipal solid waste</v>
      </c>
      <c r="F165" s="226"/>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cm="1">
        <f t="array" ref="K165">WasteSolid_Equations.VEERG_10_1_1_1__1_EmissionsFromWasteManagement(I165, J165)</f>
        <v>0</v>
      </c>
    </row>
    <row r="166" spans="4:11" ht="20.100000000000001" customHeight="1" x14ac:dyDescent="0.2">
      <c r="D166" s="113" t="str">
        <v>Landfill</v>
      </c>
      <c r="E166" s="121" t="str">
        <v>Commercial and industrial waste</v>
      </c>
      <c r="F166" s="226"/>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cm="1">
        <f t="array" ref="K166">WasteSolid_Equations.VEERG_10_1_1_1__1_EmissionsFromWasteManagement(I166, J166)</f>
        <v>0</v>
      </c>
    </row>
    <row r="167" spans="4:11" ht="20.100000000000001" customHeight="1" x14ac:dyDescent="0.2">
      <c r="D167" s="113" t="str">
        <v>Landfill</v>
      </c>
      <c r="E167" s="121" t="str">
        <v>Construction and demolition waste</v>
      </c>
      <c r="F167" s="226"/>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cm="1">
        <f t="array" ref="K167">WasteSolid_Equations.VEERG_10_1_1_1__1_EmissionsFromWasteManagement(I167, J167)</f>
        <v>0</v>
      </c>
    </row>
    <row r="168" spans="4:11" ht="20.100000000000001" customHeight="1" x14ac:dyDescent="0.2">
      <c r="D168" s="113" t="str">
        <v>Incineration</v>
      </c>
      <c r="E168" s="121" t="str">
        <v>Food waste, green waste, wood, sludge</v>
      </c>
      <c r="F168" s="226"/>
      <c r="G168" s="15" t="s">
        <v>773</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cm="1">
        <f t="array" ref="K168">WasteSolid_Equations.VEERG_10_1_1_1__1_EmissionsFromWasteManagement(I168, J168)</f>
        <v>0</v>
      </c>
    </row>
    <row r="169" spans="4:11" ht="20.100000000000001" customHeight="1" x14ac:dyDescent="0.2">
      <c r="D169" s="113" t="str">
        <v>Incineration</v>
      </c>
      <c r="E169" s="121" t="str">
        <v>Food waste (including animal carcasses, spoiled animal feed or crop)</v>
      </c>
      <c r="F169" s="226"/>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917</v>
      </c>
      <c r="J169" s="15" t="s">
        <v>773</v>
      </c>
      <c r="K169" s="15" t="s">
        <v>773</v>
      </c>
    </row>
    <row r="170" spans="4:11" ht="20.100000000000001" customHeight="1" x14ac:dyDescent="0.2">
      <c r="D170" s="113" t="str">
        <v>Incineration</v>
      </c>
      <c r="E170" s="121" t="str">
        <v>Green waste (including crop residues or prunings)</v>
      </c>
      <c r="F170" s="226"/>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917</v>
      </c>
      <c r="J170" s="15" t="s">
        <v>773</v>
      </c>
      <c r="K170" s="15" t="s">
        <v>773</v>
      </c>
    </row>
    <row r="171" spans="4:11" ht="20.100000000000001" customHeight="1" x14ac:dyDescent="0.2">
      <c r="D171" s="113" t="str">
        <v>Incineration</v>
      </c>
      <c r="E171" s="121" t="str">
        <v>Wood</v>
      </c>
      <c r="F171" s="226"/>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917</v>
      </c>
      <c r="J171" s="15" t="s">
        <v>773</v>
      </c>
      <c r="K171" s="15" t="s">
        <v>773</v>
      </c>
    </row>
    <row r="172" spans="4:11" ht="20.100000000000001" customHeight="1" x14ac:dyDescent="0.2">
      <c r="D172" s="113" t="str">
        <v>Incineration</v>
      </c>
      <c r="E172" s="121" t="str">
        <v>Sludge</v>
      </c>
      <c r="F172" s="226"/>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917</v>
      </c>
      <c r="J172" s="15" t="s">
        <v>773</v>
      </c>
      <c r="K172" s="15" t="s">
        <v>773</v>
      </c>
    </row>
    <row r="173" spans="4:11" ht="20.100000000000001" customHeight="1" x14ac:dyDescent="0.2">
      <c r="D173" s="113" t="str">
        <v>Incineration</v>
      </c>
      <c r="E173" s="121" t="str">
        <v>Paper and cardboard</v>
      </c>
      <c r="F173" s="226"/>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cm="1">
        <f t="array" ref="K173">WasteSolid_Equations.VEERG_10_1_1_1__1_EmissionsFromWasteManagement(I173, J173)</f>
        <v>0</v>
      </c>
    </row>
    <row r="174" spans="4:11" ht="20.100000000000001" customHeight="1" x14ac:dyDescent="0.2">
      <c r="D174" s="113" t="str">
        <v>Incineration</v>
      </c>
      <c r="E174" s="121" t="str">
        <v>Textiles</v>
      </c>
      <c r="F174" s="226"/>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cm="1">
        <f t="array" ref="K174">WasteSolid_Equations.VEERG_10_1_1_1__1_EmissionsFromWasteManagement(I174, J174)</f>
        <v>0</v>
      </c>
    </row>
    <row r="175" spans="4:11" ht="20.100000000000001" customHeight="1" x14ac:dyDescent="0.2">
      <c r="D175" s="113" t="str">
        <v>Incineration</v>
      </c>
      <c r="E175" s="121" t="str">
        <v>Rubber and leather</v>
      </c>
      <c r="F175" s="226"/>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cm="1">
        <f t="array" ref="K175">WasteSolid_Equations.VEERG_10_1_1_1__1_EmissionsFromWasteManagement(I175, J175)</f>
        <v>0</v>
      </c>
    </row>
    <row r="176" spans="4:11" ht="20.100000000000001" customHeight="1" x14ac:dyDescent="0.2">
      <c r="D176" s="113" t="str">
        <v>Incineration</v>
      </c>
      <c r="E176" s="121" t="str">
        <v>Inert waste (including concrete, metal, plastic or glass)</v>
      </c>
      <c r="F176" s="226"/>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cm="1">
        <f t="array" ref="K176">WasteSolid_Equations.VEERG_10_1_1_1__1_EmissionsFromWasteManagement(I176, J176)</f>
        <v>0</v>
      </c>
    </row>
    <row r="177" spans="1:11" ht="20.100000000000001" customHeight="1" x14ac:dyDescent="0.2">
      <c r="D177" s="113" t="str">
        <v>Incineration</v>
      </c>
      <c r="E177" s="121" t="str">
        <v>Municipal solid waste</v>
      </c>
      <c r="F177" s="122"/>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cm="1">
        <f t="array" ref="K177">WasteSolid_Equations.VEERG_10_1_1_1__1_EmissionsFromWasteManagement(I177, J177)</f>
        <v>0</v>
      </c>
    </row>
    <row r="178" spans="1:11" ht="20.100000000000001" customHeight="1" x14ac:dyDescent="0.2">
      <c r="D178" s="113" t="str">
        <v>Incineration</v>
      </c>
      <c r="E178" s="121" t="str">
        <v>Commercial and industrial waste</v>
      </c>
      <c r="F178" s="122"/>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cm="1">
        <f t="array" ref="K178">WasteSolid_Equations.VEERG_10_1_1_1__1_EmissionsFromWasteManagement(I178, J178)</f>
        <v>0</v>
      </c>
    </row>
    <row r="179" spans="1:11" ht="20.100000000000001" customHeight="1" x14ac:dyDescent="0.2">
      <c r="D179" s="113" t="str">
        <v>Composting</v>
      </c>
      <c r="E179" s="121" t="str">
        <v>All organic waste</v>
      </c>
      <c r="F179" s="122"/>
      <c r="G179" s="15" t="s">
        <v>773</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cm="1">
        <f t="array" ref="K179">WasteSolid_Equations.VEERG_10_1_1_1__1_EmissionsFromWasteManagement(I179, J179)</f>
        <v>4.5999999999999996</v>
      </c>
    </row>
    <row r="180" spans="1:11" ht="20.100000000000001" customHeight="1" x14ac:dyDescent="0.2">
      <c r="D180" s="113" t="str">
        <v>Composting</v>
      </c>
      <c r="E180" s="121" t="str">
        <v>Food waste (including animal carcasses, spoiled animal feed or crop)</v>
      </c>
      <c r="F180" s="122"/>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917</v>
      </c>
      <c r="J180" s="15" t="s">
        <v>773</v>
      </c>
      <c r="K180" s="15" t="s">
        <v>773</v>
      </c>
    </row>
    <row r="181" spans="1:11" ht="20.100000000000001" customHeight="1" x14ac:dyDescent="0.2">
      <c r="D181" s="113" t="str">
        <v>Composting</v>
      </c>
      <c r="E181" s="121" t="str">
        <v>Green waste (including crop residues or prunings)</v>
      </c>
      <c r="F181" s="122"/>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917</v>
      </c>
      <c r="J181" s="15" t="s">
        <v>773</v>
      </c>
      <c r="K181" s="15" t="s">
        <v>773</v>
      </c>
    </row>
    <row r="182" spans="1:11" ht="20.100000000000001" customHeight="1" x14ac:dyDescent="0.2">
      <c r="D182" s="113" t="str">
        <v>Composting</v>
      </c>
      <c r="E182" s="121" t="str">
        <v>Wood</v>
      </c>
      <c r="F182" s="122"/>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917</v>
      </c>
      <c r="J182" s="15" t="s">
        <v>773</v>
      </c>
      <c r="K182" s="15" t="s">
        <v>773</v>
      </c>
    </row>
    <row r="183" spans="1:11" ht="20.100000000000001" customHeight="1" x14ac:dyDescent="0.2">
      <c r="D183" s="113" t="str">
        <v>Composting</v>
      </c>
      <c r="E183" s="121" t="str">
        <v>Sludge</v>
      </c>
      <c r="F183" s="122"/>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917</v>
      </c>
      <c r="J183" s="15" t="s">
        <v>773</v>
      </c>
      <c r="K183" s="15" t="s">
        <v>773</v>
      </c>
    </row>
    <row r="184" spans="1:11" ht="20.100000000000001" customHeight="1" x14ac:dyDescent="0.2">
      <c r="D184" s="113" t="str">
        <v>Composting</v>
      </c>
      <c r="E184" s="121" t="str">
        <v>Paper and cardboard</v>
      </c>
      <c r="F184" s="122"/>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917</v>
      </c>
      <c r="J184" s="15" t="s">
        <v>773</v>
      </c>
      <c r="K184" s="15" t="s">
        <v>773</v>
      </c>
    </row>
    <row r="185" spans="1:11" ht="20.100000000000001" customHeight="1" x14ac:dyDescent="0.2">
      <c r="D185" s="113" t="str">
        <v>Anaerobic digestion</v>
      </c>
      <c r="E185" s="121" t="str">
        <v>All organic waste</v>
      </c>
      <c r="F185" s="122"/>
      <c r="G185" s="15" t="s">
        <v>773</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cm="1">
        <f t="array" ref="K185">WasteSolid_Equations.VEERG_10_1_1_1__1_EmissionsFromWasteManagement(I185, J185)</f>
        <v>0</v>
      </c>
    </row>
    <row r="186" spans="1:11" ht="20.100000000000001" customHeight="1" x14ac:dyDescent="0.2">
      <c r="A186" s="79" t="str">
        <f>HYPERLINK("#A1", "▲ Back to top")</f>
        <v>▲ Back to top</v>
      </c>
      <c r="D186" s="113" t="str">
        <v>Anaerobic digestion</v>
      </c>
      <c r="E186" s="121" t="str">
        <v>Food waste (including animal carcasses, spoiled animal feed or crop)</v>
      </c>
      <c r="F186" s="122"/>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917</v>
      </c>
      <c r="J186" s="15" t="s">
        <v>773</v>
      </c>
      <c r="K186" s="15" t="s">
        <v>773</v>
      </c>
    </row>
    <row r="187" spans="1:11" ht="20.100000000000001" customHeight="1" x14ac:dyDescent="0.2">
      <c r="D187" s="113" t="str">
        <v>Anaerobic digestion</v>
      </c>
      <c r="E187" s="121" t="str">
        <v>Green waste (including crop residues or prunings)</v>
      </c>
      <c r="F187" s="122"/>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917</v>
      </c>
      <c r="J187" s="15" t="s">
        <v>773</v>
      </c>
      <c r="K187" s="15" t="s">
        <v>773</v>
      </c>
    </row>
    <row r="188" spans="1:11" ht="20.100000000000001" customHeight="1" x14ac:dyDescent="0.2">
      <c r="D188" s="113" t="str">
        <v>Anaerobic digestion</v>
      </c>
      <c r="E188" s="121" t="str">
        <v>Wood</v>
      </c>
      <c r="F188" s="122"/>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917</v>
      </c>
      <c r="J188" s="15" t="s">
        <v>773</v>
      </c>
      <c r="K188" s="15" t="s">
        <v>773</v>
      </c>
    </row>
    <row r="189" spans="1:11" ht="20.100000000000001" customHeight="1" x14ac:dyDescent="0.2">
      <c r="D189" s="113" t="str">
        <v>Anaerobic digestion</v>
      </c>
      <c r="E189" s="121" t="str">
        <v>Sludge</v>
      </c>
      <c r="F189" s="122"/>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917</v>
      </c>
      <c r="J189" s="15" t="s">
        <v>773</v>
      </c>
      <c r="K189" s="15" t="s">
        <v>773</v>
      </c>
    </row>
    <row r="190" spans="1:11" ht="20.100000000000001" customHeight="1" x14ac:dyDescent="0.2">
      <c r="D190" s="113" t="str">
        <v>Anaerobic digestion</v>
      </c>
      <c r="E190" s="121" t="str">
        <v>Paper and cardboard</v>
      </c>
      <c r="F190" s="122"/>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917</v>
      </c>
      <c r="J190" s="15" t="s">
        <v>773</v>
      </c>
      <c r="K190" s="15" t="s">
        <v>773</v>
      </c>
    </row>
    <row r="192" spans="1:11" ht="20.100000000000001" customHeight="1" x14ac:dyDescent="0.2">
      <c r="D192" s="85" t="s">
        <v>918</v>
      </c>
      <c r="E192" s="86">
        <f>SUM(K157:K190)</f>
        <v>441.15000000000003</v>
      </c>
      <c r="F192" s="95"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D0EAD398-23F1-456F-BACA-57FB38E4EE78}"/>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23634-B11B-4E95-9F8C-4439275B2CB0}">
  <sheetPr>
    <tabColor rgb="FF008000"/>
  </sheetPr>
  <dimension ref="A1:K34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0" customFormat="1" ht="30" customHeight="1" x14ac:dyDescent="0.35">
      <c r="A1" s="10" t="e" vm="1">
        <v>#VALUE!</v>
      </c>
      <c r="C1" s="20" t="s">
        <v>564</v>
      </c>
    </row>
    <row r="2" spans="1:11" s="3" customFormat="1" ht="20.100000000000001" customHeight="1" x14ac:dyDescent="0.2">
      <c r="A2"/>
    </row>
    <row r="3" spans="1:11" ht="20.100000000000001" customHeight="1" x14ac:dyDescent="0.2">
      <c r="A3" s="5" t="str">
        <f>HYPERLINK("#'Home'!A1", "Home")</f>
        <v>Home</v>
      </c>
      <c r="C3" s="22"/>
      <c r="D3" s="22" t="s">
        <v>130</v>
      </c>
      <c r="E3" s="22"/>
      <c r="F3" s="22"/>
      <c r="G3" s="22"/>
      <c r="H3" s="22"/>
      <c r="I3" s="22"/>
      <c r="J3" s="22"/>
      <c r="K3" s="22"/>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tr" cm="1">
        <f t="array" ref="D5">Electricity_Equations.VEERG_14_1_1__1_LocationBasedScopeElectricityEmissions_Title()</f>
        <v>Location-based Scope 2 emissions from purchased electricity</v>
      </c>
    </row>
    <row r="6" spans="1:11" ht="20.100000000000001" customHeight="1" x14ac:dyDescent="0.2">
      <c r="D6" s="17" t="str" cm="1">
        <f t="array" ref="D6">Electricity_Equations.VEERG_14_1_1__1_LocationBasedScopeElectricityEmissions_Source()</f>
        <v>VEERG 2026: 14.1.1, Equation (1)</v>
      </c>
    </row>
    <row r="7" spans="1:11" ht="20.100000000000001" customHeight="1" x14ac:dyDescent="0.2">
      <c r="D7" s="25" t="str" cm="1">
        <f t="array" ref="D7">Electricity_Equations.VEERG_14_1_1__1_LocationBasedScopeElectricityEmissions_Variation()</f>
        <v>Added g variable to capture which grid electricity was purchased from</v>
      </c>
    </row>
    <row r="8" spans="1:11" ht="20.100000000000001" customHeight="1" x14ac:dyDescent="0.2">
      <c r="A8" s="7" t="s">
        <v>0</v>
      </c>
      <c r="D8" s="112" t="s">
        <v>321</v>
      </c>
      <c r="E8" s="112"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Feedlot'!A1", "Feedlot")</f>
        <v>Feedlot</v>
      </c>
      <c r="D11" s="75" t="s">
        <v>322</v>
      </c>
      <c r="E11" s="1" t="str" cm="1">
        <f t="array" ref="E11">Electricity_Equations.VEERG_14_1_1__1_LocationBasedScopeElectricityEmissions_Variable()</f>
        <v>E_2elec</v>
      </c>
    </row>
    <row r="12" spans="1:11" ht="20.100000000000001" customHeight="1" x14ac:dyDescent="0.2">
      <c r="A12" s="5" t="str">
        <f>HYPERLINK("#'Input - Livestock sales'!A1", "Livestock sales")</f>
        <v>Livestock sales</v>
      </c>
      <c r="D12" s="75" t="s">
        <v>118</v>
      </c>
      <c r="E12" s="9" t="str" cm="1">
        <f t="array" ref="E12">Electricity_Equations.VEERG_14_1_1__1_LocationBasedScopeElectricityEmissions_Unit()</f>
        <v>t CO2e</v>
      </c>
    </row>
    <row r="13" spans="1:11" ht="20.100000000000001" customHeight="1" x14ac:dyDescent="0.2">
      <c r="A13" s="5" t="str">
        <f>HYPERLINK("#'Input - Beef cattle purchases'!A1", "Beef cattle purchases")</f>
        <v>Beef cattle purchases</v>
      </c>
    </row>
    <row r="14" spans="1:11" ht="20.100000000000001" customHeight="1" x14ac:dyDescent="0.2">
      <c r="A14" s="5" t="str">
        <f>HYPERLINK("#'Input - Fuel'!A1", "Fuel")</f>
        <v>Fuel</v>
      </c>
      <c r="D14" s="113" t="str" cm="1">
        <f t="array" ref="D14:E16">_xlfn.CHOOSECOLS(Electricity_Equations.VEERG_14_1_1__1_LocationBasedScopeElectricityEmissions_Arguments(),1,2)</f>
        <v>Q_elec</v>
      </c>
      <c r="E14" s="121" t="str">
        <v>amount of electricity purchased from the grid</v>
      </c>
      <c r="F14" s="122"/>
      <c r="G14" s="113" t="str" cm="1">
        <f t="array" ref="G14:H16">_xlfn.CHOOSECOLS(Electricity_Equations.VEERG_14_1_1__1_LocationBasedScopeElectricityEmissions_Arguments(),3,4)</f>
        <v>kWh</v>
      </c>
      <c r="H14" s="114" t="str">
        <v>Input</v>
      </c>
      <c r="I14" s="121">
        <f>X_Cell_Electricity_Location_AmountPurchasedInkWh</f>
        <v>30000</v>
      </c>
      <c r="J14" s="122"/>
    </row>
    <row r="15" spans="1:11" ht="20.100000000000001" customHeight="1" x14ac:dyDescent="0.2">
      <c r="A15" s="5" t="str">
        <f>HYPERLINK("#'Input - Electricity'!A1", "Electricity")</f>
        <v>Electricity</v>
      </c>
      <c r="D15" s="113" t="str">
        <v>EF_2elec</v>
      </c>
      <c r="E15" s="121" t="str">
        <v>location-based Scope 2 emission factor for electricity</v>
      </c>
      <c r="F15" s="122"/>
      <c r="G15" s="113" t="str">
        <v>kg CO2e/kWh</v>
      </c>
      <c r="H15" s="115" t="str">
        <v>Constant</v>
      </c>
      <c r="I15" s="121" cm="1">
        <f t="array" ref="I15">Common_InputFunctions.Utility_LookupValueInTableNumber(I16,Table_SourceData_ElectricityEFs[State, Territory or grid description],Table_SourceData_ElectricityEFs[Scope 2 Emission Factors (kg CO2-e/kWh)])</f>
        <v>0.56000000000000005</v>
      </c>
      <c r="J15" s="122"/>
    </row>
    <row r="16" spans="1:11" ht="20.100000000000001" customHeight="1" x14ac:dyDescent="0.2">
      <c r="A16" s="5" t="str">
        <f>HYPERLINK("#'Input - Common farm inputs'!A1", "Common farm inputs")</f>
        <v>Common farm inputs</v>
      </c>
      <c r="D16" s="113" t="str">
        <v>g</v>
      </c>
      <c r="E16" s="121" t="str">
        <v>Grid electricity was purchased from</v>
      </c>
      <c r="F16" s="122"/>
      <c r="G16" s="113" t="str">
        <v/>
      </c>
      <c r="H16" s="114" t="str">
        <v>Input</v>
      </c>
      <c r="I16" s="121" t="str">
        <f>X_Cell_Electricity_Location_GridElectricityPurchasedFrom</f>
        <v>Western Australia - North Western Interconnected System (NWIS)</v>
      </c>
      <c r="J16" s="122"/>
    </row>
    <row r="17" spans="1:11" ht="20.100000000000001" customHeight="1" x14ac:dyDescent="0.2">
      <c r="A17" s="5" t="str">
        <f>HYPERLINK("#'Input - Livestock farm Inputs'!A1", "Livestock farm Inputs")</f>
        <v>Livestock farm Inputs</v>
      </c>
    </row>
    <row r="18" spans="1:11" ht="20.100000000000001" customHeight="1" x14ac:dyDescent="0.2">
      <c r="A18" s="5" t="str">
        <f>HYPERLINK("#'Input - Freight'!A1", "Freight")</f>
        <v>Freight</v>
      </c>
      <c r="D18" s="85" t="s">
        <v>565</v>
      </c>
      <c r="E18" s="86" cm="1">
        <f t="array" ref="E18">Electricity_Equations.VEERG_14_1_1__1_LocationBasedScopeElectricityEmissions(I14,I15)</f>
        <v>16.8</v>
      </c>
      <c r="F18" s="95" t="str">
        <f>$E$12</f>
        <v>t CO2e</v>
      </c>
    </row>
    <row r="19" spans="1:11" ht="20.100000000000001" customHeight="1" x14ac:dyDescent="0.2">
      <c r="A19" s="5" t="str">
        <f>HYPERLINK("#'Input - Solid waste'!A1", "Solid waste")</f>
        <v>Solid waste</v>
      </c>
    </row>
    <row r="20" spans="1:11" ht="20.100000000000001" customHeight="1" x14ac:dyDescent="0.2">
      <c r="A20" s="5" t="str">
        <f>HYPERLINK("#'Input - Manure sent off-site'!A1", "Manure sent off-site")</f>
        <v>Manure sent off-site</v>
      </c>
    </row>
    <row r="21" spans="1:11" ht="20.100000000000001" customHeight="1" x14ac:dyDescent="0.2">
      <c r="A21" s="5" t="str">
        <f>HYPERLINK("#'Input - Data quality'!A1", "Data quality")</f>
        <v>Data quality</v>
      </c>
      <c r="C21" s="83"/>
      <c r="D21" s="83"/>
      <c r="E21" s="83"/>
      <c r="F21" s="83"/>
      <c r="G21" s="83"/>
      <c r="H21" s="83"/>
      <c r="I21" s="83"/>
      <c r="J21" s="83"/>
      <c r="K21" s="83"/>
    </row>
    <row r="22" spans="1:11" ht="20.100000000000001" customHeight="1" x14ac:dyDescent="0.2">
      <c r="A22" s="5" t="str">
        <f>HYPERLINK("#'Input - Fert Prod System'!A1", "Fert Prod System")</f>
        <v>Fert Prod System</v>
      </c>
      <c r="D22" s="2" t="str" cm="1">
        <f t="array" ref="D22">Electricity_Equations.VEERG_14_1_2__1_MarketBasedScopeElectricityEmissions_Title()</f>
        <v>Market-based Scope 2 emissions from purchased electricity</v>
      </c>
    </row>
    <row r="23" spans="1:11" ht="20.100000000000001" customHeight="1" x14ac:dyDescent="0.2">
      <c r="A23" s="5" t="str">
        <f>HYPERLINK("#'Input - Fertiliser'!A1", "Fertiliser")</f>
        <v>Fertiliser</v>
      </c>
      <c r="D23" s="17" t="str" cm="1">
        <f t="array" ref="D23">Electricity_Equations.VEERG_14_1_2__1_MarketBasedScopeElectricityEmissions_Source()</f>
        <v>VEERG 2026: 14.1.2, Equation (1)</v>
      </c>
    </row>
    <row r="24" spans="1:11" ht="20.100000000000001" customHeight="1" x14ac:dyDescent="0.2">
      <c r="D24" s="25"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
      <c r="D25" s="112" t="s">
        <v>321</v>
      </c>
      <c r="E25" s="112"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
      <c r="A26" s="6" t="s">
        <v>2</v>
      </c>
    </row>
    <row r="27" spans="1:11" ht="20.100000000000001" customHeight="1" x14ac:dyDescent="0.2">
      <c r="A27" s="5" t="str">
        <f>HYPERLINK("#'3.1.1.1-2 Enteric Methane'!A1", "3.1.1.1-2 Enteric Methane")</f>
        <v>3.1.1.1-2 Enteric Methane</v>
      </c>
    </row>
    <row r="28" spans="1:11" ht="20.100000000000001" customHeight="1" x14ac:dyDescent="0.2">
      <c r="A28" s="5" t="str">
        <f>HYPERLINK("#'4.1.1.1-2 Methane'!A1", "4.1.1.1-2 Manure Methane")</f>
        <v>4.1.1.1-2 Manure Methane</v>
      </c>
      <c r="D28" s="75" t="s">
        <v>322</v>
      </c>
      <c r="E28" s="1" t="str" cm="1">
        <f t="array" ref="E28">Electricity_Equations.VEERG_14_1_2__1_MarketBasedScopeElectricityEmissions_Variable()</f>
        <v>E_2elec</v>
      </c>
    </row>
    <row r="29" spans="1:11" ht="20.100000000000001" customHeight="1" x14ac:dyDescent="0.2">
      <c r="A29" s="5" t="str">
        <f>HYPERLINK("#'4.1.1.3-4 Direct N20'!A1", "4.1.1.3-4 Manure Direct N2O")</f>
        <v>4.1.1.3-4 Manure Direct N2O</v>
      </c>
      <c r="D29" s="75" t="s">
        <v>118</v>
      </c>
      <c r="E29" s="9" t="str" cm="1">
        <f t="array" ref="E29">Electricity_Equations.VEERG_14_1_2__1_MarketBasedScopeElectricityEmissions_Unit()</f>
        <v>t CO2e</v>
      </c>
    </row>
    <row r="30" spans="1:11" ht="20.100000000000001" customHeight="1" x14ac:dyDescent="0.2">
      <c r="A30" s="5" t="str">
        <f>HYPERLINK("#'4.1.1.5-6 Atmos Deposition'!A1", "4.1.1.5-6 Manure Atmos Dep")</f>
        <v>4.1.1.5-6 Manure Atmos Dep</v>
      </c>
    </row>
    <row r="31" spans="1:11" ht="20.100000000000001" customHeight="1" x14ac:dyDescent="0.2">
      <c r="A31" s="5" t="str">
        <f>HYPERLINK("#'4.1.1.9 Manure applied to soils'!A1", "4.1.1.9 Manure applied to soils")</f>
        <v>4.1.1.9 Manure applied to soils</v>
      </c>
      <c r="D31" s="113" t="str" cm="1">
        <f t="array" ref="D31:E37">_xlfn.CHOOSECOLS(Electricity_Equations.VEERG_14_1_2__1_MarketBasedScopeElectricityEmissions_Arguments(),1,2)</f>
        <v>Q_elec</v>
      </c>
      <c r="E31" s="121" t="str">
        <v>amount of electricity purchased from the grid</v>
      </c>
      <c r="F31" s="132"/>
      <c r="G31" s="132"/>
      <c r="H31" s="113" t="str" cm="1">
        <f t="array" ref="H31:I37">_xlfn.CHOOSECOLS(Electricity_Equations.VEERG_14_1_2__1_MarketBasedScopeElectricityEmissions_Arguments(),3,4)</f>
        <v>kWh</v>
      </c>
      <c r="I31" s="114" t="str">
        <v>Input</v>
      </c>
      <c r="J31" s="113">
        <f>X_Cell_Electricity_Market_AmountPurchasedExcludingGreenPower</f>
        <v>30000</v>
      </c>
    </row>
    <row r="32" spans="1:11" ht="20.100000000000001" customHeight="1" x14ac:dyDescent="0.2">
      <c r="A32" s="5" t="str">
        <f>HYPERLINK("#'8.1.1.1-2 Transport fuel'!A1", "8.1.1.1-2 Transport fuel")</f>
        <v>8.1.1.1-2 Transport fuel</v>
      </c>
      <c r="D32" s="113" t="str">
        <v>RPP</v>
      </c>
      <c r="E32" s="121" t="str">
        <v>Renewable Power Percentage under the Large-scale Renewable Energy Target (LRET)</v>
      </c>
      <c r="F32" s="132"/>
      <c r="G32" s="132"/>
      <c r="H32" s="113" t="str">
        <v>per cent</v>
      </c>
      <c r="I32" s="114" t="str">
        <v>Input</v>
      </c>
      <c r="J32" s="144">
        <f>X_Cell_Electricity_Market_RenewablePowerPercentage</f>
        <v>0.1</v>
      </c>
    </row>
    <row r="33" spans="1:10" ht="20.100000000000001" customHeight="1" x14ac:dyDescent="0.2">
      <c r="A33" s="5" t="str">
        <f>HYPERLINK("#'8.2.1.1-2 Stationary fuel'!A1", "8.2.1.1-2 Stationary fuel")</f>
        <v>8.2.1.1-2 Stationary fuel</v>
      </c>
      <c r="D33" s="113" t="str">
        <v>JRPP</v>
      </c>
      <c r="E33" s="121" t="str">
        <v>jurisdictional renewable power percentage for the applicable period (ACT only)</v>
      </c>
      <c r="F33" s="132"/>
      <c r="G33" s="132"/>
      <c r="H33" s="113" t="str">
        <v>per cent</v>
      </c>
      <c r="I33" s="114" t="str">
        <v>Input</v>
      </c>
      <c r="J33" s="144" t="str">
        <f>IF(J37="ACT", X_Cell_Electricity_Market_JurisdictionalRenewablePowerPercentage, "N/A")</f>
        <v>N/A</v>
      </c>
    </row>
    <row r="34" spans="1:10" ht="20.100000000000001" customHeight="1" x14ac:dyDescent="0.2">
      <c r="A34" s="5" t="str">
        <f>HYPERLINK("#'10.1.1-2 Solid waste treatment'!A1", "10.1.1.1-2 Solid waste")</f>
        <v>10.1.1.1-2 Solid waste</v>
      </c>
      <c r="D34" s="113" t="str">
        <v>REC_surrendered</v>
      </c>
      <c r="E34" s="121" t="str">
        <v>Renewable Energy Certificates voluntarily surrendered in the reporting year</v>
      </c>
      <c r="F34" s="132"/>
      <c r="G34" s="132"/>
      <c r="H34" s="113" t="str">
        <v>MWh</v>
      </c>
      <c r="I34" s="114" t="str">
        <v>Input</v>
      </c>
      <c r="J34" s="113">
        <f>(X_Cell_Electricity_Market_AmountPurchasedGreenPower*10^-3)+X_Cell_TotalElegibleVoluntarilySurrenderedRECs</f>
        <v>15</v>
      </c>
    </row>
    <row r="35" spans="1:10" ht="20.100000000000001" customHeight="1" x14ac:dyDescent="0.2">
      <c r="A35" s="117" t="str">
        <f>HYPERLINK("#'14.1.1-2 Purchased electricity'!A1", "14.1.1-2 Purchased electricity")</f>
        <v>14.1.1-2 Purchased electricity</v>
      </c>
      <c r="D35" s="113" t="str">
        <v>REC_onsite</v>
      </c>
      <c r="E35" s="121" t="str">
        <v>Renewable Energy Certificates issued for electricity produced on-site during the year and consumed by the entity</v>
      </c>
      <c r="F35" s="132"/>
      <c r="G35" s="132"/>
      <c r="H35" s="113" t="str">
        <v>MWh</v>
      </c>
      <c r="I35" s="114" t="str">
        <v>Input</v>
      </c>
      <c r="J35" s="113">
        <f>X_Cell_TotalElegibleRECsForElectricityProducedOnSite</f>
        <v>0</v>
      </c>
    </row>
    <row r="36" spans="1:10" ht="20.100000000000001" customHeight="1" x14ac:dyDescent="0.2">
      <c r="A36" s="5" t="str">
        <f>HYPERLINK("#'15 Scope 3'!A1", "15 Scope 3")</f>
        <v>15 Scope 3</v>
      </c>
      <c r="D36" s="113" t="str">
        <v>EF_RMF2elec</v>
      </c>
      <c r="E36" s="121" t="str">
        <v>Scope 2 residual mix emission factor for electricity</v>
      </c>
      <c r="F36" s="132"/>
      <c r="G36" s="132"/>
      <c r="H36" s="113" t="str">
        <v>kg CO2e/kWh</v>
      </c>
      <c r="I36" s="115" t="str">
        <v>Constant</v>
      </c>
      <c r="J36" s="113" cm="1">
        <f t="array" ref="J36">Table_SourceData_ElectricityEFsMarketBased[Scope 2 EF (kg CO2-e/kWh)]</f>
        <v>0.81</v>
      </c>
    </row>
    <row r="37" spans="1:10" ht="20.100000000000001" customHeight="1" x14ac:dyDescent="0.2">
      <c r="A37" s="5" t="str">
        <f>HYPERLINK("#'Calcs - Manure sent off-site'!A1", "Calcs - Manure sent off-site")</f>
        <v>Calcs - Manure sent off-site</v>
      </c>
      <c r="D37" s="113" t="str">
        <v>i</v>
      </c>
      <c r="E37" s="121" t="str">
        <v>state</v>
      </c>
      <c r="F37" s="132"/>
      <c r="G37" s="122"/>
      <c r="H37" s="113" t="str">
        <v/>
      </c>
      <c r="I37" s="114" t="str">
        <v>Input</v>
      </c>
      <c r="J37" s="113" t="str">
        <f>X_Cell_Site_State</f>
        <v>Western Australia</v>
      </c>
    </row>
    <row r="38" spans="1:10" ht="20.100000000000001" customHeight="1" x14ac:dyDescent="0.2">
      <c r="A38" s="5" t="str">
        <f>HYPERLINK("#'5.1.1.1-2 Inorganic fert N2O'!A1", "5.1.1.1-2 Inorganic fert N2O")</f>
        <v>5.1.1.1-2 Inorganic fert N2O</v>
      </c>
    </row>
    <row r="39" spans="1:10" ht="20.100000000000001" customHeight="1" x14ac:dyDescent="0.2">
      <c r="A39" s="5" t="str">
        <f>HYPERLINK("#'5.1.1.3-4 Inorganic fert CO2'!A1", "5.1.1.3-4 Inorganic fert CO2")</f>
        <v>5.1.1.3-4 Inorganic fert CO2</v>
      </c>
      <c r="D39" s="85" t="s">
        <v>565</v>
      </c>
      <c r="E39" s="86" cm="1">
        <f t="array" ref="E39">Electricity_Equations.VEERG_14_1_2__1_MarketBasedScopeElectricityEmissionsVariation(J31,J32,IF(ISNUMBER(J33), J33, 0),J34,J35,J36)</f>
        <v>9.7200000000000006</v>
      </c>
      <c r="F39" s="95" t="str">
        <f>E29</f>
        <v>t CO2e</v>
      </c>
    </row>
    <row r="40" spans="1:10" ht="20.100000000000001" customHeight="1" x14ac:dyDescent="0.2">
      <c r="A40" s="5" t="str">
        <f>HYPERLINK("#'5.2.1.1-2 Organic Fert N2O'!A1", "5.2.1.1-2 Organic Fert N2O")</f>
        <v>5.2.1.1-2 Organic Fert N2O</v>
      </c>
      <c r="H40" s="1" t="s">
        <v>558</v>
      </c>
    </row>
    <row r="41" spans="1:10" ht="20.100000000000001" customHeight="1" x14ac:dyDescent="0.2">
      <c r="A41" s="5" t="str">
        <f>HYPERLINK("#'5.3.1.1-2 Lime CO2'!A1", "5.3.1.1-2 Lime CO2")</f>
        <v>5.3.1.1-2 Lime CO2</v>
      </c>
    </row>
    <row r="42" spans="1:10" ht="20.100000000000001" customHeight="1" x14ac:dyDescent="0.2">
      <c r="A42" s="5" t="str">
        <f>HYPERLINK("#'5.4.1.1-4 Atmos deposition'!A1", "5.4.1.1-4 Atmos deposition")</f>
        <v>5.4.1.1-4 Atmos deposition</v>
      </c>
    </row>
    <row r="43" spans="1:10" ht="20.100000000000001" customHeight="1" x14ac:dyDescent="0.2">
      <c r="A43" s="5" t="str">
        <f>HYPERLINK("#'5.5.1.1-2 Leaching and runoff'!A1", "5.5.1.1-2 Leaching and runoff")</f>
        <v>5.5.1.1-2 Leaching and runoff</v>
      </c>
    </row>
    <row r="44" spans="1:10" ht="20.100000000000001" customHeight="1" x14ac:dyDescent="0.2">
      <c r="E44" s="140"/>
    </row>
    <row r="46" spans="1:10" ht="20.100000000000001" customHeight="1" x14ac:dyDescent="0.2">
      <c r="A46" s="80" t="s">
        <v>1</v>
      </c>
    </row>
    <row r="47" spans="1:10" ht="20.100000000000001" customHeight="1" x14ac:dyDescent="0.2">
      <c r="A47" s="5" t="str">
        <f>HYPERLINK("#'Constants - Feedlot'!A1", "Constants - Feedlot")</f>
        <v>Constants - Feedlot</v>
      </c>
    </row>
    <row r="48" spans="1:10"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552502CF-DBEE-499A-9A62-9282FDCFD119}"/>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B095B-B5A8-4FE6-95D6-0FA27B8815AA}">
  <sheetPr>
    <tabColor theme="9" tint="-0.249977111117893"/>
  </sheetPr>
  <dimension ref="A1:AO657"/>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0" customFormat="1" ht="30" customHeight="1" x14ac:dyDescent="0.35">
      <c r="A1" s="10" t="e" vm="1">
        <v>#VALUE!</v>
      </c>
      <c r="C1" s="20" t="s">
        <v>1028</v>
      </c>
    </row>
    <row r="2" spans="1:41" s="3" customFormat="1" ht="20.100000000000001" customHeight="1" x14ac:dyDescent="0.2">
      <c r="A2"/>
    </row>
    <row r="3" spans="1:4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Emissions Intensity")</f>
        <v>Results - Product Emissions Intensity</v>
      </c>
      <c r="D5" s="2" t="str" cm="1">
        <f t="array" ref="D5">Scope3_Equations.VEERG_15_1_1_1__1_EmissionsFromPurchasedLivestock_Title()</f>
        <v>Total emissions from purchased livestock</v>
      </c>
    </row>
    <row r="6" spans="1:41" ht="20.100000000000001" customHeight="1" x14ac:dyDescent="0.2">
      <c r="D6" s="17" t="str" cm="1">
        <f t="array" ref="D6">Scope3_Equations.VEERG_15_1_1_1__1_EmissionsFromPurchasedLivestock_Source()</f>
        <v>VEERG 2026: 15.1.1.1, Equation (1)</v>
      </c>
    </row>
    <row r="7" spans="1:41" ht="20.100000000000001" customHeight="1" x14ac:dyDescent="0.2">
      <c r="D7" s="112" t="s">
        <v>321</v>
      </c>
      <c r="E7" s="112" t="str" cm="1">
        <f t="array" aca="1" ref="E7" ca="1">Common_InputFunctions.Utility_DisplayFunctionName(J23)</f>
        <v>=Scope3_Equations.VEERG_15_1_1_1__1_EmissionsFromPurchasedLivestock</v>
      </c>
    </row>
    <row r="8" spans="1:41" ht="20.100000000000001" customHeight="1" x14ac:dyDescent="0.2">
      <c r="A8" s="7" t="s">
        <v>0</v>
      </c>
    </row>
    <row r="9" spans="1:41" ht="20.100000000000001" customHeight="1" x14ac:dyDescent="0.2">
      <c r="A9" s="5" t="str">
        <f>HYPERLINK("#'Input - Enterprise'!A1", "Enterprise")</f>
        <v>Enterprise</v>
      </c>
      <c r="H9" s="112"/>
    </row>
    <row r="10" spans="1:41" ht="20.100000000000001" customHeight="1" x14ac:dyDescent="0.2">
      <c r="A10" s="5" t="str">
        <f>HYPERLINK("#'Input - Site'!A1", "Site")</f>
        <v>Site</v>
      </c>
      <c r="D10" s="75" t="s">
        <v>322</v>
      </c>
      <c r="E10" s="1" t="str" cm="1">
        <f t="array" ref="E10">Scope3_Equations.VEERG_15_1_1_1__1_EmissionsFromPurchasedLivestock_Variable()</f>
        <v>E</v>
      </c>
    </row>
    <row r="11" spans="1:41" ht="20.100000000000001" customHeight="1" x14ac:dyDescent="0.2">
      <c r="A11" s="5" t="str">
        <f>HYPERLINK("#'Input - Feedlot'!A1", "Feedlot")</f>
        <v>Feedlot</v>
      </c>
      <c r="D11" s="75" t="s">
        <v>118</v>
      </c>
      <c r="E11" s="9" t="str" cm="1">
        <f t="array" ref="E11">Scope3_Equations.VEERG_15_1_1_1__1_EmissionsFromPurchasedLivestock_Unit()</f>
        <v>t CO2e</v>
      </c>
    </row>
    <row r="12" spans="1:41" ht="20.100000000000001" customHeight="1" x14ac:dyDescent="0.2">
      <c r="A12" s="5" t="str">
        <f>HYPERLINK("#'Input - Livestock sales'!A1", "Livestock sales")</f>
        <v>Livestock sales</v>
      </c>
    </row>
    <row r="13" spans="1:41" ht="20.100000000000001" customHeight="1" x14ac:dyDescent="0.2">
      <c r="A13" s="5" t="str">
        <f>HYPERLINK("#'Input - Beef cattle purchases'!A1", "Beef cattle purchases")</f>
        <v>Beef cattle purchases</v>
      </c>
      <c r="D13" s="113" t="str" cm="1">
        <f t="array" ref="D13:E17">_xlfn.CHOOSECOLS(Scope3_Equations.VEERG_15_1_1_1__1_EmissionsFromPurchasedLivestock_Arguments(),1,2)</f>
        <v>N_co</v>
      </c>
      <c r="E13" s="121" t="str">
        <v>number of animals purchased in livestock type c from origin o</v>
      </c>
      <c r="F13" s="122"/>
      <c r="G13" s="113" t="str" cm="1">
        <f t="array" ref="G13:H17">_xlfn.CHOOSECOLS(Scope3_Equations.VEERG_15_1_1_1__1_EmissionsFromPurchasedLivestock_Arguments(),3,4)</f>
        <v>head</v>
      </c>
      <c r="H13" s="247" t="str">
        <v>Input</v>
      </c>
    </row>
    <row r="14" spans="1:41" ht="20.100000000000001" customHeight="1" x14ac:dyDescent="0.2">
      <c r="A14" s="5" t="str">
        <f>HYPERLINK("#'Input - Fuel'!A1", "Fuel")</f>
        <v>Fuel</v>
      </c>
      <c r="D14" s="113" t="str">
        <v>W_co</v>
      </c>
      <c r="E14" s="121" t="str">
        <v>average liveweight of purchased livestock at point of purchase</v>
      </c>
      <c r="F14" s="122"/>
      <c r="G14" s="113" t="str">
        <v>kg/head</v>
      </c>
      <c r="H14" s="247" t="str">
        <v>Input</v>
      </c>
    </row>
    <row r="15" spans="1:41" ht="20.100000000000001" customHeight="1" x14ac:dyDescent="0.2">
      <c r="A15" s="5" t="str">
        <f>HYPERLINK("#'Input - Electricity'!A1", "Electricity")</f>
        <v>Electricity</v>
      </c>
      <c r="D15" s="113" t="str">
        <v>EF_co</v>
      </c>
      <c r="E15" s="121" t="str">
        <v>emission factor per livestock type and origin</v>
      </c>
      <c r="F15" s="122"/>
      <c r="G15" s="113" t="str">
        <v>kg CO2e/kg</v>
      </c>
      <c r="H15" s="115" t="str">
        <v>Constant</v>
      </c>
    </row>
    <row r="16" spans="1:41" ht="20.100000000000001" customHeight="1" x14ac:dyDescent="0.2">
      <c r="A16" s="5" t="str">
        <f>HYPERLINK("#'Input - Common farm inputs'!A1", "Common farm inputs")</f>
        <v>Common farm inputs</v>
      </c>
      <c r="D16" s="113" t="str">
        <v>c</v>
      </c>
      <c r="E16" s="121" t="str">
        <v>livestock type</v>
      </c>
      <c r="F16" s="122"/>
      <c r="G16" s="113" t="str">
        <v/>
      </c>
      <c r="H16" s="247" t="str">
        <v>Input</v>
      </c>
    </row>
    <row r="17" spans="1:16" ht="20.100000000000001" customHeight="1" x14ac:dyDescent="0.2">
      <c r="A17" s="5" t="str">
        <f>HYPERLINK("#'Input - Livestock farm Inputs'!A1", "Livestock farm Inputs")</f>
        <v>Livestock farm Inputs</v>
      </c>
      <c r="D17" s="113" t="str">
        <v>o</v>
      </c>
      <c r="E17" s="121" t="str">
        <v>origin</v>
      </c>
      <c r="F17" s="122"/>
      <c r="G17" s="113" t="str">
        <v/>
      </c>
      <c r="H17" s="247" t="str">
        <v>Input</v>
      </c>
    </row>
    <row r="18" spans="1:16" ht="20.100000000000001" customHeight="1" x14ac:dyDescent="0.2">
      <c r="A18" s="5" t="str">
        <f>HYPERLINK("#'Input - Freight'!A1", "Freight")</f>
        <v>Freight</v>
      </c>
    </row>
    <row r="19" spans="1:16" ht="20.100000000000001" customHeight="1" x14ac:dyDescent="0.2">
      <c r="A19" s="5" t="str">
        <f>HYPERLINK("#'Input - Solid waste'!A1", "Solid waste")</f>
        <v>Solid waste</v>
      </c>
      <c r="D19" s="35" t="s">
        <v>1029</v>
      </c>
      <c r="E19" s="37"/>
      <c r="F19" s="38"/>
    </row>
    <row r="20" spans="1:16" ht="20.100000000000001" customHeight="1" x14ac:dyDescent="0.2">
      <c r="A20" s="5" t="str">
        <f>HYPERLINK("#'Input - Manure sent off-site'!A1", "Manure sent off-site")</f>
        <v>Manure sent off-site</v>
      </c>
    </row>
    <row r="21" spans="1:16" ht="20.100000000000001" customHeight="1" x14ac:dyDescent="0.2">
      <c r="A21" s="5" t="str">
        <f>HYPERLINK("#'Input - Data quality'!A1", "Data quality")</f>
        <v>Data quality</v>
      </c>
      <c r="D21" s="240" t="s">
        <v>1030</v>
      </c>
    </row>
    <row r="22" spans="1:16" ht="20.100000000000001" customHeight="1" x14ac:dyDescent="0.2">
      <c r="A22" s="5" t="str">
        <f>HYPERLINK("#'Input - Fert Prod System'!A1", "Fert Prod System")</f>
        <v>Fert Prod System</v>
      </c>
      <c r="D22" s="78" t="s">
        <v>1031</v>
      </c>
      <c r="E22" s="248" t="s">
        <v>1032</v>
      </c>
      <c r="F22" s="248" t="s">
        <v>1033</v>
      </c>
      <c r="G22" s="248" t="s">
        <v>1034</v>
      </c>
      <c r="H22" s="248" t="s">
        <v>1035</v>
      </c>
      <c r="I22" s="120" t="s">
        <v>1036</v>
      </c>
      <c r="J22" s="120" t="s">
        <v>1037</v>
      </c>
      <c r="K22" s="248" t="s">
        <v>1038</v>
      </c>
      <c r="L22" s="78" t="s">
        <v>1039</v>
      </c>
      <c r="M22" s="120" t="s">
        <v>1040</v>
      </c>
      <c r="N22" s="78" t="s">
        <v>1041</v>
      </c>
      <c r="O22" s="78" t="s">
        <v>1042</v>
      </c>
      <c r="P22" s="78" t="s">
        <v>1043</v>
      </c>
    </row>
    <row r="23" spans="1:16" ht="20.100000000000001" customHeight="1" x14ac:dyDescent="0.2">
      <c r="A23" s="5" t="str">
        <f>HYPERLINK("#'Input - Fertiliser'!A1", "Fertiliser")</f>
        <v>Fertiliser</v>
      </c>
      <c r="D23" s="15" t="str" cm="1">
        <f t="array" ref="D23:D32">IFERROR(INDEX(Table_Input_LivestockPurchases_Beefcattle[Transaction name], _xlfn.SEQUENCE(10)), "")</f>
        <v>Cows from Barry</v>
      </c>
      <c r="E23" s="15" t="str" cm="1">
        <f t="array" ref="E23:E32">IFERROR(INDEX(Table_Input_LivestockPurchases_Beefcattle[Purchase class (select)], _xlfn.SEQUENCE(10)), "")</f>
        <v>Cattle, for prime beef</v>
      </c>
      <c r="F23" s="15" t="str" cm="1">
        <f t="array" ref="F23:F32">IFERROR(_xlfn.XLOOKUP(INDEX(Table_Input_LivestockPurchases_Beefcattle[Source region (Select)], _xlfn.SEQUENCE(10)), Table_ProductRegions_Beefcattle[Region],Table_ProductRegions_Beefcattle[Scope3 region]), "")</f>
        <v>WA</v>
      </c>
      <c r="G23" s="15" cm="1">
        <f t="array" ref="G23:G32">IFERROR(INDEX(Table_Input_LivestockPurchases_Beefcattle[Quantity (head)], _xlfn.SEQUENCE(10)), "")</f>
        <v>100</v>
      </c>
      <c r="H23" s="15" cm="1">
        <f t="array" ref="H23:H32">IFERROR(INDEX(Table_Input_LivestockPurchases_Beefcattle[Liveweight (kg/head) Method 1], _xlfn.SEQUENCE(10)), 0)</f>
        <v>0</v>
      </c>
      <c r="I23" s="15" cm="1">
        <f t="array" ref="I23">Common_InputFunctions.Utility_LookupValueInTableTwoColumns(E23,F23,Table_SourceData_Scope3_Animals[Product],Table_SourceData_Scope3_Animals[Region of origin],Table_SourceData_Scope3_Animals[Emissions intensity], 0)</f>
        <v>20.8</v>
      </c>
      <c r="J23" s="249" cm="1">
        <f t="array" ref="J23">Scope3_Equations.VEERG_15_1_1_1__1_EmissionsFromPurchasedLivestock(G23,H23,I23)</f>
        <v>0</v>
      </c>
      <c r="K23" s="15" cm="1">
        <f t="array" ref="K23:K32">IFERROR(INDEX(Table_Input_LivestockPurchases_Beefcattle[Liveweight (kg/head) Method 2], _xlfn.SEQUENCE(10)), "")</f>
        <v>205</v>
      </c>
      <c r="L23" s="74">
        <v>20</v>
      </c>
      <c r="M23" s="249" cm="1">
        <f t="array" ref="M23">Scope3_Equations.VEERG_15_1_1_1__1_EmissionsFromPurchasedLivestock(G23,K23,IF(L23, L23, I23))</f>
        <v>410</v>
      </c>
      <c r="N23" s="33" t="s">
        <v>1044</v>
      </c>
      <c r="O23" s="13" t="s">
        <v>1045</v>
      </c>
      <c r="P23" t="s">
        <v>1046</v>
      </c>
    </row>
    <row r="24" spans="1:16" ht="20.100000000000001" customHeight="1" x14ac:dyDescent="0.2">
      <c r="D24" s="15">
        <v>0</v>
      </c>
      <c r="E24" s="15" t="str">
        <v>Cattle, for manufacturing beef</v>
      </c>
      <c r="F24" s="15" t="str">
        <v>WA</v>
      </c>
      <c r="G24" s="15">
        <v>100</v>
      </c>
      <c r="H24" s="15">
        <v>0</v>
      </c>
      <c r="I24" s="15" cm="1">
        <f t="array" ref="I24">Common_InputFunctions.Utility_LookupValueInTableTwoColumns(E24,F24,Table_SourceData_Scope3_Animals[Product],Table_SourceData_Scope3_Animals[Region of origin],Table_SourceData_Scope3_Animals[Emissions intensity], 0)</f>
        <v>13.1</v>
      </c>
      <c r="J24" s="249" cm="1">
        <f t="array" ref="J24">Scope3_Equations.VEERG_15_1_1_1__1_EmissionsFromPurchasedLivestock(G24,H24,I24)</f>
        <v>0</v>
      </c>
      <c r="K24" s="15">
        <v>465</v>
      </c>
      <c r="L24" s="74">
        <v>13</v>
      </c>
      <c r="M24" s="249" cm="1">
        <f t="array" ref="M24">Scope3_Equations.VEERG_15_1_1_1__1_EmissionsFromPurchasedLivestock(G24,K24,IF(L24, L24, I24))</f>
        <v>604.5</v>
      </c>
      <c r="N24" s="33"/>
      <c r="O24" s="13"/>
      <c r="P24" s="33"/>
    </row>
    <row r="25" spans="1:16" ht="20.100000000000001" customHeight="1" x14ac:dyDescent="0.2">
      <c r="D25" s="15">
        <v>0</v>
      </c>
      <c r="E25" s="15">
        <v>0</v>
      </c>
      <c r="F25" s="15" t="str">
        <v/>
      </c>
      <c r="G25" s="15">
        <v>0</v>
      </c>
      <c r="H25" s="15">
        <v>0</v>
      </c>
      <c r="I25" s="15" cm="1">
        <f t="array" ref="I25">Common_InputFunctions.Utility_LookupValueInTableTwoColumns(E25,F25,Table_SourceData_Scope3_Animals[Product],Table_SourceData_Scope3_Animals[Region of origin],Table_SourceData_Scope3_Animals[Emissions intensity], 0)</f>
        <v>0</v>
      </c>
      <c r="J25" s="249" cm="1">
        <f t="array" ref="J25">Scope3_Equations.VEERG_15_1_1_1__1_EmissionsFromPurchasedLivestock(G25,H25,I25)</f>
        <v>0</v>
      </c>
      <c r="K25" s="15">
        <v>0</v>
      </c>
      <c r="L25" s="74"/>
      <c r="M25" s="249" cm="1">
        <f t="array" ref="M25">Scope3_Equations.VEERG_15_1_1_1__1_EmissionsFromPurchasedLivestock(G25,K25,IF(L25, L25, I25))</f>
        <v>0</v>
      </c>
      <c r="N25" s="33"/>
      <c r="O25" s="13"/>
      <c r="P25" s="33"/>
    </row>
    <row r="26" spans="1:16" ht="20.100000000000001" customHeight="1" x14ac:dyDescent="0.2">
      <c r="A26" s="6" t="s">
        <v>2</v>
      </c>
      <c r="D26" s="15">
        <v>0</v>
      </c>
      <c r="E26" s="15">
        <v>0</v>
      </c>
      <c r="F26" s="15" t="str">
        <v/>
      </c>
      <c r="G26" s="15">
        <v>0</v>
      </c>
      <c r="H26" s="15">
        <v>0</v>
      </c>
      <c r="I26" s="15" cm="1">
        <f t="array" ref="I26">Common_InputFunctions.Utility_LookupValueInTableTwoColumns(E26,F26,Table_SourceData_Scope3_Animals[Product],Table_SourceData_Scope3_Animals[Region of origin],Table_SourceData_Scope3_Animals[Emissions intensity], 0)</f>
        <v>0</v>
      </c>
      <c r="J26" s="249" cm="1">
        <f t="array" ref="J26">Scope3_Equations.VEERG_15_1_1_1__1_EmissionsFromPurchasedLivestock(G26,H26,I26)</f>
        <v>0</v>
      </c>
      <c r="K26" s="15">
        <v>0</v>
      </c>
      <c r="L26" s="74"/>
      <c r="M26" s="249" cm="1">
        <f t="array" ref="M26">Scope3_Equations.VEERG_15_1_1_1__1_EmissionsFromPurchasedLivestock(G26,K26,IF(L26, L26, I26))</f>
        <v>0</v>
      </c>
      <c r="N26" s="33"/>
      <c r="O26" s="13"/>
      <c r="P26" s="33"/>
    </row>
    <row r="27" spans="1:16" ht="20.100000000000001" customHeight="1" x14ac:dyDescent="0.2">
      <c r="A27" s="5" t="str">
        <f>HYPERLINK("#'3.1.1.1-2 Enteric Methane'!A1", "3.1.1.1-2 Enteric Methane")</f>
        <v>3.1.1.1-2 Enteric Methane</v>
      </c>
      <c r="D27" s="15">
        <v>0</v>
      </c>
      <c r="E27" s="15">
        <v>0</v>
      </c>
      <c r="F27" s="15" t="str">
        <v/>
      </c>
      <c r="G27" s="15">
        <v>0</v>
      </c>
      <c r="H27" s="15">
        <v>0</v>
      </c>
      <c r="I27" s="15" cm="1">
        <f t="array" ref="I27">Common_InputFunctions.Utility_LookupValueInTableTwoColumns(E27,F27,Table_SourceData_Scope3_Animals[Product],Table_SourceData_Scope3_Animals[Region of origin],Table_SourceData_Scope3_Animals[Emissions intensity], 0)</f>
        <v>0</v>
      </c>
      <c r="J27" s="249" cm="1">
        <f t="array" ref="J27">Scope3_Equations.VEERG_15_1_1_1__1_EmissionsFromPurchasedLivestock(G27,H27,I27)</f>
        <v>0</v>
      </c>
      <c r="K27" s="15">
        <v>0</v>
      </c>
      <c r="L27" s="74"/>
      <c r="M27" s="249" cm="1">
        <f t="array" ref="M27">Scope3_Equations.VEERG_15_1_1_1__1_EmissionsFromPurchasedLivestock(G27,K27,IF(L27, L27, I27))</f>
        <v>0</v>
      </c>
      <c r="N27" s="33"/>
      <c r="O27" s="13"/>
      <c r="P27" s="33"/>
    </row>
    <row r="28" spans="1:16" ht="20.100000000000001" customHeight="1" x14ac:dyDescent="0.2">
      <c r="A28" s="5" t="str">
        <f>HYPERLINK("#'4.1.1.1-2 Methane'!A1", "4.1.1.1-2 Manure Methane")</f>
        <v>4.1.1.1-2 Manure Methane</v>
      </c>
      <c r="D28" s="15">
        <v>0</v>
      </c>
      <c r="E28" s="15">
        <v>0</v>
      </c>
      <c r="F28" s="15" t="str">
        <v/>
      </c>
      <c r="G28" s="15">
        <v>0</v>
      </c>
      <c r="H28" s="15">
        <v>0</v>
      </c>
      <c r="I28" s="15" cm="1">
        <f t="array" ref="I28">Common_InputFunctions.Utility_LookupValueInTableTwoColumns(E28,F28,Table_SourceData_Scope3_Animals[Product],Table_SourceData_Scope3_Animals[Region of origin],Table_SourceData_Scope3_Animals[Emissions intensity], 0)</f>
        <v>0</v>
      </c>
      <c r="J28" s="249" cm="1">
        <f t="array" ref="J28">Scope3_Equations.VEERG_15_1_1_1__1_EmissionsFromPurchasedLivestock(G28,H28,I28)</f>
        <v>0</v>
      </c>
      <c r="K28" s="15">
        <v>0</v>
      </c>
      <c r="L28" s="74"/>
      <c r="M28" s="249" cm="1">
        <f t="array" ref="M28">Scope3_Equations.VEERG_15_1_1_1__1_EmissionsFromPurchasedLivestock(G28,K28,IF(L28, L28, I28))</f>
        <v>0</v>
      </c>
      <c r="N28" s="33"/>
      <c r="O28" s="13"/>
      <c r="P28" s="33"/>
    </row>
    <row r="29" spans="1:16" ht="20.100000000000001" customHeight="1" x14ac:dyDescent="0.2">
      <c r="A29" s="5" t="str">
        <f>HYPERLINK("#'4.1.1.3-4 Direct N20'!A1", "4.1.1.3-4 Manure Direct N2O")</f>
        <v>4.1.1.3-4 Manure Direct N2O</v>
      </c>
      <c r="D29" s="15">
        <v>0</v>
      </c>
      <c r="E29" s="15">
        <v>0</v>
      </c>
      <c r="F29" s="15" t="str">
        <v/>
      </c>
      <c r="G29" s="15">
        <v>0</v>
      </c>
      <c r="H29" s="15">
        <v>0</v>
      </c>
      <c r="I29" s="15" cm="1">
        <f t="array" ref="I29">Common_InputFunctions.Utility_LookupValueInTableTwoColumns(E29,F29,Table_SourceData_Scope3_Animals[Product],Table_SourceData_Scope3_Animals[Region of origin],Table_SourceData_Scope3_Animals[Emissions intensity], 0)</f>
        <v>0</v>
      </c>
      <c r="J29" s="249" cm="1">
        <f t="array" ref="J29">Scope3_Equations.VEERG_15_1_1_1__1_EmissionsFromPurchasedLivestock(G29,H29,I29)</f>
        <v>0</v>
      </c>
      <c r="K29" s="15">
        <v>0</v>
      </c>
      <c r="L29" s="74"/>
      <c r="M29" s="249" cm="1">
        <f t="array" ref="M29">Scope3_Equations.VEERG_15_1_1_1__1_EmissionsFromPurchasedLivestock(G29,K29,IF(L29, L29, I29))</f>
        <v>0</v>
      </c>
      <c r="N29" s="33"/>
      <c r="O29" s="13"/>
      <c r="P29" s="33"/>
    </row>
    <row r="30" spans="1:16" ht="20.100000000000001" customHeight="1" x14ac:dyDescent="0.2">
      <c r="A30" s="5" t="str">
        <f>HYPERLINK("#'4.1.1.5-6 Atmos Deposition'!A1", "4.1.1.5-6 Manure Atmos Dep")</f>
        <v>4.1.1.5-6 Manure Atmos Dep</v>
      </c>
      <c r="D30" s="15">
        <v>0</v>
      </c>
      <c r="E30" s="15">
        <v>0</v>
      </c>
      <c r="F30" s="15" t="str">
        <v/>
      </c>
      <c r="G30" s="15">
        <v>0</v>
      </c>
      <c r="H30" s="15">
        <v>0</v>
      </c>
      <c r="I30" s="15" cm="1">
        <f t="array" ref="I30">Common_InputFunctions.Utility_LookupValueInTableTwoColumns(E30,F30,Table_SourceData_Scope3_Animals[Product],Table_SourceData_Scope3_Animals[Region of origin],Table_SourceData_Scope3_Animals[Emissions intensity], 0)</f>
        <v>0</v>
      </c>
      <c r="J30" s="249" cm="1">
        <f t="array" ref="J30">Scope3_Equations.VEERG_15_1_1_1__1_EmissionsFromPurchasedLivestock(G30,H30,I30)</f>
        <v>0</v>
      </c>
      <c r="K30" s="15">
        <v>0</v>
      </c>
      <c r="L30" s="74"/>
      <c r="M30" s="249" cm="1">
        <f t="array" ref="M30">Scope3_Equations.VEERG_15_1_1_1__1_EmissionsFromPurchasedLivestock(G30,K30,IF(L30, L30, I30))</f>
        <v>0</v>
      </c>
      <c r="N30" s="33"/>
      <c r="O30" s="13"/>
      <c r="P30" s="33"/>
    </row>
    <row r="31" spans="1:16" ht="20.100000000000001" customHeight="1" x14ac:dyDescent="0.2">
      <c r="A31" s="5" t="str">
        <f>HYPERLINK("#'4.1.1.9 Manure applied to soils'!A1", "4.1.1.9 Manure applied to soils")</f>
        <v>4.1.1.9 Manure applied to soils</v>
      </c>
      <c r="D31" s="15">
        <v>0</v>
      </c>
      <c r="E31" s="15">
        <v>0</v>
      </c>
      <c r="F31" s="15" t="str">
        <v/>
      </c>
      <c r="G31" s="15">
        <v>0</v>
      </c>
      <c r="H31" s="15">
        <v>0</v>
      </c>
      <c r="I31" s="15" cm="1">
        <f t="array" ref="I31">Common_InputFunctions.Utility_LookupValueInTableTwoColumns(E31,F31,Table_SourceData_Scope3_Animals[Product],Table_SourceData_Scope3_Animals[Region of origin],Table_SourceData_Scope3_Animals[Emissions intensity], 0)</f>
        <v>0</v>
      </c>
      <c r="J31" s="249" cm="1">
        <f t="array" ref="J31">Scope3_Equations.VEERG_15_1_1_1__1_EmissionsFromPurchasedLivestock(G31,H31,I31)</f>
        <v>0</v>
      </c>
      <c r="K31" s="15">
        <v>0</v>
      </c>
      <c r="L31" s="74"/>
      <c r="M31" s="249" cm="1">
        <f t="array" ref="M31">Scope3_Equations.VEERG_15_1_1_1__1_EmissionsFromPurchasedLivestock(G31,K31,IF(L31, L31, I31))</f>
        <v>0</v>
      </c>
      <c r="N31" s="33"/>
      <c r="O31" s="13"/>
      <c r="P31" s="33"/>
    </row>
    <row r="32" spans="1:16" ht="20.100000000000001" customHeight="1" x14ac:dyDescent="0.2">
      <c r="A32" s="5" t="str">
        <f>HYPERLINK("#'8.1.1.1-2 Transport fuel'!A1", "8.1.1.1-2 Transport fuel")</f>
        <v>8.1.1.1-2 Transport fuel</v>
      </c>
      <c r="D32" s="15">
        <v>0</v>
      </c>
      <c r="E32" s="15">
        <v>0</v>
      </c>
      <c r="F32" s="15" t="str">
        <v/>
      </c>
      <c r="G32" s="15">
        <v>0</v>
      </c>
      <c r="H32" s="15">
        <v>0</v>
      </c>
      <c r="I32" s="15" cm="1">
        <f t="array" ref="I32">Common_InputFunctions.Utility_LookupValueInTableTwoColumns(E32,F32,Table_SourceData_Scope3_Animals[Product],Table_SourceData_Scope3_Animals[Region of origin],Table_SourceData_Scope3_Animals[Emissions intensity], 0)</f>
        <v>0</v>
      </c>
      <c r="J32" s="249" cm="1">
        <f t="array" ref="J32">Scope3_Equations.VEERG_15_1_1_1__1_EmissionsFromPurchasedLivestock(G32,H32,I32)</f>
        <v>0</v>
      </c>
      <c r="K32" s="15">
        <v>0</v>
      </c>
      <c r="L32" s="74"/>
      <c r="M32" s="249" cm="1">
        <f t="array" ref="M32">Scope3_Equations.VEERG_15_1_1_1__1_EmissionsFromPurchasedLivestock(G32,K32,IF(L32, L32, I32))</f>
        <v>0</v>
      </c>
      <c r="N32" s="33"/>
      <c r="O32" s="13"/>
      <c r="P32" s="33"/>
    </row>
    <row r="33" spans="1:13" ht="20.100000000000001" customHeight="1" x14ac:dyDescent="0.2">
      <c r="A33" s="5" t="str">
        <f>HYPERLINK("#'8.2.1.1-2 Stationary fuel'!A1", "8.2.1.1-2 Stationary fuel")</f>
        <v>8.2.1.1-2 Stationary fuel</v>
      </c>
    </row>
    <row r="34" spans="1:13" ht="20.100000000000001" customHeight="1" x14ac:dyDescent="0.2">
      <c r="A34" s="5" t="str">
        <f>HYPERLINK("#'10.1.1-2 Solid waste treatment'!A1", "10.1.1.1-2 Solid waste")</f>
        <v>10.1.1.1-2 Solid waste</v>
      </c>
      <c r="D34" s="88" t="s">
        <v>1047</v>
      </c>
      <c r="E34" s="83">
        <f>SUM(J23:J32)</f>
        <v>0</v>
      </c>
      <c r="F34" s="89" t="str">
        <f>$E$11</f>
        <v>t CO2e</v>
      </c>
    </row>
    <row r="35" spans="1:13" ht="20.100000000000001" customHeight="1" x14ac:dyDescent="0.2">
      <c r="A35" s="5" t="str">
        <f>HYPERLINK("#'14.1.1-2 Purchased electricity'!A1", "14.1.1-2 Purchased electricity")</f>
        <v>14.1.1-2 Purchased electricity</v>
      </c>
      <c r="D35" s="88" t="s">
        <v>1048</v>
      </c>
      <c r="E35" s="83">
        <f>SUM(M23:M32)</f>
        <v>1014.5</v>
      </c>
      <c r="F35" s="89" t="str">
        <f>$E$11</f>
        <v>t CO2e</v>
      </c>
    </row>
    <row r="36" spans="1:13" ht="20.100000000000001" customHeight="1" x14ac:dyDescent="0.2">
      <c r="A36" s="117" t="str">
        <f>HYPERLINK("#'15 Scope 3'!A1", "15 Scope 3")</f>
        <v>15 Scope 3</v>
      </c>
    </row>
    <row r="37" spans="1:13" ht="20.100000000000001" customHeight="1" x14ac:dyDescent="0.2">
      <c r="A37" s="5" t="str">
        <f>HYPERLINK("#'Calcs - Manure sent off-site'!A1", "Calcs - Manure sent off-site")</f>
        <v>Calcs - Manure sent off-site</v>
      </c>
    </row>
    <row r="38" spans="1:13" ht="20.100000000000001" customHeight="1" x14ac:dyDescent="0.2">
      <c r="A38" s="5" t="str">
        <f>HYPERLINK("#'5.1.1.1-2 Inorganic fert N2O'!A1", "5.1.1.1-2 Inorganic fert N2O")</f>
        <v>5.1.1.1-2 Inorganic fert N2O</v>
      </c>
      <c r="D38" s="240" t="s">
        <v>1049</v>
      </c>
    </row>
    <row r="39" spans="1:13" ht="20.100000000000001" customHeight="1" x14ac:dyDescent="0.2">
      <c r="A39" s="5" t="str">
        <f>HYPERLINK("#'5.1.1.3-4 Inorganic fert CO2'!A1", "5.1.1.3-4 Inorganic fert CO2")</f>
        <v>5.1.1.3-4 Inorganic fert CO2</v>
      </c>
      <c r="D39" s="113" t="s">
        <v>1050</v>
      </c>
      <c r="E39" s="15" cm="1">
        <f t="array" ref="E39">Common_InputFunctions.Utility_LookupValueInTableNumber("Dairy cows", Table_SourceData_Scope3_Animals[Product],Table_SourceData_Scope3_Animals[Emissions intensity])</f>
        <v>4.41</v>
      </c>
    </row>
    <row r="40" spans="1:13" ht="20.100000000000001" customHeight="1" x14ac:dyDescent="0.2">
      <c r="A40" s="5" t="str">
        <f>HYPERLINK("#'5.2.1.1-2 Organic Fert N2O'!A1", "5.2.1.1-2 Organic Fert N2O")</f>
        <v>5.2.1.1-2 Organic Fert N2O</v>
      </c>
    </row>
    <row r="41" spans="1:13" ht="20.100000000000001" customHeight="1" x14ac:dyDescent="0.2">
      <c r="A41" s="5" t="str">
        <f>HYPERLINK("#'5.3.1.1-2 Lime CO2'!A1", "5.3.1.1-2 Lime CO2")</f>
        <v>5.3.1.1-2 Lime CO2</v>
      </c>
      <c r="D41" s="78" t="s">
        <v>1031</v>
      </c>
      <c r="E41" s="248" t="s">
        <v>1034</v>
      </c>
      <c r="F41" s="248" t="s">
        <v>1035</v>
      </c>
      <c r="G41" s="120" t="s">
        <v>1037</v>
      </c>
      <c r="H41" s="248" t="s">
        <v>1038</v>
      </c>
      <c r="I41" s="78" t="s">
        <v>1039</v>
      </c>
      <c r="J41" s="120" t="s">
        <v>1040</v>
      </c>
      <c r="K41" s="78" t="s">
        <v>1041</v>
      </c>
      <c r="L41" s="78" t="s">
        <v>1042</v>
      </c>
      <c r="M41" s="78" t="s">
        <v>1043</v>
      </c>
    </row>
    <row r="42" spans="1:13" ht="20.100000000000001" customHeight="1" x14ac:dyDescent="0.2">
      <c r="A42" s="5" t="str">
        <f>HYPERLINK("#'5.4.1.1-4 Atmos deposition'!A1", "5.4.1.1-4 Atmos deposition")</f>
        <v>5.4.1.1-4 Atmos deposition</v>
      </c>
      <c r="D42" s="15"/>
      <c r="E42" s="15"/>
      <c r="F42" s="15"/>
      <c r="G42" s="249" cm="1">
        <f t="array" ref="G42">Scope3_Equations.VEERG_15_1_1_1__1_EmissionsFromPurchasedLivestock(E42,F42,$E$39)</f>
        <v>0</v>
      </c>
      <c r="H42" s="15"/>
      <c r="I42" s="74">
        <v>4</v>
      </c>
      <c r="J42" s="249" cm="1">
        <f t="array" ref="J42">Scope3_Equations.VEERG_15_1_1_1__1_EmissionsFromPurchasedLivestock(E42,H42,IF(I42,I42,$E$39))</f>
        <v>0</v>
      </c>
      <c r="K42" s="33" t="s">
        <v>1044</v>
      </c>
      <c r="L42" s="13" t="s">
        <v>1045</v>
      </c>
      <c r="M42" t="s">
        <v>1046</v>
      </c>
    </row>
    <row r="43" spans="1:13" ht="20.100000000000001" customHeight="1" x14ac:dyDescent="0.2">
      <c r="A43" s="5" t="str">
        <f>HYPERLINK("#'5.5.1.1-2 Leaching and runoff'!A1", "5.5.1.1-2 Leaching and runoff")</f>
        <v>5.5.1.1-2 Leaching and runoff</v>
      </c>
      <c r="D43" s="15"/>
      <c r="E43" s="15"/>
      <c r="F43" s="15"/>
      <c r="G43" s="249" cm="1">
        <f t="array" ref="G43">Scope3_Equations.VEERG_15_1_1_1__1_EmissionsFromPurchasedLivestock(E43,F43,$E$39)</f>
        <v>0</v>
      </c>
      <c r="H43" s="15"/>
      <c r="I43" s="74"/>
      <c r="J43" s="249" cm="1">
        <f t="array" ref="J43">Scope3_Equations.VEERG_15_1_1_1__1_EmissionsFromPurchasedLivestock(E43,H43,IF(I43,I43,$E$39))</f>
        <v>0</v>
      </c>
      <c r="K43" s="33"/>
      <c r="L43" s="13"/>
      <c r="M43" s="33"/>
    </row>
    <row r="44" spans="1:13" ht="20.100000000000001" customHeight="1" x14ac:dyDescent="0.2">
      <c r="D44" s="15"/>
      <c r="E44" s="15"/>
      <c r="F44" s="15"/>
      <c r="G44" s="249" cm="1">
        <f t="array" ref="G44">Scope3_Equations.VEERG_15_1_1_1__1_EmissionsFromPurchasedLivestock(E44,F44,$E$39)</f>
        <v>0</v>
      </c>
      <c r="H44" s="15"/>
      <c r="I44" s="74"/>
      <c r="J44" s="249" cm="1">
        <f t="array" ref="J44">Scope3_Equations.VEERG_15_1_1_1__1_EmissionsFromPurchasedLivestock(E44,H44,IF(I44,I44,$E$39))</f>
        <v>0</v>
      </c>
      <c r="K44" s="33"/>
      <c r="L44" s="13"/>
      <c r="M44" s="33"/>
    </row>
    <row r="45" spans="1:13" ht="20.100000000000001" customHeight="1" x14ac:dyDescent="0.2">
      <c r="D45" s="15"/>
      <c r="E45" s="15"/>
      <c r="F45" s="15"/>
      <c r="G45" s="249" cm="1">
        <f t="array" ref="G45">Scope3_Equations.VEERG_15_1_1_1__1_EmissionsFromPurchasedLivestock(E45,F45,$E$39)</f>
        <v>0</v>
      </c>
      <c r="H45" s="15"/>
      <c r="I45" s="74"/>
      <c r="J45" s="249" cm="1">
        <f t="array" ref="J45">Scope3_Equations.VEERG_15_1_1_1__1_EmissionsFromPurchasedLivestock(E45,H45,IF(I45,I45,$E$39))</f>
        <v>0</v>
      </c>
      <c r="K45" s="33"/>
      <c r="L45" s="13"/>
      <c r="M45" s="33"/>
    </row>
    <row r="46" spans="1:13" ht="20.100000000000001" customHeight="1" x14ac:dyDescent="0.2">
      <c r="A46" s="80" t="s">
        <v>1</v>
      </c>
      <c r="D46" s="15"/>
      <c r="E46" s="15"/>
      <c r="F46" s="15"/>
      <c r="G46" s="249" cm="1">
        <f t="array" ref="G46">Scope3_Equations.VEERG_15_1_1_1__1_EmissionsFromPurchasedLivestock(E46,F46,$E$39)</f>
        <v>0</v>
      </c>
      <c r="H46" s="15"/>
      <c r="I46" s="74"/>
      <c r="J46" s="249" cm="1">
        <f t="array" ref="J46">Scope3_Equations.VEERG_15_1_1_1__1_EmissionsFromPurchasedLivestock(E46,H46,IF(I46,I46,$E$39))</f>
        <v>0</v>
      </c>
      <c r="K46" s="33"/>
      <c r="L46" s="13"/>
      <c r="M46" s="33"/>
    </row>
    <row r="47" spans="1:13" ht="20.100000000000001" customHeight="1" x14ac:dyDescent="0.2">
      <c r="A47" s="5" t="str">
        <f>HYPERLINK("#'Constants - Feedlot'!A1", "Constants - Feedlot")</f>
        <v>Constants - Feedlot</v>
      </c>
      <c r="D47" s="15"/>
      <c r="E47" s="15"/>
      <c r="F47" s="15"/>
      <c r="G47" s="249" cm="1">
        <f t="array" ref="G47">Scope3_Equations.VEERG_15_1_1_1__1_EmissionsFromPurchasedLivestock(E47,F47,$E$39)</f>
        <v>0</v>
      </c>
      <c r="H47" s="15"/>
      <c r="I47" s="74"/>
      <c r="J47" s="249" cm="1">
        <f t="array" ref="J47">Scope3_Equations.VEERG_15_1_1_1__1_EmissionsFromPurchasedLivestock(E47,H47,IF(I47,I47,$E$39))</f>
        <v>0</v>
      </c>
      <c r="K47" s="33"/>
      <c r="L47" s="13"/>
      <c r="M47" s="33"/>
    </row>
    <row r="48" spans="1:13" ht="20.100000000000001" customHeight="1" x14ac:dyDescent="0.2">
      <c r="A48" s="5" t="str">
        <f>HYPERLINK("#'Constants - Common livestock'!A1", "Constants - Common Livestock")</f>
        <v>Constants - Common Livestock</v>
      </c>
      <c r="D48" s="15"/>
      <c r="E48" s="15"/>
      <c r="F48" s="15"/>
      <c r="G48" s="249" cm="1">
        <f t="array" ref="G48">Scope3_Equations.VEERG_15_1_1_1__1_EmissionsFromPurchasedLivestock(E48,F48,$E$39)</f>
        <v>0</v>
      </c>
      <c r="H48" s="15"/>
      <c r="I48" s="74"/>
      <c r="J48" s="249" cm="1">
        <f t="array" ref="J48">Scope3_Equations.VEERG_15_1_1_1__1_EmissionsFromPurchasedLivestock(E48,H48,IF(I48,I48,$E$39))</f>
        <v>0</v>
      </c>
      <c r="K48" s="33"/>
      <c r="L48" s="13"/>
      <c r="M48" s="33"/>
    </row>
    <row r="49" spans="1:13" ht="20.100000000000001" customHeight="1" x14ac:dyDescent="0.2">
      <c r="A49" s="5" t="str">
        <f>HYPERLINK("#'Constants - Electricity'!A1", "Constants - Electricity")</f>
        <v>Constants - Electricity</v>
      </c>
      <c r="D49" s="15"/>
      <c r="E49" s="15"/>
      <c r="F49" s="15"/>
      <c r="G49" s="249" cm="1">
        <f t="array" ref="G49">Scope3_Equations.VEERG_15_1_1_1__1_EmissionsFromPurchasedLivestock(E49,F49,$E$39)</f>
        <v>0</v>
      </c>
      <c r="H49" s="15"/>
      <c r="I49" s="74"/>
      <c r="J49" s="249" cm="1">
        <f t="array" ref="J49">Scope3_Equations.VEERG_15_1_1_1__1_EmissionsFromPurchasedLivestock(E49,H49,IF(I49,I49,$E$39))</f>
        <v>0</v>
      </c>
      <c r="K49" s="33"/>
      <c r="L49" s="13"/>
      <c r="M49" s="33"/>
    </row>
    <row r="50" spans="1:13" ht="20.100000000000001" customHeight="1" x14ac:dyDescent="0.2">
      <c r="A50" s="5" t="str">
        <f>HYPERLINK("#'Constants - Fertiliser'!A1", "Constants - Fertiliser")</f>
        <v>Constants - Fertiliser</v>
      </c>
      <c r="D50" s="15"/>
      <c r="E50" s="15"/>
      <c r="F50" s="15"/>
      <c r="G50" s="249" cm="1">
        <f t="array" ref="G50">Scope3_Equations.VEERG_15_1_1_1__1_EmissionsFromPurchasedLivestock(E50,F50,$E$39)</f>
        <v>0</v>
      </c>
      <c r="H50" s="15"/>
      <c r="I50" s="74"/>
      <c r="J50" s="249" cm="1">
        <f t="array" ref="J50">Scope3_Equations.VEERG_15_1_1_1__1_EmissionsFromPurchasedLivestock(E50,H50,IF(I50,I50,$E$39))</f>
        <v>0</v>
      </c>
      <c r="K50" s="33"/>
      <c r="L50" s="13"/>
      <c r="M50" s="33"/>
    </row>
    <row r="51" spans="1:13" ht="20.100000000000001" customHeight="1" x14ac:dyDescent="0.2">
      <c r="A51" s="5" t="str">
        <f>HYPERLINK("#'Constants - Fuel'!A1", "Constants - Fuel")</f>
        <v>Constants - Fuel</v>
      </c>
      <c r="D51" s="15"/>
      <c r="E51" s="15"/>
      <c r="F51" s="15"/>
      <c r="G51" s="249" cm="1">
        <f t="array" ref="G51">Scope3_Equations.VEERG_15_1_1_1__1_EmissionsFromPurchasedLivestock(E51,F51,$E$39)</f>
        <v>0</v>
      </c>
      <c r="H51" s="15"/>
      <c r="I51" s="74"/>
      <c r="J51" s="249" cm="1">
        <f t="array" ref="J51">Scope3_Equations.VEERG_15_1_1_1__1_EmissionsFromPurchasedLivestock(E51,H51,IF(I51,I51,$E$39))</f>
        <v>0</v>
      </c>
      <c r="K51" s="33"/>
      <c r="L51" s="13"/>
      <c r="M51" s="33"/>
    </row>
    <row r="52" spans="1:13" ht="20.100000000000001" customHeight="1" x14ac:dyDescent="0.2">
      <c r="A52" s="5" t="str">
        <f>HYPERLINK("#'Constants - Scope 3'!A1", "Constants - Scope 3")</f>
        <v>Constants - Scope 3</v>
      </c>
    </row>
    <row r="53" spans="1:13" ht="20.100000000000001" customHeight="1" x14ac:dyDescent="0.2">
      <c r="A53" s="5" t="str">
        <f>HYPERLINK("#'Constants - Solid Waste'!A1", "Constants - Solid Waste")</f>
        <v>Constants - Solid Waste</v>
      </c>
      <c r="D53" s="88" t="s">
        <v>1051</v>
      </c>
      <c r="E53" s="83">
        <f>SUM(G42:G51)</f>
        <v>0</v>
      </c>
      <c r="F53" s="89" t="str">
        <f>$E$11</f>
        <v>t CO2e</v>
      </c>
    </row>
    <row r="54" spans="1:13" ht="20.100000000000001" customHeight="1" x14ac:dyDescent="0.2">
      <c r="A54" s="5" t="str">
        <f>HYPERLINK("#'Constants - Common'!A1", "Constants - Common")</f>
        <v>Constants - Common</v>
      </c>
      <c r="D54" s="88" t="s">
        <v>1052</v>
      </c>
      <c r="E54" s="83">
        <f>SUM(J42:J51)</f>
        <v>0</v>
      </c>
      <c r="F54" s="89" t="str">
        <f>$E$11</f>
        <v>t CO2e</v>
      </c>
    </row>
    <row r="55" spans="1:13" ht="20.100000000000001" customHeight="1" x14ac:dyDescent="0.2">
      <c r="A55" s="5" t="str">
        <f>HYPERLINK("#'Acknowledgements'!A1", "Acknowledgements")</f>
        <v>Acknowledgements</v>
      </c>
    </row>
    <row r="57" spans="1:13" ht="20.100000000000001" customHeight="1" x14ac:dyDescent="0.2">
      <c r="D57" s="240" t="s">
        <v>1053</v>
      </c>
    </row>
    <row r="58" spans="1:13" ht="20.100000000000001" customHeight="1" x14ac:dyDescent="0.2">
      <c r="D58" s="113" t="s">
        <v>1050</v>
      </c>
      <c r="E58" s="15" cm="1">
        <f t="array" ref="E58">Common_InputFunctions.Utility_LookupValueInTableNumber("Pigs", Table_SourceData_Scope3_Animals[Product],Table_SourceData_Scope3_Animals[Emissions intensity])</f>
        <v>3.38</v>
      </c>
    </row>
    <row r="60" spans="1:13" ht="20.100000000000001" customHeight="1" x14ac:dyDescent="0.2">
      <c r="D60" s="78" t="s">
        <v>1031</v>
      </c>
      <c r="E60" s="248" t="s">
        <v>1034</v>
      </c>
      <c r="F60" s="248" t="s">
        <v>1035</v>
      </c>
      <c r="G60" s="120" t="s">
        <v>1037</v>
      </c>
      <c r="H60" s="248" t="s">
        <v>1038</v>
      </c>
      <c r="I60" s="78" t="s">
        <v>1039</v>
      </c>
      <c r="J60" s="120" t="s">
        <v>1040</v>
      </c>
      <c r="K60" s="78" t="s">
        <v>1041</v>
      </c>
      <c r="L60" s="78" t="s">
        <v>1042</v>
      </c>
      <c r="M60" s="78" t="s">
        <v>1043</v>
      </c>
    </row>
    <row r="61" spans="1:13" ht="20.100000000000001" customHeight="1" x14ac:dyDescent="0.2">
      <c r="D61" s="15"/>
      <c r="E61" s="15"/>
      <c r="F61" s="15"/>
      <c r="G61" s="249" cm="1">
        <f t="array" ref="G61">Scope3_Equations.VEERG_15_1_1_1__1_EmissionsFromPurchasedLivestock(E61,F61,$E$58)</f>
        <v>0</v>
      </c>
      <c r="H61" s="15"/>
      <c r="I61" s="74">
        <v>3.38</v>
      </c>
      <c r="J61" s="249" cm="1">
        <f t="array" ref="J61">Scope3_Equations.VEERG_15_1_1_1__1_EmissionsFromPurchasedLivestock(E61,H61,IF(I61, I61,$E$58))</f>
        <v>0</v>
      </c>
      <c r="K61" s="33"/>
      <c r="L61" s="13"/>
      <c r="M61"/>
    </row>
    <row r="62" spans="1:13" ht="20.100000000000001" customHeight="1" x14ac:dyDescent="0.2">
      <c r="D62" s="15"/>
      <c r="E62" s="15"/>
      <c r="F62" s="15"/>
      <c r="G62" s="249" cm="1">
        <f t="array" ref="G62">Scope3_Equations.VEERG_15_1_1_1__1_EmissionsFromPurchasedLivestock(E62,F62,$E$58)</f>
        <v>0</v>
      </c>
      <c r="H62" s="15"/>
      <c r="I62" s="74">
        <v>3.3</v>
      </c>
      <c r="J62" s="249" cm="1">
        <f t="array" ref="J62">Scope3_Equations.VEERG_15_1_1_1__1_EmissionsFromPurchasedLivestock(E62,H62,IF(I62, I62,$E$58))</f>
        <v>0</v>
      </c>
      <c r="K62" s="33"/>
      <c r="L62" s="13"/>
      <c r="M62" s="33"/>
    </row>
    <row r="63" spans="1:13" ht="20.100000000000001" customHeight="1" x14ac:dyDescent="0.2">
      <c r="D63" s="15"/>
      <c r="E63" s="15"/>
      <c r="F63" s="15"/>
      <c r="G63" s="249" cm="1">
        <f t="array" ref="G63">Scope3_Equations.VEERG_15_1_1_1__1_EmissionsFromPurchasedLivestock(E63,F63,$E$58)</f>
        <v>0</v>
      </c>
      <c r="H63" s="15"/>
      <c r="I63" s="74"/>
      <c r="J63" s="249" cm="1">
        <f t="array" ref="J63">Scope3_Equations.VEERG_15_1_1_1__1_EmissionsFromPurchasedLivestock(E63,H63,IF(I63, I63,$E$58))</f>
        <v>0</v>
      </c>
      <c r="K63" s="33"/>
      <c r="L63" s="13"/>
      <c r="M63" s="33"/>
    </row>
    <row r="64" spans="1:13" ht="20.100000000000001" customHeight="1" x14ac:dyDescent="0.2">
      <c r="D64" s="15"/>
      <c r="E64" s="15"/>
      <c r="F64" s="15"/>
      <c r="G64" s="249" cm="1">
        <f t="array" ref="G64">Scope3_Equations.VEERG_15_1_1_1__1_EmissionsFromPurchasedLivestock(E64,F64,$E$58)</f>
        <v>0</v>
      </c>
      <c r="H64" s="15"/>
      <c r="I64" s="74"/>
      <c r="J64" s="249" cm="1">
        <f t="array" ref="J64">Scope3_Equations.VEERG_15_1_1_1__1_EmissionsFromPurchasedLivestock(E64,H64,IF(I64, I64,$E$58))</f>
        <v>0</v>
      </c>
      <c r="K64" s="33"/>
      <c r="L64" s="13"/>
      <c r="M64" s="33"/>
    </row>
    <row r="65" spans="1:13" ht="20.100000000000001" customHeight="1" x14ac:dyDescent="0.2">
      <c r="D65" s="15"/>
      <c r="E65" s="15"/>
      <c r="F65" s="15"/>
      <c r="G65" s="249" cm="1">
        <f t="array" ref="G65">Scope3_Equations.VEERG_15_1_1_1__1_EmissionsFromPurchasedLivestock(E65,F65,$E$58)</f>
        <v>0</v>
      </c>
      <c r="H65" s="15"/>
      <c r="I65" s="74"/>
      <c r="J65" s="249" cm="1">
        <f t="array" ref="J65">Scope3_Equations.VEERG_15_1_1_1__1_EmissionsFromPurchasedLivestock(E65,H65,IF(I65, I65,$E$58))</f>
        <v>0</v>
      </c>
      <c r="K65" s="33"/>
      <c r="L65" s="13"/>
      <c r="M65" s="33"/>
    </row>
    <row r="66" spans="1:13" ht="20.100000000000001" customHeight="1" x14ac:dyDescent="0.2">
      <c r="A66" s="79" t="str">
        <f>HYPERLINK("#A1", "▲ Back to top")</f>
        <v>▲ Back to top</v>
      </c>
      <c r="D66" s="15"/>
      <c r="E66" s="15"/>
      <c r="F66" s="15"/>
      <c r="G66" s="249" cm="1">
        <f t="array" ref="G66">Scope3_Equations.VEERG_15_1_1_1__1_EmissionsFromPurchasedLivestock(E66,F66,$E$58)</f>
        <v>0</v>
      </c>
      <c r="H66" s="15"/>
      <c r="I66" s="74"/>
      <c r="J66" s="249" cm="1">
        <f t="array" ref="J66">Scope3_Equations.VEERG_15_1_1_1__1_EmissionsFromPurchasedLivestock(E66,H66,IF(I66, I66,$E$58))</f>
        <v>0</v>
      </c>
      <c r="K66" s="33"/>
      <c r="L66" s="13"/>
      <c r="M66" s="33"/>
    </row>
    <row r="67" spans="1:13" ht="20.100000000000001" customHeight="1" x14ac:dyDescent="0.2">
      <c r="D67" s="15"/>
      <c r="E67" s="15"/>
      <c r="F67" s="15"/>
      <c r="G67" s="249" cm="1">
        <f t="array" ref="G67">Scope3_Equations.VEERG_15_1_1_1__1_EmissionsFromPurchasedLivestock(E67,F67,$E$58)</f>
        <v>0</v>
      </c>
      <c r="H67" s="15"/>
      <c r="I67" s="74"/>
      <c r="J67" s="249" cm="1">
        <f t="array" ref="J67">Scope3_Equations.VEERG_15_1_1_1__1_EmissionsFromPurchasedLivestock(E67,H67,IF(I67, I67,$E$58))</f>
        <v>0</v>
      </c>
      <c r="K67" s="33"/>
      <c r="L67" s="13"/>
      <c r="M67" s="33"/>
    </row>
    <row r="68" spans="1:13" ht="20.100000000000001" customHeight="1" x14ac:dyDescent="0.2">
      <c r="D68" s="15"/>
      <c r="E68" s="15"/>
      <c r="F68" s="15"/>
      <c r="G68" s="249" cm="1">
        <f t="array" ref="G68">Scope3_Equations.VEERG_15_1_1_1__1_EmissionsFromPurchasedLivestock(E68,F68,$E$58)</f>
        <v>0</v>
      </c>
      <c r="H68" s="15"/>
      <c r="I68" s="74"/>
      <c r="J68" s="249" cm="1">
        <f t="array" ref="J68">Scope3_Equations.VEERG_15_1_1_1__1_EmissionsFromPurchasedLivestock(E68,H68,IF(I68, I68,$E$58))</f>
        <v>0</v>
      </c>
      <c r="K68" s="33"/>
      <c r="L68" s="13"/>
      <c r="M68" s="33"/>
    </row>
    <row r="69" spans="1:13" ht="20.100000000000001" customHeight="1" x14ac:dyDescent="0.2">
      <c r="D69" s="15"/>
      <c r="E69" s="15"/>
      <c r="F69" s="15"/>
      <c r="G69" s="249" cm="1">
        <f t="array" ref="G69">Scope3_Equations.VEERG_15_1_1_1__1_EmissionsFromPurchasedLivestock(E69,F69,$E$58)</f>
        <v>0</v>
      </c>
      <c r="H69" s="15"/>
      <c r="I69" s="74"/>
      <c r="J69" s="249" cm="1">
        <f t="array" ref="J69">Scope3_Equations.VEERG_15_1_1_1__1_EmissionsFromPurchasedLivestock(E69,H69,IF(I69, I69,$E$58))</f>
        <v>0</v>
      </c>
      <c r="K69" s="33"/>
      <c r="L69" s="13"/>
      <c r="M69" s="33"/>
    </row>
    <row r="70" spans="1:13" ht="20.100000000000001" customHeight="1" x14ac:dyDescent="0.2">
      <c r="D70" s="15"/>
      <c r="E70" s="15"/>
      <c r="F70" s="15"/>
      <c r="G70" s="249" cm="1">
        <f t="array" ref="G70">Scope3_Equations.VEERG_15_1_1_1__1_EmissionsFromPurchasedLivestock(E70,F70,$E$58)</f>
        <v>0</v>
      </c>
      <c r="H70" s="15"/>
      <c r="I70" s="74"/>
      <c r="J70" s="249" cm="1">
        <f t="array" ref="J70">Scope3_Equations.VEERG_15_1_1_1__1_EmissionsFromPurchasedLivestock(E70,H70,IF(I70, I70,$E$58))</f>
        <v>0</v>
      </c>
      <c r="K70" s="33"/>
      <c r="L70" s="13"/>
      <c r="M70" s="33"/>
    </row>
    <row r="72" spans="1:13" ht="20.100000000000001" customHeight="1" x14ac:dyDescent="0.2">
      <c r="D72" s="88" t="s">
        <v>1054</v>
      </c>
      <c r="E72" s="83">
        <f>SUM(G61:G70)</f>
        <v>0</v>
      </c>
      <c r="F72" s="89" t="str">
        <f>$E$11</f>
        <v>t CO2e</v>
      </c>
    </row>
    <row r="73" spans="1:13" ht="20.100000000000001" customHeight="1" x14ac:dyDescent="0.2">
      <c r="D73" s="88" t="s">
        <v>1055</v>
      </c>
      <c r="E73" s="83">
        <f>SUM(J61:J70)</f>
        <v>0</v>
      </c>
      <c r="F73" s="89" t="str">
        <f>$E$11</f>
        <v>t CO2e</v>
      </c>
    </row>
    <row r="75" spans="1:13" ht="20.100000000000001" customHeight="1" x14ac:dyDescent="0.2">
      <c r="D75" s="240" t="s">
        <v>1056</v>
      </c>
    </row>
    <row r="76" spans="1:13" ht="20.100000000000001" customHeight="1" x14ac:dyDescent="0.2">
      <c r="D76" s="113" t="s">
        <v>1050</v>
      </c>
      <c r="E76" s="15" cm="1">
        <f t="array" ref="E76">Common_InputFunctions.Utility_LookupValueInTableNumber("Chickens", Table_SourceData_Scope3_Animals[Product],Table_SourceData_Scope3_Animals[Emissions intensity])</f>
        <v>1.36</v>
      </c>
    </row>
    <row r="78" spans="1:13" ht="20.100000000000001" customHeight="1" x14ac:dyDescent="0.2">
      <c r="D78" s="78" t="s">
        <v>1031</v>
      </c>
      <c r="E78" s="248" t="s">
        <v>1034</v>
      </c>
      <c r="F78" s="248" t="s">
        <v>1035</v>
      </c>
      <c r="G78" s="120" t="s">
        <v>1037</v>
      </c>
      <c r="H78" s="248" t="s">
        <v>1038</v>
      </c>
      <c r="I78" s="78" t="s">
        <v>1039</v>
      </c>
      <c r="J78" s="120" t="s">
        <v>1040</v>
      </c>
      <c r="K78" s="78" t="s">
        <v>1041</v>
      </c>
      <c r="L78" s="78" t="s">
        <v>1042</v>
      </c>
      <c r="M78" s="78" t="s">
        <v>1043</v>
      </c>
    </row>
    <row r="79" spans="1:13" ht="20.100000000000001" customHeight="1" x14ac:dyDescent="0.2">
      <c r="D79" s="15"/>
      <c r="E79" s="15"/>
      <c r="F79" s="15"/>
      <c r="G79" s="249" cm="1">
        <f t="array" ref="G79">Scope3_Equations.VEERG_15_1_1_1__1_EmissionsFromPurchasedLivestock(E79,F79,$E$76)</f>
        <v>0</v>
      </c>
      <c r="H79" s="15"/>
      <c r="I79" s="74">
        <v>1.3</v>
      </c>
      <c r="J79" s="249" cm="1">
        <f t="array" ref="J79">Scope3_Equations.VEERG_15_1_1_1__1_EmissionsFromPurchasedLivestock(E79,H79,IF(I79, I79,$E$76))</f>
        <v>0</v>
      </c>
      <c r="K79" s="33"/>
      <c r="L79" s="13"/>
      <c r="M79"/>
    </row>
    <row r="80" spans="1:13" ht="20.100000000000001" customHeight="1" x14ac:dyDescent="0.2">
      <c r="D80" s="15"/>
      <c r="E80" s="15"/>
      <c r="F80" s="15"/>
      <c r="G80" s="249" cm="1">
        <f t="array" ref="G80">Scope3_Equations.VEERG_15_1_1_1__1_EmissionsFromPurchasedLivestock(E80,F80,$E$76)</f>
        <v>0</v>
      </c>
      <c r="H80" s="15"/>
      <c r="I80" s="74"/>
      <c r="J80" s="249" cm="1">
        <f t="array" ref="J80">Scope3_Equations.VEERG_15_1_1_1__1_EmissionsFromPurchasedLivestock(E80,H80,IF(I80, I80,$E$76))</f>
        <v>0</v>
      </c>
      <c r="K80" s="33"/>
      <c r="L80" s="13"/>
      <c r="M80" s="33"/>
    </row>
    <row r="81" spans="1:13" ht="20.100000000000001" customHeight="1" x14ac:dyDescent="0.2">
      <c r="D81" s="15"/>
      <c r="E81" s="15"/>
      <c r="F81" s="15"/>
      <c r="G81" s="249" cm="1">
        <f t="array" ref="G81">Scope3_Equations.VEERG_15_1_1_1__1_EmissionsFromPurchasedLivestock(E81,F81,$E$76)</f>
        <v>0</v>
      </c>
      <c r="H81" s="15"/>
      <c r="I81" s="74"/>
      <c r="J81" s="249" cm="1">
        <f t="array" ref="J81">Scope3_Equations.VEERG_15_1_1_1__1_EmissionsFromPurchasedLivestock(E81,H81,IF(I81, I81,$E$76))</f>
        <v>0</v>
      </c>
      <c r="K81" s="33"/>
      <c r="L81" s="13"/>
      <c r="M81" s="33"/>
    </row>
    <row r="82" spans="1:13" ht="20.100000000000001" customHeight="1" x14ac:dyDescent="0.2">
      <c r="D82" s="15"/>
      <c r="E82" s="15"/>
      <c r="F82" s="15"/>
      <c r="G82" s="249" cm="1">
        <f t="array" ref="G82">Scope3_Equations.VEERG_15_1_1_1__1_EmissionsFromPurchasedLivestock(E82,F82,$E$76)</f>
        <v>0</v>
      </c>
      <c r="H82" s="15"/>
      <c r="I82" s="74"/>
      <c r="J82" s="249" cm="1">
        <f t="array" ref="J82">Scope3_Equations.VEERG_15_1_1_1__1_EmissionsFromPurchasedLivestock(E82,H82,IF(I82, I82,$E$76))</f>
        <v>0</v>
      </c>
      <c r="K82" s="33"/>
      <c r="L82" s="13"/>
      <c r="M82" s="33"/>
    </row>
    <row r="83" spans="1:13" ht="20.100000000000001" customHeight="1" x14ac:dyDescent="0.2">
      <c r="D83" s="15"/>
      <c r="E83" s="15"/>
      <c r="F83" s="15"/>
      <c r="G83" s="249" cm="1">
        <f t="array" ref="G83">Scope3_Equations.VEERG_15_1_1_1__1_EmissionsFromPurchasedLivestock(E83,F83,$E$76)</f>
        <v>0</v>
      </c>
      <c r="H83" s="15"/>
      <c r="I83" s="74"/>
      <c r="J83" s="249" cm="1">
        <f t="array" ref="J83">Scope3_Equations.VEERG_15_1_1_1__1_EmissionsFromPurchasedLivestock(E83,H83,IF(I83, I83,$E$76))</f>
        <v>0</v>
      </c>
      <c r="K83" s="33"/>
      <c r="L83" s="13"/>
      <c r="M83" s="33"/>
    </row>
    <row r="84" spans="1:13" ht="20.100000000000001" customHeight="1" x14ac:dyDescent="0.2">
      <c r="D84" s="15"/>
      <c r="E84" s="15"/>
      <c r="F84" s="15"/>
      <c r="G84" s="249" cm="1">
        <f t="array" ref="G84">Scope3_Equations.VEERG_15_1_1_1__1_EmissionsFromPurchasedLivestock(E84,F84,$E$76)</f>
        <v>0</v>
      </c>
      <c r="H84" s="15"/>
      <c r="I84" s="74"/>
      <c r="J84" s="249" cm="1">
        <f t="array" ref="J84">Scope3_Equations.VEERG_15_1_1_1__1_EmissionsFromPurchasedLivestock(E84,H84,IF(I84, I84,$E$76))</f>
        <v>0</v>
      </c>
      <c r="K84" s="33"/>
      <c r="L84" s="13"/>
      <c r="M84" s="33"/>
    </row>
    <row r="85" spans="1:13" ht="20.100000000000001" customHeight="1" x14ac:dyDescent="0.2">
      <c r="D85" s="15"/>
      <c r="E85" s="15"/>
      <c r="F85" s="15"/>
      <c r="G85" s="249" cm="1">
        <f t="array" ref="G85">Scope3_Equations.VEERG_15_1_1_1__1_EmissionsFromPurchasedLivestock(E85,F85,$E$76)</f>
        <v>0</v>
      </c>
      <c r="H85" s="15"/>
      <c r="I85" s="74"/>
      <c r="J85" s="249" cm="1">
        <f t="array" ref="J85">Scope3_Equations.VEERG_15_1_1_1__1_EmissionsFromPurchasedLivestock(E85,H85,IF(I85, I85,$E$76))</f>
        <v>0</v>
      </c>
      <c r="K85" s="33"/>
      <c r="L85" s="13"/>
      <c r="M85" s="33"/>
    </row>
    <row r="86" spans="1:13" ht="20.100000000000001" customHeight="1" x14ac:dyDescent="0.2">
      <c r="D86" s="15"/>
      <c r="E86" s="15"/>
      <c r="F86" s="15"/>
      <c r="G86" s="249" cm="1">
        <f t="array" ref="G86">Scope3_Equations.VEERG_15_1_1_1__1_EmissionsFromPurchasedLivestock(E86,F86,$E$76)</f>
        <v>0</v>
      </c>
      <c r="H86" s="15"/>
      <c r="I86" s="74"/>
      <c r="J86" s="249" cm="1">
        <f t="array" ref="J86">Scope3_Equations.VEERG_15_1_1_1__1_EmissionsFromPurchasedLivestock(E86,H86,IF(I86, I86,$E$76))</f>
        <v>0</v>
      </c>
      <c r="K86" s="33"/>
      <c r="L86" s="13"/>
      <c r="M86" s="33"/>
    </row>
    <row r="87" spans="1:13" ht="20.100000000000001" customHeight="1" x14ac:dyDescent="0.2">
      <c r="D87" s="15"/>
      <c r="E87" s="15"/>
      <c r="F87" s="15"/>
      <c r="G87" s="249" cm="1">
        <f t="array" ref="G87">Scope3_Equations.VEERG_15_1_1_1__1_EmissionsFromPurchasedLivestock(E87,F87,$E$76)</f>
        <v>0</v>
      </c>
      <c r="H87" s="15"/>
      <c r="I87" s="74"/>
      <c r="J87" s="249" cm="1">
        <f t="array" ref="J87">Scope3_Equations.VEERG_15_1_1_1__1_EmissionsFromPurchasedLivestock(E87,H87,IF(I87, I87,$E$76))</f>
        <v>0</v>
      </c>
      <c r="K87" s="33"/>
      <c r="L87" s="13"/>
      <c r="M87" s="33"/>
    </row>
    <row r="88" spans="1:13" ht="20.100000000000001" customHeight="1" x14ac:dyDescent="0.2">
      <c r="D88" s="15"/>
      <c r="E88" s="15"/>
      <c r="F88" s="15"/>
      <c r="G88" s="249" cm="1">
        <f t="array" ref="G88">Scope3_Equations.VEERG_15_1_1_1__1_EmissionsFromPurchasedLivestock(E88,F88,$E$76)</f>
        <v>0</v>
      </c>
      <c r="H88" s="15"/>
      <c r="I88" s="74"/>
      <c r="J88" s="249" cm="1">
        <f t="array" ref="J88">Scope3_Equations.VEERG_15_1_1_1__1_EmissionsFromPurchasedLivestock(E88,H88,IF(I88, I88,$E$76))</f>
        <v>0</v>
      </c>
      <c r="K88" s="33"/>
      <c r="L88" s="13"/>
      <c r="M88" s="33"/>
    </row>
    <row r="90" spans="1:13" ht="20.100000000000001" customHeight="1" x14ac:dyDescent="0.2">
      <c r="D90" s="88" t="s">
        <v>1057</v>
      </c>
      <c r="E90" s="83">
        <f>SUM(G79:G88)</f>
        <v>0</v>
      </c>
      <c r="F90" s="89" t="str">
        <f>$E$11</f>
        <v>t CO2e</v>
      </c>
    </row>
    <row r="91" spans="1:13" ht="20.100000000000001" customHeight="1" x14ac:dyDescent="0.2">
      <c r="D91" s="88" t="s">
        <v>1058</v>
      </c>
      <c r="E91" s="83">
        <f>SUM(J79:J88)</f>
        <v>0</v>
      </c>
      <c r="F91" s="89" t="str">
        <f>$E$11</f>
        <v>t CO2e</v>
      </c>
    </row>
    <row r="93" spans="1:13" ht="20.100000000000001" customHeight="1" x14ac:dyDescent="0.2">
      <c r="D93" s="85" t="s">
        <v>1037</v>
      </c>
      <c r="E93" s="86">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95" t="str">
        <f>$E$11</f>
        <v>t CO2e</v>
      </c>
    </row>
    <row r="94" spans="1:13" ht="20.100000000000001" customHeight="1" x14ac:dyDescent="0.2">
      <c r="D94" s="85" t="s">
        <v>1040</v>
      </c>
      <c r="E94" s="86">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1014.5</v>
      </c>
      <c r="F94" s="95" t="str">
        <f>$E$11</f>
        <v>t CO2e</v>
      </c>
    </row>
    <row r="96" spans="1:13" ht="20.100000000000001" customHeight="1" x14ac:dyDescent="0.2">
      <c r="A96" s="79" t="str">
        <f>HYPERLINK("#A1", "▲ Back to top")</f>
        <v>▲ Back to top</v>
      </c>
    </row>
    <row r="97" spans="3:41" ht="20.100000000000001" customHeight="1" x14ac:dyDescent="0.2">
      <c r="C97" s="83"/>
      <c r="D97" s="83"/>
      <c r="E97" s="83"/>
      <c r="F97" s="83"/>
      <c r="G97" s="83"/>
      <c r="H97" s="83"/>
      <c r="I97" s="83"/>
      <c r="J97" s="83"/>
      <c r="K97" s="83"/>
      <c r="L97" s="83"/>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row>
    <row r="98" spans="3:41" ht="20.100000000000001" customHeight="1" x14ac:dyDescent="0.2">
      <c r="D98" s="2" t="str" cm="1">
        <f t="array" ref="D98">Scope3_Equations.VEERG_15_2_1_1__1_EmissionsFromPurchasedFeed_Title()</f>
        <v>Emissions from purchased feed</v>
      </c>
    </row>
    <row r="99" spans="3:41" ht="20.100000000000001" customHeight="1" x14ac:dyDescent="0.2">
      <c r="D99" s="17" t="str" cm="1">
        <f t="array" ref="D99">Scope3_Equations.VEERG_15_2_1_1__1_EmissionsFromPurchasedFeed_Source()</f>
        <v>VEERG 2026: 15.2.1.1, Equation (1)</v>
      </c>
    </row>
    <row r="100" spans="3:41" ht="20.100000000000001" customHeight="1" x14ac:dyDescent="0.2">
      <c r="D100" s="25" t="str" cm="1">
        <f t="array" ref="D100">Scope3_Equations.VEERG_15_2_1_1__1_EmissionsFromPurchasedFeed_Variation()</f>
        <v>VARIATION ON SOURCE: Input Q_j in kg instead of t to match EF units. Multiply by 10^-3 to convert kg CO2e to t CO2e.</v>
      </c>
    </row>
    <row r="101" spans="3:41" ht="20.100000000000001" customHeight="1" x14ac:dyDescent="0.2">
      <c r="D101" s="112" t="s">
        <v>321</v>
      </c>
      <c r="E101" s="112" t="str" cm="1">
        <f t="array" aca="1" ref="E101" ca="1">Common_InputFunctions.Utility_DisplayFunctionName(G120)</f>
        <v>=Scope3_Equations.VEERG_15_2_1_1__1_EmissionsFromPurchasedFeedVariation</v>
      </c>
      <c r="H101" s="25"/>
    </row>
    <row r="103" spans="3:41" ht="20.100000000000001" customHeight="1" x14ac:dyDescent="0.2">
      <c r="H103" s="112"/>
    </row>
    <row r="104" spans="3:41" ht="20.100000000000001" customHeight="1" x14ac:dyDescent="0.2">
      <c r="D104" s="75" t="s">
        <v>322</v>
      </c>
      <c r="E104" s="1" t="str" cm="1">
        <f t="array" ref="E104">Scope3_Equations.VEERG_15_2_1_1__1_EmissionsFromPurchasedFeed_Variable()</f>
        <v>E</v>
      </c>
    </row>
    <row r="105" spans="3:41" ht="20.100000000000001" customHeight="1" x14ac:dyDescent="0.2">
      <c r="D105" s="75" t="s">
        <v>118</v>
      </c>
      <c r="E105" s="9" t="str" cm="1">
        <f t="array" ref="E105">Scope3_Equations.VEERG_15_2_1_1__1_EmissionsFromPurchasedFeed_Unit()</f>
        <v>t CO2e</v>
      </c>
    </row>
    <row r="107" spans="3:41" ht="20.100000000000001" customHeight="1" x14ac:dyDescent="0.2">
      <c r="D107" s="113" t="str" cm="1">
        <f t="array" ref="D107:E109">_xlfn.CHOOSECOLS(Scope3_Equations.VEERG_15_2_1_1__1_EmissionsFromPurchasedFeed_ArgumentsVariation(),1,2)</f>
        <v>Q_j</v>
      </c>
      <c r="E107" s="121" t="str">
        <v>quantity of feed type j purchased</v>
      </c>
      <c r="F107" s="122"/>
      <c r="G107" s="113" t="str" cm="1">
        <f t="array" ref="G107:H109">_xlfn.CHOOSECOLS(Scope3_Equations.VEERG_15_2_1_1__1_EmissionsFromPurchasedFeed_ArgumentsVariation(),3,4)</f>
        <v>kg</v>
      </c>
      <c r="H107" s="247" t="str">
        <v>Input</v>
      </c>
    </row>
    <row r="108" spans="3:41" ht="20.100000000000001" customHeight="1" x14ac:dyDescent="0.2">
      <c r="D108" s="113" t="str">
        <v>EF_j</v>
      </c>
      <c r="E108" s="121" t="str">
        <v>emission factor of purchased feed</v>
      </c>
      <c r="F108" s="122"/>
      <c r="G108" s="113" t="str">
        <v>kg CO2e/kg</v>
      </c>
      <c r="H108" s="115" t="str">
        <v>Constant</v>
      </c>
    </row>
    <row r="109" spans="3:41" ht="20.100000000000001" customHeight="1" x14ac:dyDescent="0.2">
      <c r="D109" s="113" t="str">
        <v>j</v>
      </c>
      <c r="E109" s="121" t="str">
        <v>feed type</v>
      </c>
      <c r="F109" s="122"/>
      <c r="G109" s="113" t="str">
        <v/>
      </c>
      <c r="H109" s="247" t="str">
        <v>Input</v>
      </c>
    </row>
    <row r="111" spans="3:41" ht="20.100000000000001" customHeight="1" x14ac:dyDescent="0.2">
      <c r="D111" s="240" t="s">
        <v>1059</v>
      </c>
    </row>
    <row r="113" spans="1:28" ht="20.100000000000001" customHeight="1" x14ac:dyDescent="0.2">
      <c r="D113" s="129" t="s">
        <v>1060</v>
      </c>
      <c r="E113" s="44"/>
      <c r="F113" s="129"/>
      <c r="G113" s="43"/>
      <c r="H113" s="44"/>
    </row>
    <row r="114" spans="1:28" ht="20.100000000000001" customHeight="1" x14ac:dyDescent="0.2">
      <c r="D114" s="214" t="s">
        <v>1061</v>
      </c>
      <c r="E114" s="216"/>
      <c r="F114" s="214"/>
      <c r="G114" s="215"/>
      <c r="H114" s="216"/>
    </row>
    <row r="115" spans="1:28" ht="20.100000000000001" customHeight="1" x14ac:dyDescent="0.2">
      <c r="D115" s="45" t="s">
        <v>1062</v>
      </c>
      <c r="E115" s="47"/>
      <c r="F115" s="45"/>
      <c r="G115" s="46"/>
      <c r="H115" s="47"/>
    </row>
    <row r="117" spans="1:28" ht="20.100000000000001" customHeight="1" x14ac:dyDescent="0.2">
      <c r="D117" s="35" t="s">
        <v>1063</v>
      </c>
      <c r="E117" s="37"/>
      <c r="F117" s="38"/>
    </row>
    <row r="119" spans="1:28" ht="20.100000000000001" customHeight="1" x14ac:dyDescent="0.2">
      <c r="D119" s="78" t="s">
        <v>1064</v>
      </c>
      <c r="E119" s="78" t="s">
        <v>1065</v>
      </c>
      <c r="F119" s="120" t="s">
        <v>1066</v>
      </c>
      <c r="G119" s="120" t="s">
        <v>1037</v>
      </c>
      <c r="H119" s="78" t="s">
        <v>1067</v>
      </c>
      <c r="I119" s="120" t="s">
        <v>1040</v>
      </c>
      <c r="J119" s="78" t="s">
        <v>1041</v>
      </c>
      <c r="K119" s="78" t="s">
        <v>1042</v>
      </c>
      <c r="L119" s="78" t="s">
        <v>1043</v>
      </c>
      <c r="M119" s="120" t="s">
        <v>688</v>
      </c>
      <c r="N119" s="120" t="s">
        <v>1068</v>
      </c>
      <c r="O119" s="120" t="s">
        <v>689</v>
      </c>
      <c r="P119" s="120" t="s">
        <v>1069</v>
      </c>
      <c r="Q119" s="120" t="s">
        <v>690</v>
      </c>
      <c r="R119" s="120" t="s">
        <v>1070</v>
      </c>
      <c r="S119" s="120" t="s">
        <v>691</v>
      </c>
      <c r="T119" s="120" t="s">
        <v>1071</v>
      </c>
      <c r="U119" s="120" t="s">
        <v>692</v>
      </c>
      <c r="V119" s="120" t="s">
        <v>1072</v>
      </c>
      <c r="W119" s="120" t="s">
        <v>693</v>
      </c>
      <c r="X119" s="120" t="s">
        <v>1073</v>
      </c>
      <c r="Y119" s="120" t="s">
        <v>694</v>
      </c>
      <c r="Z119" s="120" t="s">
        <v>1074</v>
      </c>
      <c r="AA119" s="120" t="s">
        <v>695</v>
      </c>
      <c r="AB119" s="120" t="s">
        <v>1075</v>
      </c>
    </row>
    <row r="120" spans="1:28" ht="20.100000000000001" customHeight="1" x14ac:dyDescent="0.2">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49" cm="1">
        <f t="array" ref="G120">Scope3_Equations.VEERG_15_2_1_1__1_EmissionsFromPurchasedFeedVariation(E120,F120)</f>
        <v>0.19527599999999998</v>
      </c>
      <c r="H120" s="74">
        <v>0.04</v>
      </c>
      <c r="I120" s="249" cm="1">
        <f t="array" ref="I120">Scope3_Equations.VEERG_15_2_1_1__1_EmissionsFromPurchasedFeedVariation(E120,IF(H120,H120, F120))</f>
        <v>4.8000000000000001E-2</v>
      </c>
      <c r="J120" s="33"/>
      <c r="K120" s="13"/>
      <c r="L120"/>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1:28" ht="20.100000000000001" customHeight="1" x14ac:dyDescent="0.2">
      <c r="D121" s="15">
        <v>0</v>
      </c>
      <c r="E121" s="15">
        <v>3456</v>
      </c>
      <c r="F121" s="15">
        <f t="shared" si="0"/>
        <v>4.6000000000000006E-2</v>
      </c>
      <c r="G121" s="249" cm="1">
        <f t="array" ref="G121">Scope3_Equations.VEERG_15_2_1_1__1_EmissionsFromPurchasedFeedVariation(E121,F121)</f>
        <v>0.15897600000000003</v>
      </c>
      <c r="H121" s="74">
        <v>0.03</v>
      </c>
      <c r="I121" s="249" cm="1">
        <f t="array" ref="I121">Scope3_Equations.VEERG_15_2_1_1__1_EmissionsFromPurchasedFeedVariation(E121,IF(H121,H121, F121))</f>
        <v>0.10367999999999999</v>
      </c>
      <c r="J121" s="33"/>
      <c r="K121" s="13"/>
      <c r="L121" s="33"/>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
      <c r="D122" s="15" t="str">
        <v>Hay bales in paddock</v>
      </c>
      <c r="E122" s="15">
        <v>300</v>
      </c>
      <c r="F122" s="15">
        <f t="shared" si="0"/>
        <v>0.27800000000000002</v>
      </c>
      <c r="G122" s="249" cm="1">
        <f t="array" ref="G122">Scope3_Equations.VEERG_15_2_1_1__1_EmissionsFromPurchasedFeedVariation(E122,F122)</f>
        <v>8.3400000000000002E-2</v>
      </c>
      <c r="H122" s="74">
        <v>0.14000000000000001</v>
      </c>
      <c r="I122" s="249" cm="1">
        <f t="array" ref="I122">Scope3_Equations.VEERG_15_2_1_1__1_EmissionsFromPurchasedFeedVariation(E122,IF(H122,H122, F122))</f>
        <v>4.200000000000001E-2</v>
      </c>
      <c r="J122" s="33"/>
      <c r="K122" s="13"/>
      <c r="L122" s="33"/>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
      <c r="D123" s="15">
        <v>0</v>
      </c>
      <c r="E123" s="15">
        <v>500</v>
      </c>
      <c r="F123" s="15">
        <f t="shared" si="0"/>
        <v>0.34499999999999997</v>
      </c>
      <c r="G123" s="249" cm="1">
        <f t="array" ref="G123">Scope3_Equations.VEERG_15_2_1_1__1_EmissionsFromPurchasedFeedVariation(E123,F123)</f>
        <v>0.17250000000000001</v>
      </c>
      <c r="H123" s="74"/>
      <c r="I123" s="249" cm="1">
        <f t="array" ref="I123">Scope3_Equations.VEERG_15_2_1_1__1_EmissionsFromPurchasedFeedVariation(E123,IF(H123,H123, F123))</f>
        <v>0.17250000000000001</v>
      </c>
      <c r="J123" s="33"/>
      <c r="K123" s="13"/>
      <c r="L123" s="33"/>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
      <c r="D124" s="15">
        <v>0</v>
      </c>
      <c r="E124" s="15">
        <v>0</v>
      </c>
      <c r="F124" s="15">
        <f t="shared" si="0"/>
        <v>0</v>
      </c>
      <c r="G124" s="249" cm="1">
        <f t="array" ref="G124">Scope3_Equations.VEERG_15_2_1_1__1_EmissionsFromPurchasedFeedVariation(E124,F124)</f>
        <v>0</v>
      </c>
      <c r="H124" s="74"/>
      <c r="I124" s="249" cm="1">
        <f t="array" ref="I124">Scope3_Equations.VEERG_15_2_1_1__1_EmissionsFromPurchasedFeedVariation(E124,IF(H124,H124, F124))</f>
        <v>0</v>
      </c>
      <c r="J124" s="33"/>
      <c r="K124" s="13"/>
      <c r="L124" s="33"/>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
      <c r="D125" s="15">
        <v>0</v>
      </c>
      <c r="E125" s="15">
        <v>0</v>
      </c>
      <c r="F125" s="15">
        <f t="shared" si="0"/>
        <v>0</v>
      </c>
      <c r="G125" s="249" cm="1">
        <f t="array" ref="G125">Scope3_Equations.VEERG_15_2_1_1__1_EmissionsFromPurchasedFeedVariation(E125,F125)</f>
        <v>0</v>
      </c>
      <c r="H125" s="74"/>
      <c r="I125" s="249" cm="1">
        <f t="array" ref="I125">Scope3_Equations.VEERG_15_2_1_1__1_EmissionsFromPurchasedFeedVariation(E125,IF(H125,H125, F125))</f>
        <v>0</v>
      </c>
      <c r="J125" s="33"/>
      <c r="K125" s="13"/>
      <c r="L125" s="33"/>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
      <c r="A126" s="79" t="str">
        <f>HYPERLINK("#A1", "▲ Back to top")</f>
        <v>▲ Back to top</v>
      </c>
      <c r="D126" s="15">
        <v>0</v>
      </c>
      <c r="E126" s="15">
        <v>0</v>
      </c>
      <c r="F126" s="15">
        <f t="shared" si="0"/>
        <v>0</v>
      </c>
      <c r="G126" s="249" cm="1">
        <f t="array" ref="G126">Scope3_Equations.VEERG_15_2_1_1__1_EmissionsFromPurchasedFeedVariation(E126,F126)</f>
        <v>0</v>
      </c>
      <c r="H126" s="74"/>
      <c r="I126" s="249" cm="1">
        <f t="array" ref="I126">Scope3_Equations.VEERG_15_2_1_1__1_EmissionsFromPurchasedFeedVariation(E126,IF(H126,H126, F126))</f>
        <v>0</v>
      </c>
      <c r="J126" s="33"/>
      <c r="K126" s="13"/>
      <c r="L126" s="33"/>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
      <c r="D127" s="15">
        <v>0</v>
      </c>
      <c r="E127" s="15">
        <v>0</v>
      </c>
      <c r="F127" s="15">
        <f t="shared" si="0"/>
        <v>0</v>
      </c>
      <c r="G127" s="249" cm="1">
        <f t="array" ref="G127">Scope3_Equations.VEERG_15_2_1_1__1_EmissionsFromPurchasedFeedVariation(E127,F127)</f>
        <v>0</v>
      </c>
      <c r="H127" s="74"/>
      <c r="I127" s="249" cm="1">
        <f t="array" ref="I127">Scope3_Equations.VEERG_15_2_1_1__1_EmissionsFromPurchasedFeedVariation(E127,IF(H127,H127, F127))</f>
        <v>0</v>
      </c>
      <c r="J127" s="33"/>
      <c r="K127" s="13"/>
      <c r="L127" s="33"/>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
      <c r="D128" s="15">
        <v>0</v>
      </c>
      <c r="E128" s="15">
        <v>0</v>
      </c>
      <c r="F128" s="15">
        <f t="shared" si="0"/>
        <v>0</v>
      </c>
      <c r="G128" s="249" cm="1">
        <f t="array" ref="G128">Scope3_Equations.VEERG_15_2_1_1__1_EmissionsFromPurchasedFeedVariation(E128,F128)</f>
        <v>0</v>
      </c>
      <c r="H128" s="74"/>
      <c r="I128" s="249" cm="1">
        <f t="array" ref="I128">Scope3_Equations.VEERG_15_2_1_1__1_EmissionsFromPurchasedFeedVariation(E128,IF(H128,H128, F128))</f>
        <v>0</v>
      </c>
      <c r="J128" s="33"/>
      <c r="K128" s="13"/>
      <c r="L128" s="33"/>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
      <c r="D129" s="15">
        <v>0</v>
      </c>
      <c r="E129" s="15">
        <v>0</v>
      </c>
      <c r="F129" s="15">
        <f t="shared" si="0"/>
        <v>0</v>
      </c>
      <c r="G129" s="249" cm="1">
        <f t="array" ref="G129">Scope3_Equations.VEERG_15_2_1_1__1_EmissionsFromPurchasedFeedVariation(E129,F129)</f>
        <v>0</v>
      </c>
      <c r="H129" s="74"/>
      <c r="I129" s="249" cm="1">
        <f t="array" ref="I129">Scope3_Equations.VEERG_15_2_1_1__1_EmissionsFromPurchasedFeedVariation(E129,IF(H129,H129, F129))</f>
        <v>0</v>
      </c>
      <c r="J129" s="33"/>
      <c r="K129" s="13"/>
      <c r="L129" s="33"/>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4:28" ht="20.100000000000001" customHeight="1" x14ac:dyDescent="0.2">
      <c r="D131" s="88" t="s">
        <v>1037</v>
      </c>
      <c r="E131" s="83">
        <f>SUM(G120:G129)</f>
        <v>0.61015200000000003</v>
      </c>
      <c r="F131" s="89" t="str">
        <f>$E$105</f>
        <v>t CO2e</v>
      </c>
    </row>
    <row r="132" spans="4:28" ht="20.100000000000001" customHeight="1" x14ac:dyDescent="0.2">
      <c r="D132" s="88" t="s">
        <v>1040</v>
      </c>
      <c r="E132" s="83">
        <f>SUM(I120:I129)</f>
        <v>0.36618000000000001</v>
      </c>
      <c r="F132" s="89" t="str">
        <f>$E$105</f>
        <v>t CO2e</v>
      </c>
    </row>
    <row r="135" spans="4:28" ht="20.100000000000001" customHeight="1" x14ac:dyDescent="0.2">
      <c r="D135" s="240" t="s">
        <v>973</v>
      </c>
    </row>
    <row r="136" spans="4:28" ht="20.100000000000001" customHeight="1" x14ac:dyDescent="0.2">
      <c r="D136" s="78" t="s">
        <v>132</v>
      </c>
      <c r="E136" s="78" t="s">
        <v>1065</v>
      </c>
      <c r="F136" s="120" t="s">
        <v>1066</v>
      </c>
      <c r="G136" s="120" t="s">
        <v>1037</v>
      </c>
      <c r="H136" s="78" t="s">
        <v>1067</v>
      </c>
      <c r="I136" s="120" t="s">
        <v>1040</v>
      </c>
      <c r="J136" s="78" t="s">
        <v>1041</v>
      </c>
      <c r="K136" s="78" t="s">
        <v>1042</v>
      </c>
      <c r="L136" s="78" t="s">
        <v>1043</v>
      </c>
    </row>
    <row r="137" spans="4:28" ht="20.100000000000001" customHeight="1" x14ac:dyDescent="0.2">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49" cm="1">
        <f t="array" ref="G137">Scope3_Equations.VEERG_15_2_1_1__1_EmissionsFromPurchasedFeedVariation(E137,F137)</f>
        <v>5.9400000000000001E-2</v>
      </c>
      <c r="H137" s="74">
        <v>0.5</v>
      </c>
      <c r="I137" s="249" cm="1">
        <f t="array" ref="I137">Scope3_Equations.VEERG_15_2_1_1__1_EmissionsFromPurchasedFeedVariation(E137,IF(H137,H137, F137))</f>
        <v>0.05</v>
      </c>
      <c r="J137" s="33"/>
      <c r="K137" s="13"/>
      <c r="L137" s="33"/>
    </row>
    <row r="138" spans="4:28" ht="20.100000000000001" customHeight="1" x14ac:dyDescent="0.2">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49" cm="1">
        <f t="array" ref="G138">Scope3_Equations.VEERG_15_2_1_1__1_EmissionsFromPurchasedFeedVariation(E138,F138)</f>
        <v>4.19E-2</v>
      </c>
      <c r="H138" s="74">
        <v>0.4</v>
      </c>
      <c r="I138" s="249" cm="1">
        <f t="array" ref="I138">Scope3_Equations.VEERG_15_2_1_1__1_EmissionsFromPurchasedFeedVariation(E138,IF(H138,H138, F138))</f>
        <v>0.04</v>
      </c>
      <c r="J138" s="33"/>
      <c r="K138" s="13"/>
      <c r="L138" s="33"/>
    </row>
    <row r="139" spans="4:28" ht="20.100000000000001" customHeight="1" x14ac:dyDescent="0.2">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49" cm="1">
        <f t="array" ref="G139">Scope3_Equations.VEERG_15_2_1_1__1_EmissionsFromPurchasedFeedVariation(E139,F139)</f>
        <v>3.3300000000000003E-2</v>
      </c>
      <c r="H139" s="74">
        <v>0</v>
      </c>
      <c r="I139" s="249" cm="1">
        <f t="array" ref="I139">Scope3_Equations.VEERG_15_2_1_1__1_EmissionsFromPurchasedFeedVariation(E139,IF(H139,H139, F139))</f>
        <v>3.3300000000000003E-2</v>
      </c>
      <c r="J139" s="33"/>
      <c r="K139" s="13"/>
      <c r="L139" s="33"/>
    </row>
    <row r="140" spans="4:28" ht="20.100000000000001" customHeight="1" x14ac:dyDescent="0.2">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49" cm="1">
        <f t="array" ref="G140">Scope3_Equations.VEERG_15_2_1_1__1_EmissionsFromPurchasedFeedVariation(E140,F140)</f>
        <v>4.0300000000000002E-2</v>
      </c>
      <c r="H140" s="74">
        <v>0</v>
      </c>
      <c r="I140" s="249" cm="1">
        <f t="array" ref="I140">Scope3_Equations.VEERG_15_2_1_1__1_EmissionsFromPurchasedFeedVariation(E140,IF(H140,H140, F140))</f>
        <v>4.0300000000000002E-2</v>
      </c>
      <c r="J140" s="33"/>
      <c r="K140" s="13"/>
      <c r="L140" s="33"/>
    </row>
    <row r="142" spans="4:28" ht="20.100000000000001" customHeight="1" x14ac:dyDescent="0.2">
      <c r="D142" s="88" t="s">
        <v>1037</v>
      </c>
      <c r="E142" s="83">
        <f>SUM(G137:G140)</f>
        <v>0.1749</v>
      </c>
      <c r="F142" s="89" t="str">
        <f>$E$105</f>
        <v>t CO2e</v>
      </c>
    </row>
    <row r="143" spans="4:28" ht="20.100000000000001" customHeight="1" x14ac:dyDescent="0.2">
      <c r="D143" s="88" t="s">
        <v>1040</v>
      </c>
      <c r="E143" s="83">
        <f>SUM(I137:I140)</f>
        <v>0.1636</v>
      </c>
      <c r="F143" s="89" t="str">
        <f>$E$105</f>
        <v>t CO2e</v>
      </c>
    </row>
    <row r="146" spans="1:12" ht="20.100000000000001" customHeight="1" x14ac:dyDescent="0.2">
      <c r="D146" s="240" t="s">
        <v>1076</v>
      </c>
    </row>
    <row r="147" spans="1:12" ht="20.100000000000001" customHeight="1" x14ac:dyDescent="0.2">
      <c r="D147" s="78" t="s">
        <v>132</v>
      </c>
      <c r="E147" s="78" t="s">
        <v>1065</v>
      </c>
      <c r="F147" s="120" t="s">
        <v>1066</v>
      </c>
      <c r="G147" s="120" t="s">
        <v>1037</v>
      </c>
      <c r="H147" s="78" t="s">
        <v>1067</v>
      </c>
      <c r="I147" s="120" t="s">
        <v>1040</v>
      </c>
      <c r="J147" s="78" t="s">
        <v>1041</v>
      </c>
      <c r="K147" s="78" t="s">
        <v>1042</v>
      </c>
      <c r="L147" s="78" t="s">
        <v>1043</v>
      </c>
    </row>
    <row r="148" spans="1:12" ht="20.100000000000001" customHeight="1" x14ac:dyDescent="0.2">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49" cm="1">
        <f t="array" ref="G148">Scope3_Equations.VEERG_15_2_1_1__1_EmissionsFromPurchasedFeedVariation(E148,F148)</f>
        <v>0</v>
      </c>
      <c r="H148" s="74">
        <v>0.2</v>
      </c>
      <c r="I148" s="249" cm="1">
        <f t="array" ref="I148">Scope3_Equations.VEERG_15_2_1_1__1_EmissionsFromPurchasedFeedVariation(E148,IF(H148,H148, F148))</f>
        <v>0</v>
      </c>
      <c r="J148" s="33"/>
      <c r="K148" s="33"/>
      <c r="L148" s="33"/>
    </row>
    <row r="149" spans="1:12" ht="20.100000000000001" customHeight="1" x14ac:dyDescent="0.2">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49" cm="1">
        <f t="array" ref="G149">Scope3_Equations.VEERG_15_2_1_1__1_EmissionsFromPurchasedFeedVariation(E149,F149)</f>
        <v>0</v>
      </c>
      <c r="H149" s="74">
        <v>0</v>
      </c>
      <c r="I149" s="249" cm="1">
        <f t="array" ref="I149">Scope3_Equations.VEERG_15_2_1_1__1_EmissionsFromPurchasedFeedVariation(E149,IF(H149,H149, F149))</f>
        <v>0</v>
      </c>
      <c r="J149" s="33"/>
      <c r="K149" s="33"/>
      <c r="L149" s="33"/>
    </row>
    <row r="150" spans="1: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49" cm="1">
        <f t="array" ref="G150">Scope3_Equations.VEERG_15_2_1_1__1_EmissionsFromPurchasedFeedVariation(E150,F150)</f>
        <v>0</v>
      </c>
      <c r="H150" s="74">
        <v>0</v>
      </c>
      <c r="I150" s="249" cm="1">
        <f t="array" ref="I150">Scope3_Equations.VEERG_15_2_1_1__1_EmissionsFromPurchasedFeedVariation(E150,IF(H150,H150, F150))</f>
        <v>0</v>
      </c>
      <c r="J150" s="33"/>
      <c r="K150" s="33"/>
      <c r="L150" s="33"/>
    </row>
    <row r="151" spans="1: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49" cm="1">
        <f t="array" ref="G151">Scope3_Equations.VEERG_15_2_1_1__1_EmissionsFromPurchasedFeedVariation(E151,F151)</f>
        <v>0</v>
      </c>
      <c r="H151" s="74">
        <v>0</v>
      </c>
      <c r="I151" s="249" cm="1">
        <f t="array" ref="I151">Scope3_Equations.VEERG_15_2_1_1__1_EmissionsFromPurchasedFeedVariation(E151,IF(H151,H151, F151))</f>
        <v>0</v>
      </c>
      <c r="J151" s="33"/>
      <c r="K151" s="33"/>
      <c r="L151" s="33"/>
    </row>
    <row r="152" spans="1: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49" cm="1">
        <f t="array" ref="G152">Scope3_Equations.VEERG_15_2_1_1__1_EmissionsFromPurchasedFeedVariation(E152,F152)</f>
        <v>0</v>
      </c>
      <c r="H152" s="74">
        <v>0</v>
      </c>
      <c r="I152" s="249" cm="1">
        <f t="array" ref="I152">Scope3_Equations.VEERG_15_2_1_1__1_EmissionsFromPurchasedFeedVariation(E152,IF(H152,H152, F152))</f>
        <v>0</v>
      </c>
      <c r="J152" s="33"/>
      <c r="K152" s="33"/>
      <c r="L152" s="33"/>
    </row>
    <row r="153" spans="1: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49" cm="1">
        <f t="array" ref="G153">Scope3_Equations.VEERG_15_2_1_1__1_EmissionsFromPurchasedFeedVariation(E153,F153)</f>
        <v>0</v>
      </c>
      <c r="H153" s="74">
        <v>0</v>
      </c>
      <c r="I153" s="249" cm="1">
        <f t="array" ref="I153">Scope3_Equations.VEERG_15_2_1_1__1_EmissionsFromPurchasedFeedVariation(E153,IF(H153,H153, F153))</f>
        <v>0</v>
      </c>
      <c r="J153" s="33"/>
      <c r="K153" s="33"/>
      <c r="L153" s="33"/>
    </row>
    <row r="155" spans="1:12" ht="20.100000000000001" customHeight="1" x14ac:dyDescent="0.2">
      <c r="D155" s="88" t="s">
        <v>1037</v>
      </c>
      <c r="E155" s="83">
        <f>SUM(G148:G153)</f>
        <v>0</v>
      </c>
      <c r="F155" s="89" t="str">
        <f>$E$105</f>
        <v>t CO2e</v>
      </c>
    </row>
    <row r="156" spans="1:12" ht="20.100000000000001" customHeight="1" x14ac:dyDescent="0.2">
      <c r="A156" s="79" t="str">
        <f>HYPERLINK("#A1", "▲ Back to top")</f>
        <v>▲ Back to top</v>
      </c>
      <c r="D156" s="88" t="s">
        <v>1040</v>
      </c>
      <c r="E156" s="83">
        <f>SUM(I148:I153)</f>
        <v>0</v>
      </c>
      <c r="F156" s="89" t="str">
        <f>$E$105</f>
        <v>t CO2e</v>
      </c>
    </row>
    <row r="159" spans="1:12" ht="20.100000000000001" customHeight="1" x14ac:dyDescent="0.2">
      <c r="D159" s="85" t="s">
        <v>1037</v>
      </c>
      <c r="E159" s="86">
        <f>E131+E142+E155</f>
        <v>0.78505200000000008</v>
      </c>
      <c r="F159" s="95" t="str">
        <f>$E$105</f>
        <v>t CO2e</v>
      </c>
    </row>
    <row r="160" spans="1:12" ht="20.100000000000001" customHeight="1" x14ac:dyDescent="0.2">
      <c r="D160" s="85" t="s">
        <v>1040</v>
      </c>
      <c r="E160" s="86">
        <f>E132+E143+E156</f>
        <v>0.52978000000000003</v>
      </c>
      <c r="F160" s="95" t="str">
        <f>$E$105</f>
        <v>t CO2e</v>
      </c>
    </row>
    <row r="163" spans="3:41" ht="20.100000000000001" customHeight="1" x14ac:dyDescent="0.2">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row>
    <row r="164" spans="3:41" ht="20.100000000000001" customHeight="1" x14ac:dyDescent="0.2">
      <c r="D164" s="2" t="str" cm="1">
        <f t="array" ref="D164">Scope3_Equations.VEERG_15_3_1_1__1_EmissionsFromPurchasedMineralSupplements_Title()</f>
        <v>Total emissions from purchased mineral supplements</v>
      </c>
    </row>
    <row r="165" spans="3:41" ht="20.100000000000001" customHeight="1" x14ac:dyDescent="0.2">
      <c r="D165" s="17" t="str" cm="1">
        <f t="array" ref="D165">Scope3_Equations.VEERG_15_3_1_1__1_EmissionsFromPurchasedMineralSupplements_Source()</f>
        <v>VEERG 2026: 15.3.1.1, Equation (1)</v>
      </c>
    </row>
    <row r="166" spans="3:41" ht="20.100000000000001" customHeight="1" x14ac:dyDescent="0.2">
      <c r="D166" s="112" t="s">
        <v>321</v>
      </c>
      <c r="E166" s="112" t="str" cm="1">
        <f t="array" aca="1" ref="E166" ca="1">Common_InputFunctions.Utility_DisplayFunctionName(G177)</f>
        <v>=Scope3_Equations.VEERG_15_3_1_1__1_EmissionsFromPurchasedMineralSupplementsVariation</v>
      </c>
    </row>
    <row r="168" spans="3:41" ht="20.100000000000001" customHeight="1" x14ac:dyDescent="0.2">
      <c r="F168" s="25" t="str" cm="1">
        <f t="array" ref="F168">Scope3_Equations.VEERG_15_3_1_1__1_EmissionsFromPurchasedMineralSupplements_Variation()</f>
        <v>VARIATION ON SOURCE: Input Q_j in kg instead of t to match EF units. Multiply by 10^-3 to convert kg CO2e to t CO2e.</v>
      </c>
      <c r="H168" s="112"/>
    </row>
    <row r="169" spans="3:41" ht="20.100000000000001" customHeight="1" x14ac:dyDescent="0.2">
      <c r="D169" s="75" t="s">
        <v>322</v>
      </c>
      <c r="E169" s="1" t="str" cm="1">
        <f t="array" ref="E169">Scope3_Equations.VEERG_15_3_1_1__1_EmissionsFromPurchasedMineralSupplements_Variable()</f>
        <v>E</v>
      </c>
    </row>
    <row r="170" spans="3:41" ht="20.100000000000001" customHeight="1" x14ac:dyDescent="0.2">
      <c r="D170" s="75" t="s">
        <v>118</v>
      </c>
      <c r="E170" s="9" t="str" cm="1">
        <f t="array" ref="E170">Scope3_Equations.VEERG_15_3_1_1__1_EmissionsFromPurchasedMineralSupplements_Unit()</f>
        <v>t CO2e</v>
      </c>
    </row>
    <row r="172" spans="3:41" ht="20.100000000000001" customHeight="1" x14ac:dyDescent="0.2">
      <c r="D172" s="113" t="str" cm="1">
        <f t="array" ref="D172:E174">_xlfn.CHOOSECOLS(Scope3_Equations.VEERG_15_3_1_1__1_EmissionsFromPurchasedMineralSupplements_ArgumentsVariation(),1,2)</f>
        <v>Q_m</v>
      </c>
      <c r="E172" s="121" t="str">
        <v>total quantity of mineral supplement type m used</v>
      </c>
      <c r="F172" s="122"/>
      <c r="G172" s="113" t="str" cm="1">
        <f t="array" ref="G172:H174">_xlfn.CHOOSECOLS(Scope3_Equations.VEERG_15_3_1_1__1_EmissionsFromPurchasedMineralSupplements_ArgumentsVariation(),3,4)</f>
        <v>kg</v>
      </c>
      <c r="H172" s="247" t="str">
        <v>Input</v>
      </c>
    </row>
    <row r="173" spans="3:41" ht="20.100000000000001" customHeight="1" x14ac:dyDescent="0.2">
      <c r="D173" s="113" t="str">
        <v>EF_m</v>
      </c>
      <c r="E173" s="121" t="str">
        <v>emission factor of purchased mineral supplement</v>
      </c>
      <c r="F173" s="122"/>
      <c r="G173" s="113" t="str">
        <v>kg CO2e/kg</v>
      </c>
      <c r="H173" s="247" t="str">
        <v>Constant</v>
      </c>
    </row>
    <row r="174" spans="3:41" ht="20.100000000000001" customHeight="1" x14ac:dyDescent="0.2">
      <c r="D174" s="113" t="str">
        <v>m</v>
      </c>
      <c r="E174" s="121" t="str">
        <v>mineral supplement type</v>
      </c>
      <c r="F174" s="122"/>
      <c r="G174" s="113" t="str">
        <v/>
      </c>
      <c r="H174" s="115" t="str">
        <v>Input</v>
      </c>
    </row>
    <row r="176" spans="3:41" ht="20.100000000000001" customHeight="1" x14ac:dyDescent="0.2">
      <c r="D176" s="78" t="s">
        <v>132</v>
      </c>
      <c r="E176" s="78" t="s">
        <v>1077</v>
      </c>
      <c r="F176" s="120" t="s">
        <v>1078</v>
      </c>
      <c r="G176" s="120" t="s">
        <v>1037</v>
      </c>
      <c r="H176" s="78" t="s">
        <v>1079</v>
      </c>
      <c r="I176" s="120" t="s">
        <v>1040</v>
      </c>
      <c r="J176" s="78" t="s">
        <v>1041</v>
      </c>
      <c r="K176" s="78" t="s">
        <v>1042</v>
      </c>
      <c r="L176" s="78" t="s">
        <v>1043</v>
      </c>
    </row>
    <row r="177" spans="1:41" ht="20.100000000000001" customHeight="1" x14ac:dyDescent="0.2">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49" cm="1">
        <f t="array" ref="G177">Scope3_Equations.VEERG_15_3_1_1__1_EmissionsFromPurchasedMineralSupplementsVariation(E177,F177)</f>
        <v>8.8099999999999998E-2</v>
      </c>
      <c r="H177" s="74">
        <v>0.8</v>
      </c>
      <c r="I177" s="249" cm="1">
        <f t="array" ref="I177">Scope3_Equations.VEERG_15_3_1_1__1_EmissionsFromPurchasedMineralSupplementsVariation(E177,IF(H177, H177, F177))</f>
        <v>0.08</v>
      </c>
      <c r="J177" s="33"/>
      <c r="K177" s="13"/>
      <c r="L177" s="33"/>
    </row>
    <row r="178" spans="1:41" ht="20.100000000000001" customHeight="1" x14ac:dyDescent="0.2">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49" cm="1">
        <f t="array" ref="G178">Scope3_Equations.VEERG_15_3_1_1__1_EmissionsFromPurchasedMineralSupplementsVariation(E178,F178)</f>
        <v>6.770000000000001E-2</v>
      </c>
      <c r="H178" s="74">
        <v>0.6</v>
      </c>
      <c r="I178" s="249" cm="1">
        <f t="array" ref="I178">Scope3_Equations.VEERG_15_3_1_1__1_EmissionsFromPurchasedMineralSupplementsVariation(E178,IF(H178, H178, F178))</f>
        <v>0.06</v>
      </c>
      <c r="J178" s="33"/>
      <c r="K178" s="13"/>
      <c r="L178" s="33"/>
    </row>
    <row r="179" spans="1:41" ht="20.100000000000001" customHeight="1" x14ac:dyDescent="0.2">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49" cm="1">
        <f t="array" ref="G179">Scope3_Equations.VEERG_15_3_1_1__1_EmissionsFromPurchasedMineralSupplementsVariation(E179,F179)</f>
        <v>2.3100000000000002E-2</v>
      </c>
      <c r="H179" s="74">
        <v>0.2</v>
      </c>
      <c r="I179" s="249" cm="1">
        <f t="array" ref="I179">Scope3_Equations.VEERG_15_3_1_1__1_EmissionsFromPurchasedMineralSupplementsVariation(E179,IF(H179, H179, F179))</f>
        <v>0.02</v>
      </c>
      <c r="J179" s="33"/>
      <c r="K179" s="13"/>
      <c r="L179" s="33"/>
    </row>
    <row r="181" spans="1:41" ht="20.100000000000001" customHeight="1" x14ac:dyDescent="0.2">
      <c r="D181" s="85" t="s">
        <v>1037</v>
      </c>
      <c r="E181" s="86">
        <f>SUM(G177:G179)</f>
        <v>0.1789</v>
      </c>
      <c r="F181" s="95" t="str">
        <f>$E$170</f>
        <v>t CO2e</v>
      </c>
    </row>
    <row r="182" spans="1:41" ht="20.100000000000001" customHeight="1" x14ac:dyDescent="0.2">
      <c r="D182" s="85" t="s">
        <v>1040</v>
      </c>
      <c r="E182" s="86">
        <f>SUM(I177:I179)</f>
        <v>0.16</v>
      </c>
      <c r="F182" s="95" t="str">
        <f>$E$170</f>
        <v>t CO2e</v>
      </c>
    </row>
    <row r="185" spans="1:41" ht="20.100000000000001" customHeight="1" x14ac:dyDescent="0.2">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row>
    <row r="186" spans="1:41" ht="20.100000000000001" customHeight="1" x14ac:dyDescent="0.2">
      <c r="A186" s="79" t="str">
        <f>HYPERLINK("#A1", "▲ Back to top")</f>
        <v>▲ Back to top</v>
      </c>
      <c r="D186" s="2" t="str" cm="1">
        <f t="array" ref="D186">Scope3_Equations.VEERG_15_4_1_1__X_EmissionFactorFromPurchasedFertiliserComponents_Title()</f>
        <v>Emission factor for fertiliser product derived from components</v>
      </c>
    </row>
    <row r="187" spans="1:41" ht="20.100000000000001" customHeight="1" x14ac:dyDescent="0.2">
      <c r="D187" s="17" t="str" cm="1">
        <f t="array" ref="D187">Scope3_Equations.VEERG_15_4_1_1__X_EmissionFactorFromPurchasedFertiliserComponents_Source()</f>
        <v>GAF</v>
      </c>
    </row>
    <row r="188" spans="1:41" ht="20.100000000000001" customHeight="1" x14ac:dyDescent="0.2">
      <c r="D188" s="25" t="str" cm="1">
        <f t="array" ref="D188">Scope3_Equations.VEERG_15_4_1_1__X_EmissionFactorFromPurchasedFertiliserComponents_Variation()</f>
        <v>VARIATION ON SOURCE: This equation is added to calculate an EF value from fertiliser components that can be used in 15.4.1.1 (1)</v>
      </c>
    </row>
    <row r="189" spans="1:41" ht="20.100000000000001" customHeight="1" x14ac:dyDescent="0.2">
      <c r="D189" s="112" t="s">
        <v>321</v>
      </c>
      <c r="E189" s="112" t="str" cm="1">
        <f t="array" aca="1" ref="E189" ca="1">Common_InputFunctions.Utility_DisplayFunctionName(F236)</f>
        <v>=Scope3_Equations.VEERG_15_4_1_1__X_EmissionFactorFromPurchasedFertiliserComponents</v>
      </c>
    </row>
    <row r="192" spans="1:41" ht="20.100000000000001" customHeight="1" x14ac:dyDescent="0.2">
      <c r="D192" s="75" t="s">
        <v>322</v>
      </c>
      <c r="E192" s="1" t="str" cm="1">
        <f t="array" ref="E192">Scope3_Equations.VEERG_15_4_1_1__X_EmissionFactorFromPurchasedFertiliserComponents_Variable()</f>
        <v>EF_f</v>
      </c>
    </row>
    <row r="193" spans="4:8" ht="20.100000000000001" customHeight="1" x14ac:dyDescent="0.2">
      <c r="D193" s="75" t="s">
        <v>118</v>
      </c>
      <c r="E193" s="9" t="str" cm="1">
        <f t="array" ref="E193">Scope3_Equations.VEERG_15_4_1_1__X_EmissionFactorFromPurchasedFertiliserComponents_Unit()</f>
        <v>kg CO2e/kg fertiliser</v>
      </c>
    </row>
    <row r="195" spans="4:8" ht="20.100000000000001" customHeight="1" x14ac:dyDescent="0.2">
      <c r="D195" s="113" t="str" cm="1">
        <f t="array" ref="D195:E198">_xlfn.CHOOSECOLS(Scope3_Equations.VEERG_15_4_1_1__X_EmissionFactorFromPurchasedFertiliserComponents_Arguments(),1,2)</f>
        <v>F_cf</v>
      </c>
      <c r="E195" s="121" t="str">
        <v>fraction of component c contained within the inorganic fertiliser f</v>
      </c>
      <c r="F195" s="122"/>
      <c r="G195" s="113" t="str" cm="1">
        <f t="array" ref="G195:H198">_xlfn.CHOOSECOLS(Scope3_Equations.VEERG_15_4_1_1__X_EmissionFactorFromPurchasedFertiliserComponents_Arguments(),3,4)</f>
        <v>wt%</v>
      </c>
      <c r="H195" s="247" t="str">
        <v>Input</v>
      </c>
    </row>
    <row r="196" spans="4:8" ht="20.100000000000001" customHeight="1" x14ac:dyDescent="0.2">
      <c r="D196" s="113" t="str">
        <v>EF_c</v>
      </c>
      <c r="E196" s="121" t="str">
        <v>emission factor for the production of component c</v>
      </c>
      <c r="F196" s="122"/>
      <c r="G196" s="113" t="str">
        <v>kg CO2e/kg component</v>
      </c>
      <c r="H196" s="115" t="str">
        <v>Constant</v>
      </c>
    </row>
    <row r="197" spans="4:8" ht="20.100000000000001" customHeight="1" x14ac:dyDescent="0.2">
      <c r="D197" s="113" t="str">
        <v>c</v>
      </c>
      <c r="E197" s="121" t="str">
        <v>fertiliser component</v>
      </c>
      <c r="F197" s="122"/>
      <c r="G197" s="113" t="str">
        <v/>
      </c>
      <c r="H197" s="247" t="str">
        <v>Input</v>
      </c>
    </row>
    <row r="198" spans="4:8" ht="20.100000000000001" customHeight="1" x14ac:dyDescent="0.2">
      <c r="D198" s="113" t="str">
        <v>f</v>
      </c>
      <c r="E198" s="121" t="str">
        <v>inorganic fertiliser type</v>
      </c>
      <c r="F198" s="122"/>
      <c r="G198" s="113" t="str">
        <v/>
      </c>
      <c r="H198" s="247" t="str">
        <v>Input</v>
      </c>
    </row>
    <row r="201" spans="4:8" ht="20.100000000000001" customHeight="1" x14ac:dyDescent="0.2">
      <c r="D201" s="2" t="str" cm="1">
        <f t="array" ref="D201">Scope3_Equations.VEERG_15_4_1_1__1_EmissionsFromPurchasedFertiliser_Title()</f>
        <v>Emissions from purchased fertiliser</v>
      </c>
    </row>
    <row r="202" spans="4:8" ht="20.100000000000001" customHeight="1" x14ac:dyDescent="0.2">
      <c r="D202" s="17" t="str" cm="1">
        <f t="array" ref="D202">Scope3_Equations.VEERG_15_4_1_1__1_EmissionsFromPurchasedFertiliser_Source()</f>
        <v>VEERG 2026: 15.4.1.1, Equation (1)</v>
      </c>
    </row>
    <row r="203" spans="4:8" ht="20.100000000000001" customHeight="1" x14ac:dyDescent="0.2">
      <c r="D203" s="112" t="s">
        <v>321</v>
      </c>
      <c r="E203" s="112" t="str" cm="1">
        <f t="array" aca="1" ref="E203" ca="1">Common_InputFunctions.Utility_DisplayFunctionName(G236)</f>
        <v>=Scope3_Equations.VEERG_15_4_1_1__1_EmissionsFromPurchasedFertiliser</v>
      </c>
    </row>
    <row r="206" spans="4:8" ht="20.100000000000001" customHeight="1" x14ac:dyDescent="0.2">
      <c r="D206" s="75" t="s">
        <v>322</v>
      </c>
      <c r="E206" s="1" t="str" cm="1">
        <f t="array" ref="E206">Scope3_Equations.VEERG_15_4_1_1__1_EmissionsFromPurchasedFertiliser_Variable()</f>
        <v>E</v>
      </c>
    </row>
    <row r="207" spans="4:8" ht="20.100000000000001" customHeight="1" x14ac:dyDescent="0.2">
      <c r="D207" s="75" t="s">
        <v>118</v>
      </c>
      <c r="E207" s="9" t="str" cm="1">
        <f t="array" ref="E207">Scope3_Equations.VEERG_15_4_1_1__1_EmissionsFromPurchasedFertiliser_Unit()</f>
        <v>t CO2e</v>
      </c>
    </row>
    <row r="209" spans="1:8" ht="20.100000000000001" customHeight="1" x14ac:dyDescent="0.2">
      <c r="D209" s="113" t="str" cm="1">
        <f t="array" ref="D209:E212">_xlfn.CHOOSECOLS(Scope3_Equations.VEERG_15_4_1_1__1_EmissionsFromPurchasedFertiliser_Arguments(),1,2)</f>
        <v>TM_jf</v>
      </c>
      <c r="E209" s="113" t="str">
        <v>quantity of inorganic fertiliser type f purchased and applied to production system j</v>
      </c>
      <c r="F209" s="113"/>
      <c r="G209" s="113" t="str" cm="1">
        <f t="array" ref="G209:H212">_xlfn.CHOOSECOLS(Scope3_Equations.VEERG_15_4_1_1__1_EmissionsFromPurchasedFertiliser_Arguments(),3,4)</f>
        <v>kg</v>
      </c>
      <c r="H209" s="247" t="str">
        <v>Input</v>
      </c>
    </row>
    <row r="210" spans="1:8" ht="20.100000000000001" customHeight="1" x14ac:dyDescent="0.2">
      <c r="D210" s="113" t="str">
        <v>EF_f</v>
      </c>
      <c r="E210" s="113" t="str">
        <v>emission factor of purchased inorganic fertiliser</v>
      </c>
      <c r="F210" s="113"/>
      <c r="G210" s="113" t="str">
        <v>kg CO2e/kg</v>
      </c>
      <c r="H210" s="115" t="str">
        <v>Constant</v>
      </c>
    </row>
    <row r="211" spans="1:8" ht="20.100000000000001" customHeight="1" x14ac:dyDescent="0.2">
      <c r="D211" s="113" t="str">
        <v>j</v>
      </c>
      <c r="E211" s="121" t="str">
        <v>production system</v>
      </c>
      <c r="F211" s="122"/>
      <c r="G211" s="113" t="str">
        <v/>
      </c>
      <c r="H211" s="247" t="str">
        <v>Input</v>
      </c>
    </row>
    <row r="212" spans="1:8" ht="20.100000000000001" customHeight="1" x14ac:dyDescent="0.2">
      <c r="D212" s="113" t="str">
        <v>f</v>
      </c>
      <c r="E212" s="121" t="str">
        <v>inorganic fertiliser type</v>
      </c>
      <c r="F212" s="122"/>
      <c r="G212" s="113" t="str">
        <v/>
      </c>
      <c r="H212" s="247" t="str">
        <v>Input</v>
      </c>
    </row>
    <row r="215" spans="1:8" ht="20.100000000000001" customHeight="1" x14ac:dyDescent="0.2">
      <c r="D215" s="2" t="str" cm="1">
        <f t="array" ref="D215">Scope3_Equations.VEERG_15_4_1_1__2_EmissionsFromPurchasedFertiliserComponents_Title()</f>
        <v>Emissions from purchased fertiliser components</v>
      </c>
    </row>
    <row r="216" spans="1:8" ht="20.100000000000001" customHeight="1" x14ac:dyDescent="0.2">
      <c r="A216" s="79" t="str">
        <f>HYPERLINK("#A1", "▲ Back to top")</f>
        <v>▲ Back to top</v>
      </c>
      <c r="D216" s="17" t="str" cm="1">
        <f t="array" ref="D216">Scope3_Equations.VEERG_15_4_1_1__2_EmissionsFromPurchasedFertiliserComponents_Source()</f>
        <v>VEERG 2026: 15.4.1.1, Equation (2)</v>
      </c>
    </row>
    <row r="217" spans="1:8" ht="20.100000000000001" customHeight="1" x14ac:dyDescent="0.2">
      <c r="D217" s="25" t="str" cm="1">
        <f t="array" ref="D217">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18" spans="1:8" ht="20.100000000000001" customHeight="1" x14ac:dyDescent="0.2">
      <c r="D218" s="112" t="s">
        <v>321</v>
      </c>
      <c r="E218" s="112" t="str" cm="1">
        <f t="array" aca="1" ref="E218" ca="1">Common_InputFunctions.Utility_DisplayFunctionName(H236)</f>
        <v>=Scope3_Equations.VEERG_15_4_1_1__2_EmissionsFromPurchasedFertiliserComponentsVariation</v>
      </c>
    </row>
    <row r="221" spans="1:8" ht="20.100000000000001" customHeight="1" x14ac:dyDescent="0.2">
      <c r="D221" s="75" t="s">
        <v>322</v>
      </c>
      <c r="E221" s="1" t="str" cm="1">
        <f t="array" ref="E221">Scope3_Equations.VEERG_15_4_1_1__2_EmissionsFromPurchasedFertiliserComponents_Variable()</f>
        <v>E</v>
      </c>
    </row>
    <row r="222" spans="1:8" ht="20.100000000000001" customHeight="1" x14ac:dyDescent="0.2">
      <c r="D222" s="75" t="s">
        <v>118</v>
      </c>
      <c r="E222" s="9" t="str" cm="1">
        <f t="array" ref="E222">Scope3_Equations.VEERG_15_4_1_1__2_EmissionsFromPurchasedFertiliserComponents_Unit()</f>
        <v>t CO2e</v>
      </c>
    </row>
    <row r="224" spans="1:8" ht="20.100000000000001" customHeight="1" x14ac:dyDescent="0.2">
      <c r="D224" s="113" t="str" cm="1">
        <f t="array" ref="D224:E229">_xlfn.CHOOSECOLS(Scope3_Equations.VEERG_15_4_1_1__2_EmissionsFromPurchasedFertiliserComponents_Arguments(),1,2)</f>
        <v>F_cf</v>
      </c>
      <c r="E224" s="121" t="str">
        <v>fraction of component c contained within the inorganic fertiliser f</v>
      </c>
      <c r="F224" s="122"/>
      <c r="G224" s="113" t="str" cm="1">
        <f t="array" ref="G224:H229">_xlfn.CHOOSECOLS(Scope3_Equations.VEERG_15_4_1_1__2_EmissionsFromPurchasedFertiliserComponents_Arguments(),3,4)</f>
        <v>wt%</v>
      </c>
      <c r="H224" s="247" t="str">
        <v>Input</v>
      </c>
    </row>
    <row r="225" spans="4:40" ht="20.100000000000001" customHeight="1" x14ac:dyDescent="0.2">
      <c r="D225" s="113" t="str">
        <v>TM_jf</v>
      </c>
      <c r="E225" s="121" t="str">
        <v>quantity of inorganic fertiliser type f purchased and applied to production system j</v>
      </c>
      <c r="F225" s="122"/>
      <c r="G225" s="113" t="str">
        <v>kg</v>
      </c>
      <c r="H225" s="115" t="str">
        <v>Input</v>
      </c>
    </row>
    <row r="226" spans="4:40" ht="20.100000000000001" customHeight="1" x14ac:dyDescent="0.2">
      <c r="D226" s="113" t="str">
        <v>EF_c</v>
      </c>
      <c r="E226" s="121" t="str">
        <v>emission factor for the production of component c</v>
      </c>
      <c r="F226" s="122"/>
      <c r="G226" s="113" t="str">
        <v>kg CO2e/kg component</v>
      </c>
      <c r="H226" s="115" t="str">
        <v>Constant</v>
      </c>
    </row>
    <row r="227" spans="4:40" ht="20.100000000000001" customHeight="1" x14ac:dyDescent="0.2">
      <c r="D227" s="113" t="str">
        <v>c</v>
      </c>
      <c r="E227" s="121" t="str">
        <v>fertiliser component</v>
      </c>
      <c r="F227" s="122"/>
      <c r="G227" s="113" t="str">
        <v/>
      </c>
      <c r="H227" s="247" t="str">
        <v>Input</v>
      </c>
    </row>
    <row r="228" spans="4:40" ht="20.100000000000001" customHeight="1" x14ac:dyDescent="0.2">
      <c r="D228" s="113" t="str">
        <v>f</v>
      </c>
      <c r="E228" s="121" t="str">
        <v>inorganic fertiliser type</v>
      </c>
      <c r="F228" s="122"/>
      <c r="G228" s="113" t="str">
        <v/>
      </c>
      <c r="H228" s="247" t="str">
        <v>Input</v>
      </c>
    </row>
    <row r="229" spans="4:40" ht="20.100000000000001" customHeight="1" x14ac:dyDescent="0.2">
      <c r="D229" s="113" t="str">
        <v>j</v>
      </c>
      <c r="E229" s="121" t="str">
        <v>production system</v>
      </c>
      <c r="F229" s="122"/>
      <c r="G229" s="113" t="str">
        <v/>
      </c>
      <c r="H229" s="247" t="str">
        <v>Input</v>
      </c>
    </row>
    <row r="231" spans="4:40" ht="20.100000000000001" customHeight="1" x14ac:dyDescent="0.2">
      <c r="D231" s="240" t="s">
        <v>1080</v>
      </c>
    </row>
    <row r="233" spans="4:40" ht="20.100000000000001" customHeight="1" x14ac:dyDescent="0.2">
      <c r="D233" s="35" t="s">
        <v>1081</v>
      </c>
      <c r="E233" s="37"/>
      <c r="F233" s="38"/>
    </row>
    <row r="235" spans="4:40" ht="20.100000000000001" customHeight="1" x14ac:dyDescent="0.2">
      <c r="D235" s="78" t="s">
        <v>132</v>
      </c>
      <c r="E235" s="78" t="s">
        <v>1082</v>
      </c>
      <c r="F235" s="120" t="s">
        <v>1083</v>
      </c>
      <c r="G235" s="120" t="s">
        <v>1084</v>
      </c>
      <c r="H235" s="120" t="s">
        <v>1085</v>
      </c>
      <c r="I235" s="78" t="s">
        <v>1086</v>
      </c>
      <c r="J235" s="120" t="s">
        <v>1087</v>
      </c>
      <c r="K235" s="120" t="s">
        <v>1088</v>
      </c>
      <c r="L235" s="78" t="s">
        <v>1041</v>
      </c>
      <c r="M235" s="78" t="s">
        <v>1042</v>
      </c>
      <c r="N235" s="78" t="s">
        <v>1043</v>
      </c>
      <c r="O235" s="120" t="s">
        <v>703</v>
      </c>
      <c r="P235" s="120" t="s">
        <v>704</v>
      </c>
      <c r="Q235" s="120" t="s">
        <v>688</v>
      </c>
      <c r="R235" s="120" t="s">
        <v>689</v>
      </c>
      <c r="S235" s="120" t="s">
        <v>1089</v>
      </c>
      <c r="T235" s="78" t="s">
        <v>1090</v>
      </c>
      <c r="U235" s="120" t="s">
        <v>690</v>
      </c>
      <c r="V235" s="120" t="s">
        <v>691</v>
      </c>
      <c r="W235" s="120" t="s">
        <v>1091</v>
      </c>
      <c r="X235" s="78" t="s">
        <v>1092</v>
      </c>
      <c r="Y235" s="120" t="s">
        <v>692</v>
      </c>
      <c r="Z235" s="120" t="s">
        <v>693</v>
      </c>
      <c r="AA235" s="120" t="s">
        <v>1093</v>
      </c>
      <c r="AB235" s="78" t="s">
        <v>1094</v>
      </c>
      <c r="AC235" s="120" t="s">
        <v>694</v>
      </c>
      <c r="AD235" s="120" t="s">
        <v>695</v>
      </c>
      <c r="AE235" s="120" t="s">
        <v>1095</v>
      </c>
      <c r="AF235" s="78" t="s">
        <v>1096</v>
      </c>
      <c r="AG235" s="120" t="s">
        <v>696</v>
      </c>
      <c r="AH235" s="120" t="s">
        <v>697</v>
      </c>
      <c r="AI235" s="120" t="s">
        <v>1097</v>
      </c>
      <c r="AJ235" s="78" t="s">
        <v>1098</v>
      </c>
      <c r="AK235" s="120" t="s">
        <v>698</v>
      </c>
      <c r="AL235" s="120" t="s">
        <v>699</v>
      </c>
      <c r="AM235" s="120" t="s">
        <v>1099</v>
      </c>
      <c r="AN235" s="78" t="s">
        <v>1100</v>
      </c>
    </row>
    <row r="236" spans="4: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v>
      </c>
      <c r="F236" s="15" cm="1">
        <f t="array" ref="F236">Scope3_Equations.VEERG_15_4_1_1__X_EmissionFactorFromPurchasedFertiliserComponents(R236,S236)+
Scope3_Equations.VEERG_15_4_1_1__X_EmissionFactorFromPurchasedFertiliserComponents(V236,W236)+
Scope3_Equations.VEERG_15_4_1_1__X_EmissionFactorFromPurchasedFertiliserComponents(Z236,AA236)+
Scope3_Equations.VEERG_15_4_1_1__X_EmissionFactorFromPurchasedFertiliserComponents(AD236,AE236)+
Scope3_Equations.VEERG_15_4_1_1__X_EmissionFactorFromPurchasedFertiliserComponents(AH236,AI236)+
Scope3_Equations.VEERG_15_4_1_1__X_EmissionFactorFromPurchasedFertiliserComponents(AL236,AM236)</f>
        <v>0.96799999999999997</v>
      </c>
      <c r="G236" s="249" cm="1">
        <f t="array" ref="G236">Scope3_Equations.VEERG_15_4_1_1__1_EmissionsFromPurchasedFertiliser(E236,F236)</f>
        <v>9.68</v>
      </c>
      <c r="H236" s="15" cm="1">
        <f t="array" ref="H236">Scope3_Equations.VEERG_15_4_1_1__2_EmissionsFromPurchasedFertiliserComponentsVariation(R236, $E236,S236)+
Scope3_Equations.VEERG_15_4_1_1__2_EmissionsFromPurchasedFertiliserComponentsVariation(V236, $E236,W236)+
Scope3_Equations.VEERG_15_4_1_1__2_EmissionsFromPurchasedFertiliserComponentsVariation(Z236, $E236,AA236)+
Scope3_Equations.VEERG_15_4_1_1__2_EmissionsFromPurchasedFertiliserComponentsVariation(AD236, $E236,AE236)+
Scope3_Equations.VEERG_15_4_1_1__2_EmissionsFromPurchasedFertiliserComponentsVariation(AH236, $E236,AI236)+
Scope3_Equations.VEERG_15_4_1_1__2_EmissionsFromPurchasedFertiliserComponentsVariation(AL236, $E236,AM236)</f>
        <v>9.68</v>
      </c>
      <c r="I236" s="74">
        <v>0.4</v>
      </c>
      <c r="J236" s="249" cm="1">
        <f t="array" ref="J236">Scope3_Equations.VEERG_15_4_1_1__1_EmissionsFromPurchasedFertiliser(E236,I236)</f>
        <v>4</v>
      </c>
      <c r="K236" s="249" cm="1">
        <f t="array" ref="K236">Scope3_Equations.VEERG_15_4_1_1__2_EmissionsFromPurchasedFertiliserComponentsVariation(R236, $E236,IF(T236,T236,S236))+
Scope3_Equations.VEERG_15_4_1_1__2_EmissionsFromPurchasedFertiliserComponentsVariation(V236, $E236,IF(X236,X236,W236))+
Scope3_Equations.VEERG_15_4_1_1__2_EmissionsFromPurchasedFertiliserComponentsVariation(Z236, $E236,IF(AB236,AB236,AA236))+
Scope3_Equations.VEERG_15_4_1_1__2_EmissionsFromPurchasedFertiliserComponentsVariation(AD236, $E236,IF(AF236,AF236,AE236))+
Scope3_Equations.VEERG_15_4_1_1__2_EmissionsFromPurchasedFertiliserComponentsVariation(AH236, $E236,IF(AJ236,AJ236,AI236))+
Scope3_Equations.VEERG_15_4_1_1__2_EmissionsFromPurchasedFertiliserComponentsVariation(AL236, $E236,IF(AN236,AN236,AM236))</f>
        <v>9</v>
      </c>
      <c r="L236" s="33"/>
      <c r="M236" s="13"/>
      <c r="N236"/>
      <c r="O236" s="15" t="str" cm="1">
        <f t="array" ref="O236:O245">IFERROR(INDEX(Table_Input_InorganicFertiliser_Brands[Urea source], _xlfn.SEQUENCE(10)), "")</f>
        <v/>
      </c>
      <c r="P236" s="15" t="str" cm="1">
        <f t="array" ref="P236:P245">IFERROR(INDEX(Table_Input_InorganicFertiliser_Brands[Ammonia source], _xlfn.SEQUENCE(10)), "")</f>
        <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0.96799999999999997</v>
      </c>
      <c r="T236" s="74">
        <v>0.9</v>
      </c>
      <c r="U236" s="15" t="str" cm="1">
        <f t="array" ref="U236:U245">IFERROR(INDEX(Table_Input_InorganicFertiliser_Brands[Ingredient 2], _xlfn.SEQUENCE(10)), "")</f>
        <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4">
        <v>0.9</v>
      </c>
      <c r="Y236" s="15" t="str" cm="1">
        <f t="array" ref="Y236:Y245">IFERROR(INDEX(Table_Input_InorganicFertiliser_Brands[Ingredient 3], _xlfn.SEQUENCE(10)), "")</f>
        <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4">
        <v>4</v>
      </c>
      <c r="AC236" s="15" t="str" cm="1">
        <f t="array" ref="AC236:AC245">IFERROR(INDEX(Table_Input_InorganicFertiliser_Brands[Ingredient 4], _xlfn.SEQUENCE(10)), "")</f>
        <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4">
        <v>0</v>
      </c>
      <c r="AG236" s="15" t="str" cm="1">
        <f t="array" ref="AG236:AG245">IFERROR(INDEX(Table_Input_InorganicFertiliser_Brands[Ingredient 5], _xlfn.SEQUENCE(10)), "")</f>
        <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4">
        <v>0</v>
      </c>
      <c r="AK236" s="15" t="str" cm="1">
        <f t="array" ref="AK236:AK245">IFERROR(INDEX(Table_Input_InorganicFertiliser_Brands[Ingredient 6], _xlfn.SEQUENCE(10)), "")</f>
        <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4"/>
    </row>
    <row r="237" spans="4:40" ht="20.100000000000001" customHeight="1" x14ac:dyDescent="0.2">
      <c r="D237" s="15" t="str">
        <v>Boost-It</v>
      </c>
      <c r="E237" s="15">
        <v>10000</v>
      </c>
      <c r="F237" s="1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
Scope3_Equations.VEERG_15_4_1_1__X_EmissionFactorFromPurchasedFertiliserComponents(AH237,AI237)+
Scope3_Equations.VEERG_15_4_1_1__X_EmissionFactorFromPurchasedFertiliserComponents(AL237,AM237)</f>
        <v>0.9161833519999999</v>
      </c>
      <c r="G237" s="249" cm="1">
        <f t="array" ref="G237">Scope3_Equations.VEERG_15_4_1_1__1_EmissionsFromPurchasedFertiliser(E237,F237)</f>
        <v>9.1618335199999983</v>
      </c>
      <c r="H237" s="1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
Scope3_Equations.VEERG_15_4_1_1__2_EmissionsFromPurchasedFertiliserComponentsVariation(AH237, $E237,AI237)+
Scope3_Equations.VEERG_15_4_1_1__2_EmissionsFromPurchasedFertiliserComponentsVariation(AL237, $E237,AM237)</f>
        <v>9.1618335199999983</v>
      </c>
      <c r="I237" s="74">
        <v>0.9</v>
      </c>
      <c r="J237" s="249" cm="1">
        <f t="array" ref="J237">Scope3_Equations.VEERG_15_4_1_1__1_EmissionsFromPurchasedFertiliser(E237,I237)</f>
        <v>9</v>
      </c>
      <c r="K237" s="249"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
Scope3_Equations.VEERG_15_4_1_1__2_EmissionsFromPurchasedFertiliserComponentsVariation(AH237, $E237,IF(AJ237,AJ237,AI237))+
Scope3_Equations.VEERG_15_4_1_1__2_EmissionsFromPurchasedFertiliserComponentsVariation(AL237, $E237,IF(AN237,AN237,AM237))</f>
        <v>9.1618335199999983</v>
      </c>
      <c r="L237" s="33"/>
      <c r="M237" s="13"/>
      <c r="N237" s="33"/>
      <c r="O237" s="15" t="str">
        <v/>
      </c>
      <c r="P237" s="15" t="str">
        <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0.96799999999999997</v>
      </c>
      <c r="T237" s="74"/>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4"/>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4"/>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4"/>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4"/>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4"/>
    </row>
    <row r="238" spans="4:40" ht="20.100000000000001" customHeight="1" x14ac:dyDescent="0.2">
      <c r="D238" s="15" t="str">
        <v>Cal-Gran 50/50</v>
      </c>
      <c r="E238" s="15">
        <v>10000</v>
      </c>
      <c r="F238" s="1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
Scope3_Equations.VEERG_15_4_1_1__X_EmissionFactorFromPurchasedFertiliserComponents(AH238,AI238)+
Scope3_Equations.VEERG_15_4_1_1__X_EmissionFactorFromPurchasedFertiliserComponents(AL238,AM238)</f>
        <v>0.8781199999999999</v>
      </c>
      <c r="G238" s="249" cm="1">
        <f t="array" ref="G238">Scope3_Equations.VEERG_15_4_1_1__1_EmissionsFromPurchasedFertiliser(E238,F238)</f>
        <v>8.7811999999999983</v>
      </c>
      <c r="H238" s="1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
Scope3_Equations.VEERG_15_4_1_1__2_EmissionsFromPurchasedFertiliserComponentsVariation(AH238, $E238,AI238)+
Scope3_Equations.VEERG_15_4_1_1__2_EmissionsFromPurchasedFertiliserComponentsVariation(AL238, $E238,AM238)</f>
        <v>8.7812000000000001</v>
      </c>
      <c r="I238" s="74">
        <v>0.4</v>
      </c>
      <c r="J238" s="249" cm="1">
        <f t="array" ref="J238">Scope3_Equations.VEERG_15_4_1_1__1_EmissionsFromPurchasedFertiliser(E238,I238)</f>
        <v>4</v>
      </c>
      <c r="K238" s="249"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
Scope3_Equations.VEERG_15_4_1_1__2_EmissionsFromPurchasedFertiliserComponentsVariation(AH238, $E238,IF(AJ238,AJ238,AI238))+
Scope3_Equations.VEERG_15_4_1_1__2_EmissionsFromPurchasedFertiliserComponentsVariation(AL238, $E238,IF(AN238,AN238,AM238))</f>
        <v>8.7812000000000001</v>
      </c>
      <c r="L238" s="33"/>
      <c r="M238" s="13"/>
      <c r="N238" s="33"/>
      <c r="O238" s="15" t="str">
        <v/>
      </c>
      <c r="P238" s="15" t="str">
        <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4"/>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4"/>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4"/>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4"/>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4"/>
      <c r="AK238" s="15" t="str">
        <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4"/>
    </row>
    <row r="239" spans="4:40" ht="20.100000000000001" customHeight="1" x14ac:dyDescent="0.2">
      <c r="D239" s="15">
        <v>0</v>
      </c>
      <c r="E239" s="15">
        <v>0</v>
      </c>
      <c r="F239" s="1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
Scope3_Equations.VEERG_15_4_1_1__X_EmissionFactorFromPurchasedFertiliserComponents(AH239,AI239)+
Scope3_Equations.VEERG_15_4_1_1__X_EmissionFactorFromPurchasedFertiliserComponents(AL239,AM239)</f>
        <v>0</v>
      </c>
      <c r="G239" s="249" cm="1">
        <f t="array" ref="G239">Scope3_Equations.VEERG_15_4_1_1__1_EmissionsFromPurchasedFertiliser(E239,F239)</f>
        <v>0</v>
      </c>
      <c r="H239" s="1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
Scope3_Equations.VEERG_15_4_1_1__2_EmissionsFromPurchasedFertiliserComponentsVariation(AH239, $E239,AI239)+
Scope3_Equations.VEERG_15_4_1_1__2_EmissionsFromPurchasedFertiliserComponentsVariation(AL239, $E239,AM239)</f>
        <v>0</v>
      </c>
      <c r="I239" s="74"/>
      <c r="J239" s="249" cm="1">
        <f t="array" ref="J239">Scope3_Equations.VEERG_15_4_1_1__1_EmissionsFromPurchasedFertiliser(E239,I239)</f>
        <v>0</v>
      </c>
      <c r="K239" s="249"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
Scope3_Equations.VEERG_15_4_1_1__2_EmissionsFromPurchasedFertiliserComponentsVariation(AH239, $E239,IF(AJ239,AJ239,AI239))+
Scope3_Equations.VEERG_15_4_1_1__2_EmissionsFromPurchasedFertiliserComponentsVariation(AL239, $E239,IF(AN239,AN239,AM239))</f>
        <v>0</v>
      </c>
      <c r="L239" s="33"/>
      <c r="M239" s="13"/>
      <c r="N239" s="33"/>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4"/>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4"/>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4"/>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4"/>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4"/>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4"/>
    </row>
    <row r="240" spans="4:40" ht="20.100000000000001" customHeight="1" x14ac:dyDescent="0.2">
      <c r="D240" s="15">
        <v>0</v>
      </c>
      <c r="E240" s="15">
        <v>0</v>
      </c>
      <c r="F240" s="1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
Scope3_Equations.VEERG_15_4_1_1__X_EmissionFactorFromPurchasedFertiliserComponents(AH240,AI240)+
Scope3_Equations.VEERG_15_4_1_1__X_EmissionFactorFromPurchasedFertiliserComponents(AL240,AM240)</f>
        <v>0</v>
      </c>
      <c r="G240" s="249" cm="1">
        <f t="array" ref="G240">Scope3_Equations.VEERG_15_4_1_1__1_EmissionsFromPurchasedFertiliser(E240,F240)</f>
        <v>0</v>
      </c>
      <c r="H240" s="1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
Scope3_Equations.VEERG_15_4_1_1__2_EmissionsFromPurchasedFertiliserComponentsVariation(AH240, $E240,AI240)+
Scope3_Equations.VEERG_15_4_1_1__2_EmissionsFromPurchasedFertiliserComponentsVariation(AL240, $E240,AM240)</f>
        <v>0</v>
      </c>
      <c r="I240" s="74"/>
      <c r="J240" s="249" cm="1">
        <f t="array" ref="J240">Scope3_Equations.VEERG_15_4_1_1__1_EmissionsFromPurchasedFertiliser(E240,I240)</f>
        <v>0</v>
      </c>
      <c r="K240" s="249"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
Scope3_Equations.VEERG_15_4_1_1__2_EmissionsFromPurchasedFertiliserComponentsVariation(AH240, $E240,IF(AJ240,AJ240,AI240))+
Scope3_Equations.VEERG_15_4_1_1__2_EmissionsFromPurchasedFertiliserComponentsVariation(AL240, $E240,IF(AN240,AN240,AM240))</f>
        <v>0</v>
      </c>
      <c r="L240" s="33"/>
      <c r="M240" s="13"/>
      <c r="N240" s="33"/>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4"/>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4"/>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4"/>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4"/>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4"/>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4"/>
    </row>
    <row r="241" spans="1:40" ht="20.100000000000001" customHeight="1" x14ac:dyDescent="0.2">
      <c r="D241" s="15">
        <v>0</v>
      </c>
      <c r="E241" s="15">
        <v>0</v>
      </c>
      <c r="F241" s="1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
Scope3_Equations.VEERG_15_4_1_1__X_EmissionFactorFromPurchasedFertiliserComponents(AH241,AI241)+
Scope3_Equations.VEERG_15_4_1_1__X_EmissionFactorFromPurchasedFertiliserComponents(AL241,AM241)</f>
        <v>0</v>
      </c>
      <c r="G241" s="249" cm="1">
        <f t="array" ref="G241">Scope3_Equations.VEERG_15_4_1_1__1_EmissionsFromPurchasedFertiliser(E241,F241)</f>
        <v>0</v>
      </c>
      <c r="H241" s="1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
Scope3_Equations.VEERG_15_4_1_1__2_EmissionsFromPurchasedFertiliserComponentsVariation(AH241, $E241,AI241)+
Scope3_Equations.VEERG_15_4_1_1__2_EmissionsFromPurchasedFertiliserComponentsVariation(AL241, $E241,AM241)</f>
        <v>0</v>
      </c>
      <c r="I241" s="74"/>
      <c r="J241" s="249" cm="1">
        <f t="array" ref="J241">Scope3_Equations.VEERG_15_4_1_1__1_EmissionsFromPurchasedFertiliser(E241,I241)</f>
        <v>0</v>
      </c>
      <c r="K241" s="249"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
Scope3_Equations.VEERG_15_4_1_1__2_EmissionsFromPurchasedFertiliserComponentsVariation(AH241, $E241,IF(AJ241,AJ241,AI241))+
Scope3_Equations.VEERG_15_4_1_1__2_EmissionsFromPurchasedFertiliserComponentsVariation(AL241, $E241,IF(AN241,AN241,AM241))</f>
        <v>0</v>
      </c>
      <c r="L241" s="33"/>
      <c r="M241" s="13"/>
      <c r="N241" s="33"/>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4"/>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4"/>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4"/>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4"/>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4"/>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4"/>
    </row>
    <row r="242" spans="1:40" ht="20.100000000000001" customHeight="1" x14ac:dyDescent="0.2">
      <c r="D242" s="15">
        <v>0</v>
      </c>
      <c r="E242" s="15">
        <v>0</v>
      </c>
      <c r="F242" s="1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
Scope3_Equations.VEERG_15_4_1_1__X_EmissionFactorFromPurchasedFertiliserComponents(AH242,AI242)+
Scope3_Equations.VEERG_15_4_1_1__X_EmissionFactorFromPurchasedFertiliserComponents(AL242,AM242)</f>
        <v>0</v>
      </c>
      <c r="G242" s="249" cm="1">
        <f t="array" ref="G242">Scope3_Equations.VEERG_15_4_1_1__1_EmissionsFromPurchasedFertiliser(E242,F242)</f>
        <v>0</v>
      </c>
      <c r="H242" s="1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
Scope3_Equations.VEERG_15_4_1_1__2_EmissionsFromPurchasedFertiliserComponentsVariation(AH242, $E242,AI242)+
Scope3_Equations.VEERG_15_4_1_1__2_EmissionsFromPurchasedFertiliserComponentsVariation(AL242, $E242,AM242)</f>
        <v>0</v>
      </c>
      <c r="I242" s="74"/>
      <c r="J242" s="249" cm="1">
        <f t="array" ref="J242">Scope3_Equations.VEERG_15_4_1_1__1_EmissionsFromPurchasedFertiliser(E242,I242)</f>
        <v>0</v>
      </c>
      <c r="K242" s="249"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
Scope3_Equations.VEERG_15_4_1_1__2_EmissionsFromPurchasedFertiliserComponentsVariation(AH242, $E242,IF(AJ242,AJ242,AI242))+
Scope3_Equations.VEERG_15_4_1_1__2_EmissionsFromPurchasedFertiliserComponentsVariation(AL242, $E242,IF(AN242,AN242,AM242))</f>
        <v>0</v>
      </c>
      <c r="L242" s="33"/>
      <c r="M242" s="13"/>
      <c r="N242" s="33"/>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4"/>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4"/>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4"/>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4"/>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4"/>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4"/>
    </row>
    <row r="243" spans="1:40" ht="20.100000000000001" customHeight="1" x14ac:dyDescent="0.2">
      <c r="D243" s="15">
        <v>0</v>
      </c>
      <c r="E243" s="15">
        <v>0</v>
      </c>
      <c r="F243" s="1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
Scope3_Equations.VEERG_15_4_1_1__X_EmissionFactorFromPurchasedFertiliserComponents(AH243,AI243)+
Scope3_Equations.VEERG_15_4_1_1__X_EmissionFactorFromPurchasedFertiliserComponents(AL243,AM243)</f>
        <v>0</v>
      </c>
      <c r="G243" s="249" cm="1">
        <f t="array" ref="G243">Scope3_Equations.VEERG_15_4_1_1__1_EmissionsFromPurchasedFertiliser(E243,F243)</f>
        <v>0</v>
      </c>
      <c r="H243" s="1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
Scope3_Equations.VEERG_15_4_1_1__2_EmissionsFromPurchasedFertiliserComponentsVariation(AH243, $E243,AI243)+
Scope3_Equations.VEERG_15_4_1_1__2_EmissionsFromPurchasedFertiliserComponentsVariation(AL243, $E243,AM243)</f>
        <v>0</v>
      </c>
      <c r="I243" s="74"/>
      <c r="J243" s="249" cm="1">
        <f t="array" ref="J243">Scope3_Equations.VEERG_15_4_1_1__1_EmissionsFromPurchasedFertiliser(E243,I243)</f>
        <v>0</v>
      </c>
      <c r="K243" s="249"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
Scope3_Equations.VEERG_15_4_1_1__2_EmissionsFromPurchasedFertiliserComponentsVariation(AH243, $E243,IF(AJ243,AJ243,AI243))+
Scope3_Equations.VEERG_15_4_1_1__2_EmissionsFromPurchasedFertiliserComponentsVariation(AL243, $E243,IF(AN243,AN243,AM243))</f>
        <v>0</v>
      </c>
      <c r="L243" s="33"/>
      <c r="M243" s="13"/>
      <c r="N243" s="33"/>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4"/>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4"/>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4"/>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4"/>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4"/>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4"/>
    </row>
    <row r="244" spans="1:40" ht="20.100000000000001" customHeight="1" x14ac:dyDescent="0.2">
      <c r="D244" s="15">
        <v>0</v>
      </c>
      <c r="E244" s="15">
        <v>0</v>
      </c>
      <c r="F244" s="1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
Scope3_Equations.VEERG_15_4_1_1__X_EmissionFactorFromPurchasedFertiliserComponents(AH244,AI244)+
Scope3_Equations.VEERG_15_4_1_1__X_EmissionFactorFromPurchasedFertiliserComponents(AL244,AM244)</f>
        <v>0</v>
      </c>
      <c r="G244" s="249" cm="1">
        <f t="array" ref="G244">Scope3_Equations.VEERG_15_4_1_1__1_EmissionsFromPurchasedFertiliser(E244,F244)</f>
        <v>0</v>
      </c>
      <c r="H244" s="1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
Scope3_Equations.VEERG_15_4_1_1__2_EmissionsFromPurchasedFertiliserComponentsVariation(AH244, $E244,AI244)+
Scope3_Equations.VEERG_15_4_1_1__2_EmissionsFromPurchasedFertiliserComponentsVariation(AL244, $E244,AM244)</f>
        <v>0</v>
      </c>
      <c r="I244" s="74"/>
      <c r="J244" s="249" cm="1">
        <f t="array" ref="J244">Scope3_Equations.VEERG_15_4_1_1__1_EmissionsFromPurchasedFertiliser(E244,I244)</f>
        <v>0</v>
      </c>
      <c r="K244" s="249"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
Scope3_Equations.VEERG_15_4_1_1__2_EmissionsFromPurchasedFertiliserComponentsVariation(AH244, $E244,IF(AJ244,AJ244,AI244))+
Scope3_Equations.VEERG_15_4_1_1__2_EmissionsFromPurchasedFertiliserComponentsVariation(AL244, $E244,IF(AN244,AN244,AM244))</f>
        <v>0</v>
      </c>
      <c r="L244" s="33"/>
      <c r="M244" s="13"/>
      <c r="N244" s="33"/>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4"/>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4"/>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4"/>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4"/>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4"/>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4"/>
    </row>
    <row r="245" spans="1:40" ht="20.100000000000001" customHeight="1" x14ac:dyDescent="0.2">
      <c r="D245" s="15">
        <v>0</v>
      </c>
      <c r="E245" s="15">
        <v>0</v>
      </c>
      <c r="F245" s="1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
Scope3_Equations.VEERG_15_4_1_1__X_EmissionFactorFromPurchasedFertiliserComponents(AH245,AI245)+
Scope3_Equations.VEERG_15_4_1_1__X_EmissionFactorFromPurchasedFertiliserComponents(AL245,AM245)</f>
        <v>0</v>
      </c>
      <c r="G245" s="249" cm="1">
        <f t="array" ref="G245">Scope3_Equations.VEERG_15_4_1_1__1_EmissionsFromPurchasedFertiliser(E245,F245)</f>
        <v>0</v>
      </c>
      <c r="H245" s="1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
Scope3_Equations.VEERG_15_4_1_1__2_EmissionsFromPurchasedFertiliserComponentsVariation(AH245, $E245,AI245)+
Scope3_Equations.VEERG_15_4_1_1__2_EmissionsFromPurchasedFertiliserComponentsVariation(AL245, $E245,AM245)</f>
        <v>0</v>
      </c>
      <c r="I245" s="74"/>
      <c r="J245" s="249" cm="1">
        <f t="array" ref="J245">Scope3_Equations.VEERG_15_4_1_1__1_EmissionsFromPurchasedFertiliser(E245,I245)</f>
        <v>0</v>
      </c>
      <c r="K245" s="249"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
Scope3_Equations.VEERG_15_4_1_1__2_EmissionsFromPurchasedFertiliserComponentsVariation(AH245, $E245,IF(AJ245,AJ245,AI245))+
Scope3_Equations.VEERG_15_4_1_1__2_EmissionsFromPurchasedFertiliserComponentsVariation(AL245, $E245,IF(AN245,AN245,AM245))</f>
        <v>0</v>
      </c>
      <c r="L245" s="33"/>
      <c r="M245" s="13"/>
      <c r="N245" s="33"/>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4"/>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4"/>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4"/>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4"/>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4"/>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4"/>
    </row>
    <row r="246" spans="1:40" ht="20.100000000000001" customHeight="1" x14ac:dyDescent="0.2">
      <c r="A246" s="79" t="str">
        <f>HYPERLINK("#A1", "▲ Back to top")</f>
        <v>▲ Back to top</v>
      </c>
    </row>
    <row r="247" spans="1:40" ht="20.100000000000001" customHeight="1" x14ac:dyDescent="0.2">
      <c r="D247" s="240" t="s">
        <v>1101</v>
      </c>
    </row>
    <row r="249" spans="1:40" ht="20.100000000000001" customHeight="1" x14ac:dyDescent="0.2">
      <c r="D249" s="35" t="s">
        <v>1102</v>
      </c>
      <c r="E249" s="37"/>
      <c r="F249" s="38"/>
    </row>
    <row r="251" spans="1:40" ht="20.100000000000001" customHeight="1" x14ac:dyDescent="0.2">
      <c r="D251" s="78" t="s">
        <v>1064</v>
      </c>
      <c r="E251" s="78" t="s">
        <v>1082</v>
      </c>
      <c r="F251" s="120" t="s">
        <v>1083</v>
      </c>
      <c r="G251" s="120" t="s">
        <v>1084</v>
      </c>
      <c r="H251" s="120" t="s">
        <v>1085</v>
      </c>
      <c r="I251" s="78" t="s">
        <v>1086</v>
      </c>
      <c r="J251" s="120" t="s">
        <v>1087</v>
      </c>
      <c r="K251" s="120" t="s">
        <v>1088</v>
      </c>
      <c r="L251" s="78" t="s">
        <v>1041</v>
      </c>
      <c r="M251" s="78" t="s">
        <v>1042</v>
      </c>
      <c r="N251" s="78" t="s">
        <v>1043</v>
      </c>
      <c r="O251" s="120" t="s">
        <v>703</v>
      </c>
      <c r="P251" s="120" t="s">
        <v>704</v>
      </c>
      <c r="Q251" s="120" t="s">
        <v>688</v>
      </c>
      <c r="R251" s="120" t="s">
        <v>689</v>
      </c>
      <c r="S251" s="120" t="s">
        <v>1089</v>
      </c>
      <c r="T251" s="78" t="s">
        <v>1090</v>
      </c>
      <c r="U251" s="120" t="s">
        <v>690</v>
      </c>
      <c r="V251" s="120" t="s">
        <v>691</v>
      </c>
      <c r="W251" s="120" t="s">
        <v>1091</v>
      </c>
      <c r="X251" s="78" t="s">
        <v>1092</v>
      </c>
      <c r="Y251" s="120" t="s">
        <v>692</v>
      </c>
      <c r="Z251" s="120" t="s">
        <v>693</v>
      </c>
      <c r="AA251" s="120" t="s">
        <v>1093</v>
      </c>
      <c r="AB251" s="78" t="s">
        <v>1094</v>
      </c>
      <c r="AC251" s="120" t="s">
        <v>694</v>
      </c>
      <c r="AD251" s="120" t="s">
        <v>695</v>
      </c>
      <c r="AE251" s="120" t="s">
        <v>1095</v>
      </c>
      <c r="AF251" s="78" t="s">
        <v>1096</v>
      </c>
    </row>
    <row r="252" spans="1: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v>
      </c>
      <c r="F252" s="15" cm="1">
        <f t="array" ref="F252">Scope3_Equations.VEERG_15_4_1_1__X_EmissionFactorFromPurchasedFertiliserComponents(R252,S252)+
Scope3_Equations.VEERG_15_4_1_1__X_EmissionFactorFromPurchasedFertiliserComponents(V252,W252)+
Scope3_Equations.VEERG_15_4_1_1__X_EmissionFactorFromPurchasedFertiliserComponents(Z252,AA252)+
Scope3_Equations.VEERG_15_4_1_1__X_EmissionFactorFromPurchasedFertiliserComponents(AD252,AE252)</f>
        <v>1.7707999999999999</v>
      </c>
      <c r="G252" s="249" cm="1">
        <f t="array" ref="G252">Scope3_Equations.VEERG_15_4_1_1__1_EmissionsFromPurchasedFertiliser(E252,F252)</f>
        <v>17.708000000000002</v>
      </c>
      <c r="H252" s="15" cm="1">
        <f t="array" ref="H252">Scope3_Equations.VEERG_15_4_1_1__2_EmissionsFromPurchasedFertiliserComponentsVariation(R252, $E252,S252)+
Scope3_Equations.VEERG_15_4_1_1__2_EmissionsFromPurchasedFertiliserComponentsVariation(V252, $E252,W252)+
Scope3_Equations.VEERG_15_4_1_1__2_EmissionsFromPurchasedFertiliserComponentsVariation(Z252, $E252,AA252)+
Scope3_Equations.VEERG_15_4_1_1__2_EmissionsFromPurchasedFertiliserComponentsVariation(AD252, $E252,AE252)</f>
        <v>17.707999999999998</v>
      </c>
      <c r="I252" s="74">
        <v>0.4</v>
      </c>
      <c r="J252" s="249" cm="1">
        <f t="array" ref="J252">Scope3_Equations.VEERG_15_4_1_1__1_EmissionsFromPurchasedFertiliser(E252,I252)</f>
        <v>4</v>
      </c>
      <c r="K252" s="249" cm="1">
        <f t="array" ref="K252">Scope3_Equations.VEERG_15_4_1_1__2_EmissionsFromPurchasedFertiliserComponentsVariation(R252, $E252,IF(T252,T252,S252))+
Scope3_Equations.VEERG_15_4_1_1__2_EmissionsFromPurchasedFertiliserComponentsVariation(V252, $E252,IF(X252,X252,W252))+
Scope3_Equations.VEERG_15_4_1_1__2_EmissionsFromPurchasedFertiliserComponentsVariation(Z252, $E252,IF(AB252,AB252,AA252))+
Scope3_Equations.VEERG_15_4_1_1__2_EmissionsFromPurchasedFertiliserComponentsVariation(AD252, $E252,IF(AF252,AF252,AE252))</f>
        <v>16.8</v>
      </c>
      <c r="L252" s="33"/>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4">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4">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4">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4">
        <v>0</v>
      </c>
    </row>
    <row r="253" spans="1:40" ht="20.100000000000001" customHeight="1" x14ac:dyDescent="0.2">
      <c r="D253" s="15" t="str">
        <v>My second custom blend</v>
      </c>
      <c r="E253" s="15">
        <v>10000</v>
      </c>
      <c r="F253" s="15" cm="1">
        <f t="array" ref="F253">Scope3_Equations.VEERG_15_4_1_1__X_EmissionFactorFromPurchasedFertiliserComponents(R253,S253)+
Scope3_Equations.VEERG_15_4_1_1__X_EmissionFactorFromPurchasedFertiliserComponents(V253,W253)+
Scope3_Equations.VEERG_15_4_1_1__X_EmissionFactorFromPurchasedFertiliserComponents(Z253,AA253)+
Scope3_Equations.VEERG_15_4_1_1__X_EmissionFactorFromPurchasedFertiliserComponents(AD253,AE253)</f>
        <v>0.96799999999999997</v>
      </c>
      <c r="G253" s="249" cm="1">
        <f t="array" ref="G253">Scope3_Equations.VEERG_15_4_1_1__1_EmissionsFromPurchasedFertiliser(E253,F253)</f>
        <v>9.68</v>
      </c>
      <c r="H253" s="15" cm="1">
        <f t="array" ref="H253">Scope3_Equations.VEERG_15_4_1_1__2_EmissionsFromPurchasedFertiliserComponentsVariation(R253, $E253,S253)+
Scope3_Equations.VEERG_15_4_1_1__2_EmissionsFromPurchasedFertiliserComponentsVariation(V253, $E253,W253)+
Scope3_Equations.VEERG_15_4_1_1__2_EmissionsFromPurchasedFertiliserComponentsVariation(Z253, $E253,AA253)+
Scope3_Equations.VEERG_15_4_1_1__2_EmissionsFromPurchasedFertiliserComponentsVariation(AD253, $E253,AE253)</f>
        <v>9.68</v>
      </c>
      <c r="I253" s="74">
        <v>0.9</v>
      </c>
      <c r="J253" s="249" cm="1">
        <f t="array" ref="J253">Scope3_Equations.VEERG_15_4_1_1__1_EmissionsFromPurchasedFertiliser(E253,I253)</f>
        <v>9</v>
      </c>
      <c r="K253" s="249" cm="1">
        <f t="array" ref="K253">Scope3_Equations.VEERG_15_4_1_1__2_EmissionsFromPurchasedFertiliserComponentsVariation(R253, $E253,IF(T253,T253,S253))+
Scope3_Equations.VEERG_15_4_1_1__2_EmissionsFromPurchasedFertiliserComponentsVariation(V253, $E253,IF(X253,X253,W253))+
Scope3_Equations.VEERG_15_4_1_1__2_EmissionsFromPurchasedFertiliserComponentsVariation(Z253, $E253,IF(AB253,AB253,AA253))+
Scope3_Equations.VEERG_15_4_1_1__2_EmissionsFromPurchasedFertiliserComponentsVariation(AD253, $E253,IF(AF253,AF253,AE253))</f>
        <v>9.68</v>
      </c>
      <c r="L253" s="33"/>
      <c r="M253" s="13"/>
      <c r="N253" s="33"/>
      <c r="O253" s="250" t="str">
        <v/>
      </c>
      <c r="P253" s="250"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4"/>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4"/>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4"/>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4"/>
    </row>
    <row r="254" spans="1:40" ht="20.100000000000001" customHeight="1" x14ac:dyDescent="0.2">
      <c r="D254" s="15" t="str">
        <v>My third custom blend</v>
      </c>
      <c r="E254" s="15">
        <v>10000</v>
      </c>
      <c r="F254" s="15" cm="1">
        <f t="array" ref="F254">Scope3_Equations.VEERG_15_4_1_1__X_EmissionFactorFromPurchasedFertiliserComponents(R254,S254)+
Scope3_Equations.VEERG_15_4_1_1__X_EmissionFactorFromPurchasedFertiliserComponents(V254,W254)+
Scope3_Equations.VEERG_15_4_1_1__X_EmissionFactorFromPurchasedFertiliserComponents(Z254,AA254)+
Scope3_Equations.VEERG_15_4_1_1__X_EmissionFactorFromPurchasedFertiliserComponents(AD254,AE254)</f>
        <v>1.1599999999999999</v>
      </c>
      <c r="G254" s="249" cm="1">
        <f t="array" ref="G254">Scope3_Equations.VEERG_15_4_1_1__1_EmissionsFromPurchasedFertiliser(E254,F254)</f>
        <v>11.6</v>
      </c>
      <c r="H254" s="15" cm="1">
        <f t="array" ref="H254">Scope3_Equations.VEERG_15_4_1_1__2_EmissionsFromPurchasedFertiliserComponentsVariation(R254, $E254,S254)+
Scope3_Equations.VEERG_15_4_1_1__2_EmissionsFromPurchasedFertiliserComponentsVariation(V254, $E254,W254)+
Scope3_Equations.VEERG_15_4_1_1__2_EmissionsFromPurchasedFertiliserComponentsVariation(Z254, $E254,AA254)+
Scope3_Equations.VEERG_15_4_1_1__2_EmissionsFromPurchasedFertiliserComponentsVariation(AD254, $E254,AE254)</f>
        <v>11.6</v>
      </c>
      <c r="I254" s="74">
        <v>0.4</v>
      </c>
      <c r="J254" s="249" cm="1">
        <f t="array" ref="J254">Scope3_Equations.VEERG_15_4_1_1__1_EmissionsFromPurchasedFertiliser(E254,I254)</f>
        <v>4</v>
      </c>
      <c r="K254" s="249" cm="1">
        <f t="array" ref="K254">Scope3_Equations.VEERG_15_4_1_1__2_EmissionsFromPurchasedFertiliserComponentsVariation(R254, $E254,IF(T254,T254,S254))+
Scope3_Equations.VEERG_15_4_1_1__2_EmissionsFromPurchasedFertiliserComponentsVariation(V254, $E254,IF(X254,X254,W254))+
Scope3_Equations.VEERG_15_4_1_1__2_EmissionsFromPurchasedFertiliserComponentsVariation(Z254, $E254,IF(AB254,AB254,AA254))+
Scope3_Equations.VEERG_15_4_1_1__2_EmissionsFromPurchasedFertiliserComponentsVariation(AD254, $E254,IF(AF254,AF254,AE254))</f>
        <v>11.6</v>
      </c>
      <c r="L254" s="33"/>
      <c r="M254" s="13"/>
      <c r="N254" s="33"/>
      <c r="O254" s="250" t="str">
        <v/>
      </c>
      <c r="P254" s="250"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4"/>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4"/>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4"/>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4"/>
    </row>
    <row r="255" spans="1:40" ht="20.100000000000001" customHeight="1" x14ac:dyDescent="0.2">
      <c r="D255" s="15">
        <v>0</v>
      </c>
      <c r="E255" s="15">
        <v>0</v>
      </c>
      <c r="F255" s="15" cm="1">
        <f t="array" ref="F255">Scope3_Equations.VEERG_15_4_1_1__X_EmissionFactorFromPurchasedFertiliserComponents(R255,S255)+
Scope3_Equations.VEERG_15_4_1_1__X_EmissionFactorFromPurchasedFertiliserComponents(V255,W255)+
Scope3_Equations.VEERG_15_4_1_1__X_EmissionFactorFromPurchasedFertiliserComponents(Z255,AA255)+
Scope3_Equations.VEERG_15_4_1_1__X_EmissionFactorFromPurchasedFertiliserComponents(AD255,AE255)</f>
        <v>0</v>
      </c>
      <c r="G255" s="249" cm="1">
        <f t="array" ref="G255">Scope3_Equations.VEERG_15_4_1_1__1_EmissionsFromPurchasedFertiliser(E255,F255)</f>
        <v>0</v>
      </c>
      <c r="H255" s="15" cm="1">
        <f t="array" ref="H255">Scope3_Equations.VEERG_15_4_1_1__2_EmissionsFromPurchasedFertiliserComponentsVariation(R255, $E255,S255)+
Scope3_Equations.VEERG_15_4_1_1__2_EmissionsFromPurchasedFertiliserComponentsVariation(V255, $E255,W255)+
Scope3_Equations.VEERG_15_4_1_1__2_EmissionsFromPurchasedFertiliserComponentsVariation(Z255, $E255,AA255)+
Scope3_Equations.VEERG_15_4_1_1__2_EmissionsFromPurchasedFertiliserComponentsVariation(AD255, $E255,AE255)</f>
        <v>0</v>
      </c>
      <c r="I255" s="74"/>
      <c r="J255" s="249" cm="1">
        <f t="array" ref="J255">Scope3_Equations.VEERG_15_4_1_1__1_EmissionsFromPurchasedFertiliser(E255,I255)</f>
        <v>0</v>
      </c>
      <c r="K255" s="249" cm="1">
        <f t="array" ref="K255">Scope3_Equations.VEERG_15_4_1_1__2_EmissionsFromPurchasedFertiliserComponentsVariation(R255, $E255,IF(T255,T255,S255))+
Scope3_Equations.VEERG_15_4_1_1__2_EmissionsFromPurchasedFertiliserComponentsVariation(V255, $E255,IF(X255,X255,W255))+
Scope3_Equations.VEERG_15_4_1_1__2_EmissionsFromPurchasedFertiliserComponentsVariation(Z255, $E255,IF(AB255,AB255,AA255))+
Scope3_Equations.VEERG_15_4_1_1__2_EmissionsFromPurchasedFertiliserComponentsVariation(AD255, $E255,IF(AF255,AF255,AE255))</f>
        <v>0</v>
      </c>
      <c r="L255" s="33"/>
      <c r="M255" s="13"/>
      <c r="N255" s="33"/>
      <c r="O255" s="250" t="str">
        <v/>
      </c>
      <c r="P255" s="250"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4"/>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4"/>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4"/>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4"/>
    </row>
    <row r="256" spans="1:40" ht="20.100000000000001" customHeight="1" x14ac:dyDescent="0.2">
      <c r="D256" s="15">
        <v>0</v>
      </c>
      <c r="E256" s="15">
        <v>0</v>
      </c>
      <c r="F256" s="15" cm="1">
        <f t="array" ref="F256">Scope3_Equations.VEERG_15_4_1_1__X_EmissionFactorFromPurchasedFertiliserComponents(R256,S256)+
Scope3_Equations.VEERG_15_4_1_1__X_EmissionFactorFromPurchasedFertiliserComponents(V256,W256)+
Scope3_Equations.VEERG_15_4_1_1__X_EmissionFactorFromPurchasedFertiliserComponents(Z256,AA256)+
Scope3_Equations.VEERG_15_4_1_1__X_EmissionFactorFromPurchasedFertiliserComponents(AD256,AE256)</f>
        <v>0</v>
      </c>
      <c r="G256" s="249" cm="1">
        <f t="array" ref="G256">Scope3_Equations.VEERG_15_4_1_1__1_EmissionsFromPurchasedFertiliser(E256,F256)</f>
        <v>0</v>
      </c>
      <c r="H256" s="15" cm="1">
        <f t="array" ref="H256">Scope3_Equations.VEERG_15_4_1_1__2_EmissionsFromPurchasedFertiliserComponentsVariation(R256, $E256,S256)+
Scope3_Equations.VEERG_15_4_1_1__2_EmissionsFromPurchasedFertiliserComponentsVariation(V256, $E256,W256)+
Scope3_Equations.VEERG_15_4_1_1__2_EmissionsFromPurchasedFertiliserComponentsVariation(Z256, $E256,AA256)+
Scope3_Equations.VEERG_15_4_1_1__2_EmissionsFromPurchasedFertiliserComponentsVariation(AD256, $E256,AE256)</f>
        <v>0</v>
      </c>
      <c r="I256" s="74"/>
      <c r="J256" s="249" cm="1">
        <f t="array" ref="J256">Scope3_Equations.VEERG_15_4_1_1__1_EmissionsFromPurchasedFertiliser(E256,I256)</f>
        <v>0</v>
      </c>
      <c r="K256" s="249" cm="1">
        <f t="array" ref="K256">Scope3_Equations.VEERG_15_4_1_1__2_EmissionsFromPurchasedFertiliserComponentsVariation(R256, $E256,IF(T256,T256,S256))+
Scope3_Equations.VEERG_15_4_1_1__2_EmissionsFromPurchasedFertiliserComponentsVariation(V256, $E256,IF(X256,X256,W256))+
Scope3_Equations.VEERG_15_4_1_1__2_EmissionsFromPurchasedFertiliserComponentsVariation(Z256, $E256,IF(AB256,AB256,AA256))+
Scope3_Equations.VEERG_15_4_1_1__2_EmissionsFromPurchasedFertiliserComponentsVariation(AD256, $E256,IF(AF256,AF256,AE256))</f>
        <v>0</v>
      </c>
      <c r="L256" s="33"/>
      <c r="M256" s="13"/>
      <c r="N256" s="33"/>
      <c r="O256" s="250" t="str">
        <v/>
      </c>
      <c r="P256" s="250"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4"/>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4"/>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4"/>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4"/>
    </row>
    <row r="257" spans="3:41" ht="20.100000000000001" customHeight="1" x14ac:dyDescent="0.2">
      <c r="D257" s="15">
        <v>0</v>
      </c>
      <c r="E257" s="15">
        <v>0</v>
      </c>
      <c r="F257" s="15" cm="1">
        <f t="array" ref="F257">Scope3_Equations.VEERG_15_4_1_1__X_EmissionFactorFromPurchasedFertiliserComponents(R257,S257)+
Scope3_Equations.VEERG_15_4_1_1__X_EmissionFactorFromPurchasedFertiliserComponents(V257,W257)+
Scope3_Equations.VEERG_15_4_1_1__X_EmissionFactorFromPurchasedFertiliserComponents(Z257,AA257)+
Scope3_Equations.VEERG_15_4_1_1__X_EmissionFactorFromPurchasedFertiliserComponents(AD257,AE257)</f>
        <v>0</v>
      </c>
      <c r="G257" s="249" cm="1">
        <f t="array" ref="G257">Scope3_Equations.VEERG_15_4_1_1__1_EmissionsFromPurchasedFertiliser(E257,F257)</f>
        <v>0</v>
      </c>
      <c r="H257" s="15" cm="1">
        <f t="array" ref="H257">Scope3_Equations.VEERG_15_4_1_1__2_EmissionsFromPurchasedFertiliserComponentsVariation(R257, $E257,S257)+
Scope3_Equations.VEERG_15_4_1_1__2_EmissionsFromPurchasedFertiliserComponentsVariation(V257, $E257,W257)+
Scope3_Equations.VEERG_15_4_1_1__2_EmissionsFromPurchasedFertiliserComponentsVariation(Z257, $E257,AA257)+
Scope3_Equations.VEERG_15_4_1_1__2_EmissionsFromPurchasedFertiliserComponentsVariation(AD257, $E257,AE257)</f>
        <v>0</v>
      </c>
      <c r="I257" s="74"/>
      <c r="J257" s="249" cm="1">
        <f t="array" ref="J257">Scope3_Equations.VEERG_15_4_1_1__1_EmissionsFromPurchasedFertiliser(E257,I257)</f>
        <v>0</v>
      </c>
      <c r="K257" s="249" cm="1">
        <f t="array" ref="K257">Scope3_Equations.VEERG_15_4_1_1__2_EmissionsFromPurchasedFertiliserComponentsVariation(R257, $E257,IF(T257,T257,S257))+
Scope3_Equations.VEERG_15_4_1_1__2_EmissionsFromPurchasedFertiliserComponentsVariation(V257, $E257,IF(X257,X257,W257))+
Scope3_Equations.VEERG_15_4_1_1__2_EmissionsFromPurchasedFertiliserComponentsVariation(Z257, $E257,IF(AB257,AB257,AA257))+
Scope3_Equations.VEERG_15_4_1_1__2_EmissionsFromPurchasedFertiliserComponentsVariation(AD257, $E257,IF(AF257,AF257,AE257))</f>
        <v>0</v>
      </c>
      <c r="L257" s="33"/>
      <c r="M257" s="13"/>
      <c r="N257" s="33"/>
      <c r="O257" s="250" t="str">
        <v/>
      </c>
      <c r="P257" s="250"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4"/>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4"/>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4"/>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4"/>
    </row>
    <row r="258" spans="3:41" ht="20.100000000000001" customHeight="1" x14ac:dyDescent="0.2">
      <c r="D258" s="15">
        <v>0</v>
      </c>
      <c r="E258" s="15">
        <v>0</v>
      </c>
      <c r="F258" s="15" cm="1">
        <f t="array" ref="F258">Scope3_Equations.VEERG_15_4_1_1__X_EmissionFactorFromPurchasedFertiliserComponents(R258,S258)+
Scope3_Equations.VEERG_15_4_1_1__X_EmissionFactorFromPurchasedFertiliserComponents(V258,W258)+
Scope3_Equations.VEERG_15_4_1_1__X_EmissionFactorFromPurchasedFertiliserComponents(Z258,AA258)+
Scope3_Equations.VEERG_15_4_1_1__X_EmissionFactorFromPurchasedFertiliserComponents(AD258,AE258)</f>
        <v>0</v>
      </c>
      <c r="G258" s="249" cm="1">
        <f t="array" ref="G258">Scope3_Equations.VEERG_15_4_1_1__1_EmissionsFromPurchasedFertiliser(E258,F258)</f>
        <v>0</v>
      </c>
      <c r="H258" s="15" cm="1">
        <f t="array" ref="H258">Scope3_Equations.VEERG_15_4_1_1__2_EmissionsFromPurchasedFertiliserComponentsVariation(R258, $E258,S258)+
Scope3_Equations.VEERG_15_4_1_1__2_EmissionsFromPurchasedFertiliserComponentsVariation(V258, $E258,W258)+
Scope3_Equations.VEERG_15_4_1_1__2_EmissionsFromPurchasedFertiliserComponentsVariation(Z258, $E258,AA258)+
Scope3_Equations.VEERG_15_4_1_1__2_EmissionsFromPurchasedFertiliserComponentsVariation(AD258, $E258,AE258)</f>
        <v>0</v>
      </c>
      <c r="I258" s="74"/>
      <c r="J258" s="249" cm="1">
        <f t="array" ref="J258">Scope3_Equations.VEERG_15_4_1_1__1_EmissionsFromPurchasedFertiliser(E258,I258)</f>
        <v>0</v>
      </c>
      <c r="K258" s="249" cm="1">
        <f t="array" ref="K258">Scope3_Equations.VEERG_15_4_1_1__2_EmissionsFromPurchasedFertiliserComponentsVariation(R258, $E258,IF(T258,T258,S258))+
Scope3_Equations.VEERG_15_4_1_1__2_EmissionsFromPurchasedFertiliserComponentsVariation(V258, $E258,IF(X258,X258,W258))+
Scope3_Equations.VEERG_15_4_1_1__2_EmissionsFromPurchasedFertiliserComponentsVariation(Z258, $E258,IF(AB258,AB258,AA258))+
Scope3_Equations.VEERG_15_4_1_1__2_EmissionsFromPurchasedFertiliserComponentsVariation(AD258, $E258,IF(AF258,AF258,AE258))</f>
        <v>0</v>
      </c>
      <c r="L258" s="33"/>
      <c r="M258" s="13"/>
      <c r="N258" s="33"/>
      <c r="O258" s="250" t="str">
        <v/>
      </c>
      <c r="P258" s="250"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4"/>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4"/>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4"/>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4"/>
    </row>
    <row r="259" spans="3:41" ht="20.100000000000001" customHeight="1" x14ac:dyDescent="0.2">
      <c r="D259" s="15">
        <v>0</v>
      </c>
      <c r="E259" s="15">
        <v>0</v>
      </c>
      <c r="F259" s="15" cm="1">
        <f t="array" ref="F259">Scope3_Equations.VEERG_15_4_1_1__X_EmissionFactorFromPurchasedFertiliserComponents(R259,S259)+
Scope3_Equations.VEERG_15_4_1_1__X_EmissionFactorFromPurchasedFertiliserComponents(V259,W259)+
Scope3_Equations.VEERG_15_4_1_1__X_EmissionFactorFromPurchasedFertiliserComponents(Z259,AA259)+
Scope3_Equations.VEERG_15_4_1_1__X_EmissionFactorFromPurchasedFertiliserComponents(AD259,AE259)</f>
        <v>0</v>
      </c>
      <c r="G259" s="249" cm="1">
        <f t="array" ref="G259">Scope3_Equations.VEERG_15_4_1_1__1_EmissionsFromPurchasedFertiliser(E259,F259)</f>
        <v>0</v>
      </c>
      <c r="H259" s="15" cm="1">
        <f t="array" ref="H259">Scope3_Equations.VEERG_15_4_1_1__2_EmissionsFromPurchasedFertiliserComponentsVariation(R259, $E259,S259)+
Scope3_Equations.VEERG_15_4_1_1__2_EmissionsFromPurchasedFertiliserComponentsVariation(V259, $E259,W259)+
Scope3_Equations.VEERG_15_4_1_1__2_EmissionsFromPurchasedFertiliserComponentsVariation(Z259, $E259,AA259)+
Scope3_Equations.VEERG_15_4_1_1__2_EmissionsFromPurchasedFertiliserComponentsVariation(AD259, $E259,AE259)</f>
        <v>0</v>
      </c>
      <c r="I259" s="74"/>
      <c r="J259" s="249" cm="1">
        <f t="array" ref="J259">Scope3_Equations.VEERG_15_4_1_1__1_EmissionsFromPurchasedFertiliser(E259,I259)</f>
        <v>0</v>
      </c>
      <c r="K259" s="249" cm="1">
        <f t="array" ref="K259">Scope3_Equations.VEERG_15_4_1_1__2_EmissionsFromPurchasedFertiliserComponentsVariation(R259, $E259,IF(T259,T259,S259))+
Scope3_Equations.VEERG_15_4_1_1__2_EmissionsFromPurchasedFertiliserComponentsVariation(V259, $E259,IF(X259,X259,W259))+
Scope3_Equations.VEERG_15_4_1_1__2_EmissionsFromPurchasedFertiliserComponentsVariation(Z259, $E259,IF(AB259,AB259,AA259))+
Scope3_Equations.VEERG_15_4_1_1__2_EmissionsFromPurchasedFertiliserComponentsVariation(AD259, $E259,IF(AF259,AF259,AE259))</f>
        <v>0</v>
      </c>
      <c r="L259" s="33"/>
      <c r="M259" s="13"/>
      <c r="N259" s="33"/>
      <c r="O259" s="250" t="str">
        <v/>
      </c>
      <c r="P259" s="250"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4"/>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4"/>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4"/>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4"/>
    </row>
    <row r="260" spans="3:41" ht="20.100000000000001" customHeight="1" x14ac:dyDescent="0.2">
      <c r="D260" s="15">
        <v>0</v>
      </c>
      <c r="E260" s="15">
        <v>0</v>
      </c>
      <c r="F260" s="15" cm="1">
        <f t="array" ref="F260">Scope3_Equations.VEERG_15_4_1_1__X_EmissionFactorFromPurchasedFertiliserComponents(R260,S260)+
Scope3_Equations.VEERG_15_4_1_1__X_EmissionFactorFromPurchasedFertiliserComponents(V260,W260)+
Scope3_Equations.VEERG_15_4_1_1__X_EmissionFactorFromPurchasedFertiliserComponents(Z260,AA260)+
Scope3_Equations.VEERG_15_4_1_1__X_EmissionFactorFromPurchasedFertiliserComponents(AD260,AE260)</f>
        <v>0</v>
      </c>
      <c r="G260" s="249" cm="1">
        <f t="array" ref="G260">Scope3_Equations.VEERG_15_4_1_1__1_EmissionsFromPurchasedFertiliser(E260,F260)</f>
        <v>0</v>
      </c>
      <c r="H260" s="15" cm="1">
        <f t="array" ref="H260">Scope3_Equations.VEERG_15_4_1_1__2_EmissionsFromPurchasedFertiliserComponentsVariation(R260, $E260,S260)+
Scope3_Equations.VEERG_15_4_1_1__2_EmissionsFromPurchasedFertiliserComponentsVariation(V260, $E260,W260)+
Scope3_Equations.VEERG_15_4_1_1__2_EmissionsFromPurchasedFertiliserComponentsVariation(Z260, $E260,AA260)+
Scope3_Equations.VEERG_15_4_1_1__2_EmissionsFromPurchasedFertiliserComponentsVariation(AD260, $E260,AE260)</f>
        <v>0</v>
      </c>
      <c r="I260" s="74"/>
      <c r="J260" s="249" cm="1">
        <f t="array" ref="J260">Scope3_Equations.VEERG_15_4_1_1__1_EmissionsFromPurchasedFertiliser(E260,I260)</f>
        <v>0</v>
      </c>
      <c r="K260" s="249" cm="1">
        <f t="array" ref="K260">Scope3_Equations.VEERG_15_4_1_1__2_EmissionsFromPurchasedFertiliserComponentsVariation(R260, $E260,IF(T260,T260,S260))+
Scope3_Equations.VEERG_15_4_1_1__2_EmissionsFromPurchasedFertiliserComponentsVariation(V260, $E260,IF(X260,X260,W260))+
Scope3_Equations.VEERG_15_4_1_1__2_EmissionsFromPurchasedFertiliserComponentsVariation(Z260, $E260,IF(AB260,AB260,AA260))+
Scope3_Equations.VEERG_15_4_1_1__2_EmissionsFromPurchasedFertiliserComponentsVariation(AD260, $E260,IF(AF260,AF260,AE260))</f>
        <v>0</v>
      </c>
      <c r="L260" s="33"/>
      <c r="M260" s="13"/>
      <c r="N260" s="33"/>
      <c r="O260" s="250" t="str">
        <v/>
      </c>
      <c r="P260" s="250"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4"/>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4"/>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4"/>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4"/>
    </row>
    <row r="261" spans="3:41" ht="20.100000000000001" customHeight="1" x14ac:dyDescent="0.2">
      <c r="D261" s="15">
        <v>0</v>
      </c>
      <c r="E261" s="15">
        <v>0</v>
      </c>
      <c r="F261" s="15" cm="1">
        <f t="array" ref="F261">Scope3_Equations.VEERG_15_4_1_1__X_EmissionFactorFromPurchasedFertiliserComponents(R261,S261)+
Scope3_Equations.VEERG_15_4_1_1__X_EmissionFactorFromPurchasedFertiliserComponents(V261,W261)+
Scope3_Equations.VEERG_15_4_1_1__X_EmissionFactorFromPurchasedFertiliserComponents(Z261,AA261)+
Scope3_Equations.VEERG_15_4_1_1__X_EmissionFactorFromPurchasedFertiliserComponents(AD261,AE261)</f>
        <v>0</v>
      </c>
      <c r="G261" s="249" cm="1">
        <f t="array" ref="G261">Scope3_Equations.VEERG_15_4_1_1__1_EmissionsFromPurchasedFertiliser(E261,F261)</f>
        <v>0</v>
      </c>
      <c r="H261" s="15" cm="1">
        <f t="array" ref="H261">Scope3_Equations.VEERG_15_4_1_1__2_EmissionsFromPurchasedFertiliserComponentsVariation(R261, $E261,S261)+
Scope3_Equations.VEERG_15_4_1_1__2_EmissionsFromPurchasedFertiliserComponentsVariation(V261, $E261,W261)+
Scope3_Equations.VEERG_15_4_1_1__2_EmissionsFromPurchasedFertiliserComponentsVariation(Z261, $E261,AA261)+
Scope3_Equations.VEERG_15_4_1_1__2_EmissionsFromPurchasedFertiliserComponentsVariation(AD261, $E261,AE261)</f>
        <v>0</v>
      </c>
      <c r="I261" s="74"/>
      <c r="J261" s="249" cm="1">
        <f t="array" ref="J261">Scope3_Equations.VEERG_15_4_1_1__1_EmissionsFromPurchasedFertiliser(E261,I261)</f>
        <v>0</v>
      </c>
      <c r="K261" s="249" cm="1">
        <f t="array" ref="K261">Scope3_Equations.VEERG_15_4_1_1__2_EmissionsFromPurchasedFertiliserComponentsVariation(R261, $E261,IF(T261,T261,S261))+
Scope3_Equations.VEERG_15_4_1_1__2_EmissionsFromPurchasedFertiliserComponentsVariation(V261, $E261,IF(X261,X261,W261))+
Scope3_Equations.VEERG_15_4_1_1__2_EmissionsFromPurchasedFertiliserComponentsVariation(Z261, $E261,IF(AB261,AB261,AA261))+
Scope3_Equations.VEERG_15_4_1_1__2_EmissionsFromPurchasedFertiliserComponentsVariation(AD261, $E261,IF(AF261,AF261,AE261))</f>
        <v>0</v>
      </c>
      <c r="L261" s="33"/>
      <c r="M261" s="13"/>
      <c r="N261" s="33"/>
      <c r="O261" s="250" t="str">
        <v/>
      </c>
      <c r="P261" s="250"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4"/>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4"/>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4"/>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4"/>
    </row>
    <row r="263" spans="3:41" ht="20.100000000000001" customHeight="1" x14ac:dyDescent="0.2">
      <c r="D263" s="251" t="s">
        <v>1103</v>
      </c>
      <c r="E263" s="86">
        <f>SUM(G236:G245)+SUM(G252:G261)</f>
        <v>66.611033519999992</v>
      </c>
      <c r="F263" s="95" t="str">
        <f>$E$170</f>
        <v>t CO2e</v>
      </c>
    </row>
    <row r="264" spans="3:41" ht="20.100000000000001" customHeight="1" x14ac:dyDescent="0.2">
      <c r="D264" s="251" t="s">
        <v>1104</v>
      </c>
      <c r="E264" s="86">
        <f>SUM(J236:J245)+SUM(J252:J261)</f>
        <v>34</v>
      </c>
      <c r="F264" s="95" t="str">
        <f>$E$170</f>
        <v>t CO2e</v>
      </c>
    </row>
    <row r="266" spans="3:41" ht="20.100000000000001" customHeight="1" x14ac:dyDescent="0.2">
      <c r="D266" s="251" t="s">
        <v>1105</v>
      </c>
      <c r="E266" s="86">
        <f>SUM(H236:H245)+SUM(H252:H261)</f>
        <v>66.611033520000007</v>
      </c>
      <c r="F266" s="95" t="str">
        <f>$E$170</f>
        <v>t CO2e</v>
      </c>
    </row>
    <row r="267" spans="3:41" ht="20.100000000000001" customHeight="1" x14ac:dyDescent="0.2">
      <c r="D267" s="251" t="s">
        <v>1106</v>
      </c>
      <c r="E267" s="86">
        <f>SUM(K236:K245)+SUM(K252:K261)</f>
        <v>65.023033519999998</v>
      </c>
      <c r="F267" s="95" t="str">
        <f>$E$170</f>
        <v>t CO2e</v>
      </c>
    </row>
    <row r="270" spans="3:41" ht="20.100000000000001" customHeight="1" x14ac:dyDescent="0.2">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row>
    <row r="271" spans="3:41" ht="20.100000000000001" customHeight="1" x14ac:dyDescent="0.2">
      <c r="D271" s="2" t="str" cm="1">
        <f t="array" ref="D271">Scope3_Equations.VEERG_15_5_1_1__1_EmissionsFromPurchasedAgrichemicals_Title()</f>
        <v>Total emissions from purchased agrichemicals</v>
      </c>
    </row>
    <row r="272" spans="3:41" ht="20.100000000000001" customHeight="1" x14ac:dyDescent="0.2">
      <c r="D272" s="17" t="str" cm="1">
        <f t="array" ref="D272">Scope3_Equations.VEERG_15_5_1_1__1_EmissionsFromPurchasedAgrichemicals_Source()</f>
        <v>VEERG 2026: 15.5.1.1, Equation (1)</v>
      </c>
    </row>
    <row r="273" spans="1:9" ht="20.100000000000001" customHeight="1" x14ac:dyDescent="0.2">
      <c r="D273" s="112" t="s">
        <v>321</v>
      </c>
      <c r="E273" s="112" t="str" cm="1">
        <f t="array" aca="1" ref="E273" ca="1">Common_InputFunctions.Utility_DisplayFunctionName(G285)</f>
        <v>=Scope3_Equations.VEERG_15_5_1_1__1_EmissionsFromPurchasedAgrichemicals</v>
      </c>
    </row>
    <row r="276" spans="1:9" ht="20.100000000000001" customHeight="1" x14ac:dyDescent="0.2">
      <c r="A276" s="79" t="str">
        <f>HYPERLINK("#A1", "▲ Back to top")</f>
        <v>▲ Back to top</v>
      </c>
    </row>
    <row r="277" spans="1:9" ht="20.100000000000001" customHeight="1" x14ac:dyDescent="0.2">
      <c r="D277" s="75" t="s">
        <v>322</v>
      </c>
      <c r="E277" s="1" t="str" cm="1">
        <f t="array" ref="E277">Scope3_Equations.VEERG_15_5_1_1__1_EmissionsFromPurchasedAgrichemicals_Variable()</f>
        <v>E</v>
      </c>
    </row>
    <row r="278" spans="1:9" ht="20.100000000000001" customHeight="1" x14ac:dyDescent="0.2">
      <c r="D278" s="75" t="s">
        <v>118</v>
      </c>
      <c r="E278" s="9" t="str" cm="1">
        <f t="array" ref="E278">Scope3_Equations.VEERG_15_5_1_1__1_EmissionsFromPurchasedAgrichemicals_Unit()</f>
        <v>t CO2e</v>
      </c>
    </row>
    <row r="280" spans="1:9" ht="20.100000000000001" customHeight="1" x14ac:dyDescent="0.2">
      <c r="D280" s="113" t="str" cm="1">
        <f t="array" ref="D280:E282">_xlfn.CHOOSECOLS(Scope3_Equations.VEERG_15_5_1_1__1_EmissionsFromPurchasedAgrichemicals_Arguments(),1,2)</f>
        <v>Q_h</v>
      </c>
      <c r="E280" s="121" t="str">
        <v>quantity of active ingredients in agrichemical type h purchased and applied to soils</v>
      </c>
      <c r="F280" s="122"/>
      <c r="G280" s="113" t="str" cm="1">
        <f t="array" ref="G280:H282">_xlfn.CHOOSECOLS(Scope3_Equations.VEERG_15_5_1_1__1_EmissionsFromPurchasedAgrichemicals_Arguments(),3,4)</f>
        <v>kg ai</v>
      </c>
      <c r="H280" s="247" t="str">
        <v>Input</v>
      </c>
    </row>
    <row r="281" spans="1:9" ht="20.100000000000001" customHeight="1" x14ac:dyDescent="0.2">
      <c r="D281" s="113" t="str">
        <v>EF_h</v>
      </c>
      <c r="E281" s="121" t="str">
        <v>emission factor for purchased agrichemical active ingredient</v>
      </c>
      <c r="F281" s="122"/>
      <c r="G281" s="113" t="str">
        <v>kg CO2e/kg ai</v>
      </c>
      <c r="H281" s="115" t="str">
        <v>Constant</v>
      </c>
    </row>
    <row r="282" spans="1:9" ht="20.100000000000001" customHeight="1" x14ac:dyDescent="0.2">
      <c r="D282" s="113" t="str">
        <v>h</v>
      </c>
      <c r="E282" s="121" t="str">
        <v>agrichemical type</v>
      </c>
      <c r="F282" s="122"/>
      <c r="G282" s="113" t="str">
        <v/>
      </c>
      <c r="H282" s="247" t="str">
        <v>Input</v>
      </c>
    </row>
    <row r="284" spans="1:9" ht="20.100000000000001" customHeight="1" x14ac:dyDescent="0.2">
      <c r="D284" s="78" t="s">
        <v>1107</v>
      </c>
      <c r="E284" s="78" t="s">
        <v>687</v>
      </c>
      <c r="F284" s="120" t="s">
        <v>1108</v>
      </c>
      <c r="G284" s="120" t="s">
        <v>1037</v>
      </c>
      <c r="H284" s="78" t="s">
        <v>1109</v>
      </c>
      <c r="I284" s="120" t="s">
        <v>1040</v>
      </c>
    </row>
    <row r="285" spans="1:9" ht="20.100000000000001" customHeight="1" x14ac:dyDescent="0.2">
      <c r="D285" s="15" t="str" cm="1">
        <f t="array" ref="D285:D296">Table_SourceData_Scope3_Pesticides[Product]</f>
        <v>2,4-D</v>
      </c>
      <c r="E285" s="15"/>
      <c r="F285" s="15" cm="1">
        <f t="array" ref="F285">Common_InputFunctions.Utility_LookupValueInTableNumber(D285,Table_SourceData_Scope3_Pesticides[Product],Table_SourceData_Scope3_Pesticides[Emissions intensity])</f>
        <v>5.2</v>
      </c>
      <c r="G285" s="15" cm="1">
        <f t="array" ref="G285">Scope3_Equations.VEERG_15_5_1_1__1_EmissionsFromPurchasedAgrichemicals($E285,F285)</f>
        <v>0</v>
      </c>
      <c r="H285" s="74">
        <v>5</v>
      </c>
      <c r="I285" s="15" cm="1">
        <f t="array" ref="I285">Scope3_Equations.VEERG_15_5_1_1__1_EmissionsFromPurchasedAgrichemicals($E285,IF(H285,H285,F285))</f>
        <v>0</v>
      </c>
    </row>
    <row r="286" spans="1:9" ht="20.100000000000001" customHeight="1" x14ac:dyDescent="0.2">
      <c r="D286" s="15" t="str">
        <v>Atrazine</v>
      </c>
      <c r="E286" s="15"/>
      <c r="F286" s="15" cm="1">
        <f t="array" ref="F286">Common_InputFunctions.Utility_LookupValueInTableNumber(D286,Table_SourceData_Scope3_Pesticides[Product],Table_SourceData_Scope3_Pesticides[Emissions intensity])</f>
        <v>8.3800000000000008</v>
      </c>
      <c r="G286" s="15" cm="1">
        <f t="array" ref="G286">Scope3_Equations.VEERG_15_5_1_1__1_EmissionsFromPurchasedAgrichemicals($E286,F286)</f>
        <v>0</v>
      </c>
      <c r="H286" s="74">
        <v>8</v>
      </c>
      <c r="I286" s="15" cm="1">
        <f t="array" ref="I286">Scope3_Equations.VEERG_15_5_1_1__1_EmissionsFromPurchasedAgrichemicals($E286,IF(H286,H286,F286))</f>
        <v>0</v>
      </c>
    </row>
    <row r="287" spans="1:9" ht="20.100000000000001" customHeight="1" x14ac:dyDescent="0.2">
      <c r="D287" s="15" t="str">
        <v>Diuron</v>
      </c>
      <c r="E287" s="15"/>
      <c r="F287" s="15" cm="1">
        <f t="array" ref="F287">Common_InputFunctions.Utility_LookupValueInTableNumber(D287,Table_SourceData_Scope3_Pesticides[Product],Table_SourceData_Scope3_Pesticides[Emissions intensity])</f>
        <v>8.8000000000000007</v>
      </c>
      <c r="G287" s="15" cm="1">
        <f t="array" ref="G287">Scope3_Equations.VEERG_15_5_1_1__1_EmissionsFromPurchasedAgrichemicals($E287,F287)</f>
        <v>0</v>
      </c>
      <c r="H287" s="74"/>
      <c r="I287" s="15" cm="1">
        <f t="array" ref="I287">Scope3_Equations.VEERG_15_5_1_1__1_EmissionsFromPurchasedAgrichemicals($E287,IF(H287,H287,F287))</f>
        <v>0</v>
      </c>
    </row>
    <row r="288" spans="1:9" ht="20.100000000000001" customHeight="1" x14ac:dyDescent="0.2">
      <c r="D288" s="15" t="str">
        <v>Glyphosate</v>
      </c>
      <c r="E288" s="15"/>
      <c r="F288" s="15" cm="1">
        <f t="array" ref="F288">Common_InputFunctions.Utility_LookupValueInTableNumber(D288,Table_SourceData_Scope3_Pesticides[Product],Table_SourceData_Scope3_Pesticides[Emissions intensity])</f>
        <v>10.3</v>
      </c>
      <c r="G288" s="15" cm="1">
        <f t="array" ref="G288">Scope3_Equations.VEERG_15_5_1_1__1_EmissionsFromPurchasedAgrichemicals($E288,F288)</f>
        <v>0</v>
      </c>
      <c r="H288" s="74"/>
      <c r="I288" s="15" cm="1">
        <f t="array" ref="I288">Scope3_Equations.VEERG_15_5_1_1__1_EmissionsFromPurchasedAgrichemicals($E288,IF(H288,H288,F288))</f>
        <v>0</v>
      </c>
    </row>
    <row r="289" spans="3:41" ht="20.100000000000001" customHeight="1" x14ac:dyDescent="0.2">
      <c r="D289" s="15" t="str">
        <v>Mancozeb</v>
      </c>
      <c r="E289" s="15"/>
      <c r="F289" s="15" cm="1">
        <f t="array" ref="F289">Common_InputFunctions.Utility_LookupValueInTableNumber(D289,Table_SourceData_Scope3_Pesticides[Product],Table_SourceData_Scope3_Pesticides[Emissions intensity])</f>
        <v>4.55</v>
      </c>
      <c r="G289" s="15" cm="1">
        <f t="array" ref="G289">Scope3_Equations.VEERG_15_5_1_1__1_EmissionsFromPurchasedAgrichemicals($E289,F289)</f>
        <v>0</v>
      </c>
      <c r="H289" s="74"/>
      <c r="I289" s="15" cm="1">
        <f t="array" ref="I289">Scope3_Equations.VEERG_15_5_1_1__1_EmissionsFromPurchasedAgrichemicals($E289,IF(H289,H289,F289))</f>
        <v>0</v>
      </c>
    </row>
    <row r="290" spans="3:41" ht="20.100000000000001" customHeight="1" x14ac:dyDescent="0.2">
      <c r="D290" s="15" t="str">
        <v>MCPA</v>
      </c>
      <c r="E290" s="15"/>
      <c r="F290" s="15" cm="1">
        <f t="array" ref="F290">Common_InputFunctions.Utility_LookupValueInTableNumber(D290,Table_SourceData_Scope3_Pesticides[Product],Table_SourceData_Scope3_Pesticides[Emissions intensity])</f>
        <v>5.6</v>
      </c>
      <c r="G290" s="15" cm="1">
        <f t="array" ref="G290">Scope3_Equations.VEERG_15_5_1_1__1_EmissionsFromPurchasedAgrichemicals($E290,F290)</f>
        <v>0</v>
      </c>
      <c r="H290" s="74"/>
      <c r="I290" s="15" cm="1">
        <f t="array" ref="I290">Scope3_Equations.VEERG_15_5_1_1__1_EmissionsFromPurchasedAgrichemicals($E290,IF(H290,H290,F290))</f>
        <v>0</v>
      </c>
    </row>
    <row r="291" spans="3:41" ht="20.100000000000001" customHeight="1" x14ac:dyDescent="0.2">
      <c r="D291" s="15" t="str">
        <v>Metolachlor</v>
      </c>
      <c r="E291" s="15"/>
      <c r="F291" s="15" cm="1">
        <f t="array" ref="F291">Common_InputFunctions.Utility_LookupValueInTableNumber(D291,Table_SourceData_Scope3_Pesticides[Product],Table_SourceData_Scope3_Pesticides[Emissions intensity])</f>
        <v>8.06</v>
      </c>
      <c r="G291" s="15" cm="1">
        <f t="array" ref="G291">Scope3_Equations.VEERG_15_5_1_1__1_EmissionsFromPurchasedAgrichemicals($E291,F291)</f>
        <v>0</v>
      </c>
      <c r="H291" s="74"/>
      <c r="I291" s="15" cm="1">
        <f t="array" ref="I291">Scope3_Equations.VEERG_15_5_1_1__1_EmissionsFromPurchasedAgrichemicals($E291,IF(H291,H291,F291))</f>
        <v>0</v>
      </c>
    </row>
    <row r="292" spans="3:41" ht="20.100000000000001" customHeight="1" x14ac:dyDescent="0.2">
      <c r="D292" s="15" t="str">
        <v>Metsulfuron-methyl</v>
      </c>
      <c r="E292" s="15"/>
      <c r="F292" s="15" cm="1">
        <f t="array" ref="F292">Common_InputFunctions.Utility_LookupValueInTableNumber(D292,Table_SourceData_Scope3_Pesticides[Product],Table_SourceData_Scope3_Pesticides[Emissions intensity])</f>
        <v>8.8000000000000007</v>
      </c>
      <c r="G292" s="15" cm="1">
        <f t="array" ref="G292">Scope3_Equations.VEERG_15_5_1_1__1_EmissionsFromPurchasedAgrichemicals($E292,F292)</f>
        <v>0</v>
      </c>
      <c r="H292" s="74"/>
      <c r="I292" s="15" cm="1">
        <f t="array" ref="I292">Scope3_Equations.VEERG_15_5_1_1__1_EmissionsFromPurchasedAgrichemicals($E292,IF(H292,H292,F292))</f>
        <v>0</v>
      </c>
    </row>
    <row r="293" spans="3:41" ht="20.100000000000001" customHeight="1" x14ac:dyDescent="0.2">
      <c r="D293" s="15" t="str">
        <v>Pesticides (generic)</v>
      </c>
      <c r="E293" s="15"/>
      <c r="F293" s="15" cm="1">
        <f t="array" ref="F293">Common_InputFunctions.Utility_LookupValueInTableNumber(D293,Table_SourceData_Scope3_Pesticides[Product],Table_SourceData_Scope3_Pesticides[Emissions intensity])</f>
        <v>9.16</v>
      </c>
      <c r="G293" s="15" cm="1">
        <f t="array" ref="G293">Scope3_Equations.VEERG_15_5_1_1__1_EmissionsFromPurchasedAgrichemicals($E293,F293)</f>
        <v>0</v>
      </c>
      <c r="H293" s="74"/>
      <c r="I293" s="15" cm="1">
        <f t="array" ref="I293">Scope3_Equations.VEERG_15_5_1_1__1_EmissionsFromPurchasedAgrichemicals($E293,IF(H293,H293,F293))</f>
        <v>0</v>
      </c>
    </row>
    <row r="294" spans="3:41" ht="20.100000000000001" customHeight="1" x14ac:dyDescent="0.2">
      <c r="D294" s="15" t="str">
        <v>Tri-allate</v>
      </c>
      <c r="E294" s="15"/>
      <c r="F294" s="15" cm="1">
        <f t="array" ref="F294">Common_InputFunctions.Utility_LookupValueInTableNumber(D294,Table_SourceData_Scope3_Pesticides[Product],Table_SourceData_Scope3_Pesticides[Emissions intensity])</f>
        <v>8.57</v>
      </c>
      <c r="G294" s="15" cm="1">
        <f t="array" ref="G294">Scope3_Equations.VEERG_15_5_1_1__1_EmissionsFromPurchasedAgrichemicals($E294,F294)</f>
        <v>0</v>
      </c>
      <c r="H294" s="74"/>
      <c r="I294" s="15" cm="1">
        <f t="array" ref="I294">Scope3_Equations.VEERG_15_5_1_1__1_EmissionsFromPurchasedAgrichemicals($E294,IF(H294,H294,F294))</f>
        <v>0</v>
      </c>
    </row>
    <row r="295" spans="3:41" ht="20.100000000000001" customHeight="1" x14ac:dyDescent="0.2">
      <c r="D295" s="15" t="str">
        <v>Tribenuron methyl</v>
      </c>
      <c r="E295" s="15"/>
      <c r="F295" s="15" cm="1">
        <f t="array" ref="F295">Common_InputFunctions.Utility_LookupValueInTableNumber(D295,Table_SourceData_Scope3_Pesticides[Product],Table_SourceData_Scope3_Pesticides[Emissions intensity])</f>
        <v>8.8000000000000007</v>
      </c>
      <c r="G295" s="15" cm="1">
        <f t="array" ref="G295">Scope3_Equations.VEERG_15_5_1_1__1_EmissionsFromPurchasedAgrichemicals($E295,F295)</f>
        <v>0</v>
      </c>
      <c r="H295" s="74"/>
      <c r="I295" s="15" cm="1">
        <f t="array" ref="I295">Scope3_Equations.VEERG_15_5_1_1__1_EmissionsFromPurchasedAgrichemicals($E295,IF(H295,H295,F295))</f>
        <v>0</v>
      </c>
    </row>
    <row r="296" spans="3:41" ht="20.100000000000001" customHeight="1" x14ac:dyDescent="0.2">
      <c r="D296" s="15" t="str">
        <v>Trifluralin</v>
      </c>
      <c r="E296" s="15"/>
      <c r="F296" s="15" cm="1">
        <f t="array" ref="F296">Common_InputFunctions.Utility_LookupValueInTableNumber(D296,Table_SourceData_Scope3_Pesticides[Product],Table_SourceData_Scope3_Pesticides[Emissions intensity])</f>
        <v>6.16</v>
      </c>
      <c r="G296" s="15" cm="1">
        <f t="array" ref="G296">Scope3_Equations.VEERG_15_5_1_1__1_EmissionsFromPurchasedAgrichemicals($E296,F296)</f>
        <v>0</v>
      </c>
      <c r="H296" s="74"/>
      <c r="I296" s="15" cm="1">
        <f t="array" ref="I296">Scope3_Equations.VEERG_15_5_1_1__1_EmissionsFromPurchasedAgrichemicals($E296,IF(H296,H296,F296))</f>
        <v>0</v>
      </c>
    </row>
    <row r="298" spans="3:41" ht="20.100000000000001" customHeight="1" x14ac:dyDescent="0.2">
      <c r="D298" s="251" t="s">
        <v>1037</v>
      </c>
      <c r="E298" s="86">
        <f>SUM(G285:G296)</f>
        <v>0</v>
      </c>
      <c r="F298" s="95" t="str">
        <f>$E$170</f>
        <v>t CO2e</v>
      </c>
    </row>
    <row r="299" spans="3:41" ht="20.100000000000001" customHeight="1" x14ac:dyDescent="0.2">
      <c r="D299" s="251" t="s">
        <v>1040</v>
      </c>
      <c r="E299" s="86">
        <f>SUM(I285:I296)</f>
        <v>0</v>
      </c>
      <c r="F299" s="95" t="str">
        <f>$E$170</f>
        <v>t CO2e</v>
      </c>
    </row>
    <row r="302" spans="3:41" ht="20.100000000000001" customHeight="1" x14ac:dyDescent="0.2">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row>
    <row r="303" spans="3:41" ht="20.100000000000001" customHeight="1" x14ac:dyDescent="0.2">
      <c r="D303" s="2" t="str" cm="1">
        <f t="array" ref="D303">Scope3_Equations.VEERG_15_6_1_1__1_EmissionsFromPurchasedLime_Title()</f>
        <v>Embedded emissions for purchased lime</v>
      </c>
    </row>
    <row r="304" spans="3:41" ht="20.100000000000001" customHeight="1" x14ac:dyDescent="0.2">
      <c r="D304" s="17" t="str" cm="1">
        <f t="array" ref="D304">Scope3_Equations.VEERG_15_6_1_1__1_EmissionsFromPurchasedLime_Source()</f>
        <v>VEERG 2026: 15.6.1.1, Equation (1)</v>
      </c>
    </row>
    <row r="305" spans="1:13" ht="20.100000000000001" customHeight="1" x14ac:dyDescent="0.2">
      <c r="D305" s="112" t="s">
        <v>321</v>
      </c>
      <c r="E305" s="112" t="str" cm="1">
        <f t="array" aca="1" ref="E305" ca="1">Common_InputFunctions.Utility_DisplayFunctionName(I320)</f>
        <v>=Scope3_Equations.VEERG_15_6_1_1__1_EmissionsFromPurchasedLime</v>
      </c>
    </row>
    <row r="306" spans="1:13" ht="20.100000000000001" customHeight="1" x14ac:dyDescent="0.2">
      <c r="A306" s="79" t="str">
        <f>HYPERLINK("#A1", "▲ Back to top")</f>
        <v>▲ Back to top</v>
      </c>
    </row>
    <row r="308" spans="1:13" ht="20.100000000000001" customHeight="1" x14ac:dyDescent="0.2">
      <c r="D308" s="75" t="s">
        <v>322</v>
      </c>
      <c r="E308" s="1" t="str" cm="1">
        <f t="array" ref="E308">Scope3_Equations.VEERG_15_6_1_1__1_EmissionsFromPurchasedLime_Variable()</f>
        <v>E</v>
      </c>
    </row>
    <row r="309" spans="1:13" ht="20.100000000000001" customHeight="1" x14ac:dyDescent="0.2">
      <c r="D309" s="75" t="s">
        <v>118</v>
      </c>
      <c r="E309" s="1" t="str" cm="1">
        <f t="array" ref="E309">Scope3_Equations.VEERG_15_6_1_1__1_EmissionsFromPurchasedLime_Unit()</f>
        <v>t CO2e</v>
      </c>
    </row>
    <row r="311" spans="1:13" ht="20.100000000000001" customHeight="1" x14ac:dyDescent="0.2">
      <c r="D311" s="113" t="str" cm="1">
        <f t="array" ref="D311:E312">_xlfn.CHOOSECOLS(Scope3_Equations.VEERG_15_6_1_1__1_EmissionsFromPurchasedLime_Arguments(),1,2)</f>
        <v>M_lime</v>
      </c>
      <c r="E311" s="113" t="str">
        <v>total quantity of lime applied to soils</v>
      </c>
      <c r="F311" s="113" t="str" cm="1">
        <f t="array" ref="F311:G312">_xlfn.CHOOSECOLS(Scope3_Equations.VEERG_15_6_1_1__1_EmissionsFromPurchasedLime_Arguments(),3,4)</f>
        <v>t</v>
      </c>
      <c r="G311" s="247" t="str">
        <v>Input</v>
      </c>
    </row>
    <row r="312" spans="1:13" ht="20.100000000000001" customHeight="1" x14ac:dyDescent="0.2">
      <c r="D312" s="113" t="str">
        <v>EF_l</v>
      </c>
      <c r="E312" s="113" t="str">
        <v>emission factor for purchased lime</v>
      </c>
      <c r="F312" s="113" t="str">
        <v>t CO2e/t</v>
      </c>
      <c r="G312" s="115" t="str">
        <v>Constant</v>
      </c>
    </row>
    <row r="314" spans="1:13" ht="20.100000000000001" customHeight="1" x14ac:dyDescent="0.2">
      <c r="E314" s="120" t="s">
        <v>130</v>
      </c>
      <c r="F314" s="78" t="s">
        <v>131</v>
      </c>
    </row>
    <row r="315" spans="1:13" ht="20.100000000000001" customHeight="1" x14ac:dyDescent="0.2">
      <c r="D315" s="1" t="s">
        <v>1110</v>
      </c>
      <c r="E315" s="15" cm="1">
        <f t="array" ref="E315">Common_InputFunctions.Utility_LookupValueInTableNumber("Limestone (crushed)", Table_SourceData_Scope3_SoilAmeliorants[Product],Table_SourceData_Scope3_SoilAmeliorants[Emissions intensity])*10^-3</f>
        <v>4.85E-5</v>
      </c>
      <c r="F315" s="74">
        <v>4.0000000000000003E-5</v>
      </c>
      <c r="G315" s="16" t="str">
        <f>$F$312</f>
        <v>t CO2e/t</v>
      </c>
    </row>
    <row r="316" spans="1:13" ht="20.100000000000001" customHeight="1" x14ac:dyDescent="0.2">
      <c r="D316" s="1" t="s">
        <v>1111</v>
      </c>
      <c r="E316" s="15" cm="1">
        <f t="array" ref="E316">Common_InputFunctions.Utility_LookupValueInTableNumber("Dolomite", Table_SourceData_Scope3_SoilAmeliorants[Product],Table_SourceData_Scope3_SoilAmeliorants[Emissions intensity])*10^-3</f>
        <v>6.5199999999999999E-5</v>
      </c>
      <c r="F316" s="74">
        <v>6.0000000000000002E-5</v>
      </c>
      <c r="G316" s="16"/>
    </row>
    <row r="317" spans="1:13" ht="20.100000000000001" customHeight="1" x14ac:dyDescent="0.2">
      <c r="D317" s="1" t="s">
        <v>1112</v>
      </c>
      <c r="E317" s="15" cm="1">
        <f t="array" ref="E317">Common_InputFunctions.Utility_LookupValueInTableNumber("Gypsum", Table_SourceData_Scope3_SoilAmeliorants[Product],Table_SourceData_Scope3_SoilAmeliorants[Emissions intensity])*10^-3</f>
        <v>6.5199999999999999E-5</v>
      </c>
      <c r="F317" s="74">
        <v>6.0000000000000002E-5</v>
      </c>
      <c r="G317" s="16"/>
    </row>
    <row r="319" spans="1:13" ht="20.100000000000001" customHeight="1" x14ac:dyDescent="0.2">
      <c r="D319" s="78" t="s">
        <v>948</v>
      </c>
      <c r="E319" s="248" t="s">
        <v>1113</v>
      </c>
      <c r="F319" s="78" t="s">
        <v>1114</v>
      </c>
      <c r="G319" s="78" t="s">
        <v>1115</v>
      </c>
      <c r="H319" s="78" t="s">
        <v>1116</v>
      </c>
      <c r="I319" s="120" t="s">
        <v>1037</v>
      </c>
      <c r="J319" s="120" t="s">
        <v>1117</v>
      </c>
      <c r="K319" s="78" t="s">
        <v>1041</v>
      </c>
      <c r="L319" s="78" t="s">
        <v>1042</v>
      </c>
      <c r="M319" s="78" t="s">
        <v>1043</v>
      </c>
    </row>
    <row r="320" spans="1:13" ht="20.100000000000001" customHeight="1" x14ac:dyDescent="0.2">
      <c r="D320" s="15" t="str" cm="1">
        <f t="array" ref="D320:D329">IFERROR(INDEX(Table_Input_Lime[Product], _xlfn.SEQUENCE(10)), "")</f>
        <v>Lime product 1</v>
      </c>
      <c r="E320" s="15" cm="1">
        <f t="array" ref="E320:E329">IFERROR(INDEX(Table_Input_Lime[Total amount applied (t)], _xlfn.SEQUENCE(10)), 0)</f>
        <v>100</v>
      </c>
      <c r="F320" s="15" cm="1">
        <f t="array" ref="F320:F329">IFERROR(INDEX(Table_Input_Lime[Percent Lime CaCO3], _xlfn.SEQUENCE(10)), 0)*E320</f>
        <v>80</v>
      </c>
      <c r="G320" s="15" cm="1">
        <f t="array" ref="G320:G329">IFERROR(INDEX(Table_Input_Lime[Percent Dolomite CaMg(CO3)2], _xlfn.SEQUENCE(10)), 0)*E320</f>
        <v>10</v>
      </c>
      <c r="H320" s="15" cm="1">
        <f t="array" ref="H320:H329">IFERROR(INDEX(Table_Input_Lime[Percent Gypsum], _xlfn.SEQUENCE(10)), 0)*E320</f>
        <v>10</v>
      </c>
      <c r="I320" s="249" cm="1">
        <f t="array" ref="I320">Scope3_Equations.VEERG_15_6_1_1__1_EmissionsFromPurchasedLime(F320,$E$315)+
Scope3_Equations.VEERG_15_6_1_1__1_EmissionsFromPurchasedLime(G320,$E$316)+
Scope3_Equations.VEERG_15_6_1_1__1_EmissionsFromPurchasedLime(H320,$E$317)</f>
        <v>5.1839999999999994E-3</v>
      </c>
      <c r="J320" s="249" cm="1">
        <f t="array" ref="J320">Scope3_Equations.VEERG_15_6_1_1__1_EmissionsFromPurchasedLime(F320,IF($F$315,$F$315,$E$315))+
Scope3_Equations.VEERG_15_6_1_1__1_EmissionsFromPurchasedLime(G320,IF($F$316,$F$316,$E$316))+
Scope3_Equations.VEERG_15_6_1_1__1_EmissionsFromPurchasedLime(H320,IF($F$317,$F$317,$E$317))</f>
        <v>4.4000000000000003E-3</v>
      </c>
      <c r="K320" s="33"/>
      <c r="L320" s="13"/>
      <c r="M320" s="33"/>
    </row>
    <row r="321" spans="1:41" ht="20.100000000000001" customHeight="1" x14ac:dyDescent="0.2">
      <c r="D321" s="15" t="str">
        <v>Lime product 2</v>
      </c>
      <c r="E321" s="15">
        <v>100</v>
      </c>
      <c r="F321" s="15">
        <v>100</v>
      </c>
      <c r="G321" s="15">
        <v>0</v>
      </c>
      <c r="H321" s="15">
        <v>0</v>
      </c>
      <c r="I321" s="249" cm="1">
        <f t="array" ref="I321">Scope3_Equations.VEERG_15_6_1_1__1_EmissionsFromPurchasedLime(F321,$E$315)+
Scope3_Equations.VEERG_15_6_1_1__1_EmissionsFromPurchasedLime(G321,$E$316)+
Scope3_Equations.VEERG_15_6_1_1__1_EmissionsFromPurchasedLime(H321,$E$317)</f>
        <v>4.8500000000000001E-3</v>
      </c>
      <c r="J321" s="249" cm="1">
        <f t="array" ref="J321">Scope3_Equations.VEERG_15_6_1_1__1_EmissionsFromPurchasedLime(F321,IF($F$315,$F$315,$E$315))+
Scope3_Equations.VEERG_15_6_1_1__1_EmissionsFromPurchasedLime(G321,IF($F$316,$F$316,$E$316))+
Scope3_Equations.VEERG_15_6_1_1__1_EmissionsFromPurchasedLime(H321,IF($F$317,$F$317,$E$317))</f>
        <v>4.0000000000000001E-3</v>
      </c>
      <c r="K321" s="33"/>
      <c r="L321" s="13"/>
      <c r="M321" s="33"/>
    </row>
    <row r="322" spans="1:41" ht="20.100000000000001" customHeight="1" x14ac:dyDescent="0.2">
      <c r="D322" s="15" t="str">
        <v>Lime product 3</v>
      </c>
      <c r="E322" s="15">
        <v>100</v>
      </c>
      <c r="F322" s="15">
        <v>0</v>
      </c>
      <c r="G322" s="15">
        <v>0</v>
      </c>
      <c r="H322" s="15">
        <v>100</v>
      </c>
      <c r="I322" s="249" cm="1">
        <f t="array" ref="I322">Scope3_Equations.VEERG_15_6_1_1__1_EmissionsFromPurchasedLime(F322,$E$315)+
Scope3_Equations.VEERG_15_6_1_1__1_EmissionsFromPurchasedLime(G322,$E$316)+
Scope3_Equations.VEERG_15_6_1_1__1_EmissionsFromPurchasedLime(H322,$E$317)</f>
        <v>6.5199999999999998E-3</v>
      </c>
      <c r="J322" s="249" cm="1">
        <f t="array" ref="J322">Scope3_Equations.VEERG_15_6_1_1__1_EmissionsFromPurchasedLime(F322,IF($F$315,$F$315,$E$315))+
Scope3_Equations.VEERG_15_6_1_1__1_EmissionsFromPurchasedLime(G322,IF($F$316,$F$316,$E$316))+
Scope3_Equations.VEERG_15_6_1_1__1_EmissionsFromPurchasedLime(H322,IF($F$317,$F$317,$E$317))</f>
        <v>6.0000000000000001E-3</v>
      </c>
      <c r="K322" s="33"/>
      <c r="L322" s="13"/>
      <c r="M322" s="33"/>
    </row>
    <row r="323" spans="1:41" ht="20.100000000000001" customHeight="1" x14ac:dyDescent="0.2">
      <c r="D323" s="15" t="str">
        <v/>
      </c>
      <c r="E323" s="15">
        <v>0</v>
      </c>
      <c r="F323" s="15">
        <v>0</v>
      </c>
      <c r="G323" s="15">
        <v>0</v>
      </c>
      <c r="H323" s="15">
        <v>0</v>
      </c>
      <c r="I323" s="249" cm="1">
        <f t="array" ref="I323">Scope3_Equations.VEERG_15_6_1_1__1_EmissionsFromPurchasedLime(F323,$E$315)+
Scope3_Equations.VEERG_15_6_1_1__1_EmissionsFromPurchasedLime(G323,$E$316)+
Scope3_Equations.VEERG_15_6_1_1__1_EmissionsFromPurchasedLime(H323,$E$317)</f>
        <v>0</v>
      </c>
      <c r="J323" s="249" cm="1">
        <f t="array" ref="J323">Scope3_Equations.VEERG_15_6_1_1__1_EmissionsFromPurchasedLime(F323,IF($F$315,$F$315,$E$315))+
Scope3_Equations.VEERG_15_6_1_1__1_EmissionsFromPurchasedLime(G323,IF($F$316,$F$316,$E$316))+
Scope3_Equations.VEERG_15_6_1_1__1_EmissionsFromPurchasedLime(H323,IF($F$317,$F$317,$E$317))</f>
        <v>0</v>
      </c>
      <c r="K323" s="33"/>
      <c r="L323" s="13"/>
      <c r="M323" s="33"/>
    </row>
    <row r="324" spans="1:41" ht="20.100000000000001" customHeight="1" x14ac:dyDescent="0.2">
      <c r="D324" s="15" t="str">
        <v/>
      </c>
      <c r="E324" s="15">
        <v>0</v>
      </c>
      <c r="F324" s="15">
        <v>0</v>
      </c>
      <c r="G324" s="15">
        <v>0</v>
      </c>
      <c r="H324" s="15">
        <v>0</v>
      </c>
      <c r="I324" s="249" cm="1">
        <f t="array" ref="I324">Scope3_Equations.VEERG_15_6_1_1__1_EmissionsFromPurchasedLime(F324,$E$315)+
Scope3_Equations.VEERG_15_6_1_1__1_EmissionsFromPurchasedLime(G324,$E$316)+
Scope3_Equations.VEERG_15_6_1_1__1_EmissionsFromPurchasedLime(H324,$E$317)</f>
        <v>0</v>
      </c>
      <c r="J324" s="249" cm="1">
        <f t="array" ref="J324">Scope3_Equations.VEERG_15_6_1_1__1_EmissionsFromPurchasedLime(F324,IF($F$315,$F$315,$E$315))+
Scope3_Equations.VEERG_15_6_1_1__1_EmissionsFromPurchasedLime(G324,IF($F$316,$F$316,$E$316))+
Scope3_Equations.VEERG_15_6_1_1__1_EmissionsFromPurchasedLime(H324,IF($F$317,$F$317,$E$317))</f>
        <v>0</v>
      </c>
      <c r="K324" s="33"/>
      <c r="L324" s="13"/>
      <c r="M324" s="33"/>
    </row>
    <row r="325" spans="1:41" ht="20.100000000000001" customHeight="1" x14ac:dyDescent="0.2">
      <c r="D325" s="15" t="str">
        <v/>
      </c>
      <c r="E325" s="15">
        <v>0</v>
      </c>
      <c r="F325" s="15">
        <v>0</v>
      </c>
      <c r="G325" s="15">
        <v>0</v>
      </c>
      <c r="H325" s="15">
        <v>0</v>
      </c>
      <c r="I325" s="249" cm="1">
        <f t="array" ref="I325">Scope3_Equations.VEERG_15_6_1_1__1_EmissionsFromPurchasedLime(F325,$E$315)+
Scope3_Equations.VEERG_15_6_1_1__1_EmissionsFromPurchasedLime(G325,$E$316)+
Scope3_Equations.VEERG_15_6_1_1__1_EmissionsFromPurchasedLime(H325,$E$317)</f>
        <v>0</v>
      </c>
      <c r="J325" s="249" cm="1">
        <f t="array" ref="J325">Scope3_Equations.VEERG_15_6_1_1__1_EmissionsFromPurchasedLime(F325,IF($F$315,$F$315,$E$315))+
Scope3_Equations.VEERG_15_6_1_1__1_EmissionsFromPurchasedLime(G325,IF($F$316,$F$316,$E$316))+
Scope3_Equations.VEERG_15_6_1_1__1_EmissionsFromPurchasedLime(H325,IF($F$317,$F$317,$E$317))</f>
        <v>0</v>
      </c>
      <c r="K325" s="33"/>
      <c r="L325" s="13"/>
      <c r="M325" s="33"/>
    </row>
    <row r="326" spans="1:41" ht="20.100000000000001" customHeight="1" x14ac:dyDescent="0.2">
      <c r="D326" s="15" t="str">
        <v/>
      </c>
      <c r="E326" s="15">
        <v>0</v>
      </c>
      <c r="F326" s="15">
        <v>0</v>
      </c>
      <c r="G326" s="15">
        <v>0</v>
      </c>
      <c r="H326" s="15">
        <v>0</v>
      </c>
      <c r="I326" s="249" cm="1">
        <f t="array" ref="I326">Scope3_Equations.VEERG_15_6_1_1__1_EmissionsFromPurchasedLime(F326,$E$315)+
Scope3_Equations.VEERG_15_6_1_1__1_EmissionsFromPurchasedLime(G326,$E$316)+
Scope3_Equations.VEERG_15_6_1_1__1_EmissionsFromPurchasedLime(H326,$E$317)</f>
        <v>0</v>
      </c>
      <c r="J326" s="249" cm="1">
        <f t="array" ref="J326">Scope3_Equations.VEERG_15_6_1_1__1_EmissionsFromPurchasedLime(F326,IF($F$315,$F$315,$E$315))+
Scope3_Equations.VEERG_15_6_1_1__1_EmissionsFromPurchasedLime(G326,IF($F$316,$F$316,$E$316))+
Scope3_Equations.VEERG_15_6_1_1__1_EmissionsFromPurchasedLime(H326,IF($F$317,$F$317,$E$317))</f>
        <v>0</v>
      </c>
      <c r="K326" s="33"/>
      <c r="L326" s="13"/>
      <c r="M326" s="33"/>
    </row>
    <row r="327" spans="1:41" ht="20.100000000000001" customHeight="1" x14ac:dyDescent="0.2">
      <c r="D327" s="15" t="str">
        <v/>
      </c>
      <c r="E327" s="15">
        <v>0</v>
      </c>
      <c r="F327" s="15">
        <v>0</v>
      </c>
      <c r="G327" s="15">
        <v>0</v>
      </c>
      <c r="H327" s="15">
        <v>0</v>
      </c>
      <c r="I327" s="249" cm="1">
        <f t="array" ref="I327">Scope3_Equations.VEERG_15_6_1_1__1_EmissionsFromPurchasedLime(F327,$E$315)+
Scope3_Equations.VEERG_15_6_1_1__1_EmissionsFromPurchasedLime(G327,$E$316)+
Scope3_Equations.VEERG_15_6_1_1__1_EmissionsFromPurchasedLime(H327,$E$317)</f>
        <v>0</v>
      </c>
      <c r="J327" s="249" cm="1">
        <f t="array" ref="J327">Scope3_Equations.VEERG_15_6_1_1__1_EmissionsFromPurchasedLime(F327,IF($F$315,$F$315,$E$315))+
Scope3_Equations.VEERG_15_6_1_1__1_EmissionsFromPurchasedLime(G327,IF($F$316,$F$316,$E$316))+
Scope3_Equations.VEERG_15_6_1_1__1_EmissionsFromPurchasedLime(H327,IF($F$317,$F$317,$E$317))</f>
        <v>0</v>
      </c>
      <c r="K327" s="33"/>
      <c r="L327" s="13"/>
      <c r="M327" s="33"/>
    </row>
    <row r="328" spans="1:41" ht="20.100000000000001" customHeight="1" x14ac:dyDescent="0.2">
      <c r="D328" s="15" t="str">
        <v/>
      </c>
      <c r="E328" s="15">
        <v>0</v>
      </c>
      <c r="F328" s="15">
        <v>0</v>
      </c>
      <c r="G328" s="15">
        <v>0</v>
      </c>
      <c r="H328" s="15">
        <v>0</v>
      </c>
      <c r="I328" s="249" cm="1">
        <f t="array" ref="I328">Scope3_Equations.VEERG_15_6_1_1__1_EmissionsFromPurchasedLime(F328,$E$315)+
Scope3_Equations.VEERG_15_6_1_1__1_EmissionsFromPurchasedLime(G328,$E$316)+
Scope3_Equations.VEERG_15_6_1_1__1_EmissionsFromPurchasedLime(H328,$E$317)</f>
        <v>0</v>
      </c>
      <c r="J328" s="249" cm="1">
        <f t="array" ref="J328">Scope3_Equations.VEERG_15_6_1_1__1_EmissionsFromPurchasedLime(F328,IF($F$315,$F$315,$E$315))+
Scope3_Equations.VEERG_15_6_1_1__1_EmissionsFromPurchasedLime(G328,IF($F$316,$F$316,$E$316))+
Scope3_Equations.VEERG_15_6_1_1__1_EmissionsFromPurchasedLime(H328,IF($F$317,$F$317,$E$317))</f>
        <v>0</v>
      </c>
      <c r="K328" s="33"/>
      <c r="L328" s="13"/>
      <c r="M328" s="33"/>
    </row>
    <row r="329" spans="1:41" ht="20.100000000000001" customHeight="1" x14ac:dyDescent="0.2">
      <c r="D329" s="15" t="str">
        <v/>
      </c>
      <c r="E329" s="15">
        <v>0</v>
      </c>
      <c r="F329" s="15">
        <v>0</v>
      </c>
      <c r="G329" s="15">
        <v>0</v>
      </c>
      <c r="H329" s="15">
        <v>0</v>
      </c>
      <c r="I329" s="249" cm="1">
        <f t="array" ref="I329">Scope3_Equations.VEERG_15_6_1_1__1_EmissionsFromPurchasedLime(F329,$E$315)+
Scope3_Equations.VEERG_15_6_1_1__1_EmissionsFromPurchasedLime(G329,$E$316)+
Scope3_Equations.VEERG_15_6_1_1__1_EmissionsFromPurchasedLime(H329,$E$317)</f>
        <v>0</v>
      </c>
      <c r="J329" s="249" cm="1">
        <f t="array" ref="J329">Scope3_Equations.VEERG_15_6_1_1__1_EmissionsFromPurchasedLime(F329,IF($F$315,$F$315,$E$315))+
Scope3_Equations.VEERG_15_6_1_1__1_EmissionsFromPurchasedLime(G329,IF($F$316,$F$316,$E$316))+
Scope3_Equations.VEERG_15_6_1_1__1_EmissionsFromPurchasedLime(H329,IF($F$317,$F$317,$E$317))</f>
        <v>0</v>
      </c>
      <c r="K329" s="33"/>
      <c r="L329" s="13"/>
      <c r="M329" s="33"/>
    </row>
    <row r="331" spans="1:41" ht="20.100000000000001" customHeight="1" x14ac:dyDescent="0.2">
      <c r="D331" s="251" t="s">
        <v>1037</v>
      </c>
      <c r="E331" s="86">
        <f>SUM(I320:I329)</f>
        <v>1.6553999999999999E-2</v>
      </c>
      <c r="F331" s="95" t="str">
        <f>$E$170</f>
        <v>t CO2e</v>
      </c>
    </row>
    <row r="332" spans="1:41" ht="20.100000000000001" customHeight="1" x14ac:dyDescent="0.2">
      <c r="D332" s="251" t="s">
        <v>1040</v>
      </c>
      <c r="E332" s="86">
        <f>SUM(J320:J329)</f>
        <v>1.4400000000000001E-2</v>
      </c>
      <c r="F332" s="95" t="str">
        <f>$E$170</f>
        <v>t CO2e</v>
      </c>
    </row>
    <row r="335" spans="1:41" ht="20.100000000000001" customHeight="1" x14ac:dyDescent="0.2">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row>
    <row r="336" spans="1:41" ht="20.100000000000001" customHeight="1" x14ac:dyDescent="0.2">
      <c r="A336" s="79" t="str">
        <f>HYPERLINK("#A1", "▲ Back to top")</f>
        <v>▲ Back to top</v>
      </c>
      <c r="D336" s="2" t="str" cm="1">
        <f t="array" ref="D336">Scope3_Equations.VEERG_15_7_1_1__1_EmissionsFromPurchasedServices_Title()</f>
        <v>Emissions of purchased services and contractor operations</v>
      </c>
    </row>
    <row r="337" spans="4:15" ht="20.100000000000001" customHeight="1" x14ac:dyDescent="0.2">
      <c r="D337" s="17" t="str" cm="1">
        <f t="array" ref="D337">Scope3_Equations.VEERG_15_7_1_1__1_EmissionsFromPurchasedServices_Source()</f>
        <v>VEERG 2026: 15.7.1.1, Equation (1)</v>
      </c>
    </row>
    <row r="338" spans="4:15" ht="20.100000000000001" customHeight="1" x14ac:dyDescent="0.2">
      <c r="D338" s="112" t="s">
        <v>321</v>
      </c>
      <c r="E338" s="112" t="str" cm="1">
        <f t="array" aca="1" ref="E338" ca="1">Common_InputFunctions.Utility_DisplayFunctionName(K351)</f>
        <v>=Scope3_Equations.VEERG_15_7_1_1__1_EmissionsFromPurchasedServices</v>
      </c>
    </row>
    <row r="340" spans="4:15" ht="20.100000000000001" customHeight="1" x14ac:dyDescent="0.2">
      <c r="H340" s="1" t="s">
        <v>1118</v>
      </c>
    </row>
    <row r="341" spans="4:15" ht="20.100000000000001" customHeight="1" x14ac:dyDescent="0.2">
      <c r="D341" s="75" t="s">
        <v>322</v>
      </c>
      <c r="E341" s="1" t="str" cm="1">
        <f t="array" ref="E341">Scope3_Equations.VEERG_15_7_1_1__1_EmissionsFromPurchasedServices_Variable()</f>
        <v>E</v>
      </c>
    </row>
    <row r="342" spans="4:15" ht="20.100000000000001" customHeight="1" x14ac:dyDescent="0.2">
      <c r="D342" s="75" t="s">
        <v>118</v>
      </c>
      <c r="E342" s="1" t="str" cm="1">
        <f t="array" ref="E342">Scope3_Equations.VEERG_15_7_1_1__1_EmissionsFromPurchasedServices_Unit()</f>
        <v>t CO2e</v>
      </c>
    </row>
    <row r="344" spans="4:15" ht="20.100000000000001" customHeight="1" x14ac:dyDescent="0.2">
      <c r="D344" s="113" t="str" cm="1">
        <f t="array" ref="D344:E346">_xlfn.CHOOSECOLS(Scope3_Equations.VEERG_15_7_1_1__1_EmissionsFromPurchasedServices_Arguments(),1,2)</f>
        <v>A_p</v>
      </c>
      <c r="E344" s="121" t="str">
        <v>activity data of the service that was purchased</v>
      </c>
      <c r="F344" s="122"/>
      <c r="G344" s="113" t="str" cm="1">
        <f t="array" ref="G344:H346">_xlfn.CHOOSECOLS(Scope3_Equations.VEERG_15_7_1_1__1_EmissionsFromPurchasedServices_Arguments(),3,4)</f>
        <v>ha or h</v>
      </c>
      <c r="H344" s="247" t="str">
        <v>Input</v>
      </c>
    </row>
    <row r="345" spans="4:15" ht="20.100000000000001" customHeight="1" x14ac:dyDescent="0.2">
      <c r="D345" s="113" t="str">
        <v>EF_p</v>
      </c>
      <c r="E345" s="121" t="str">
        <v>life cycle emission factor for the purchased service</v>
      </c>
      <c r="F345" s="122"/>
      <c r="G345" s="113" t="str">
        <v>kg CO2e/ha or kg CO2e/h</v>
      </c>
      <c r="H345" s="115" t="str">
        <v>Constant</v>
      </c>
    </row>
    <row r="346" spans="4:15" ht="20.100000000000001" customHeight="1" x14ac:dyDescent="0.2">
      <c r="D346" s="113" t="str">
        <v>p</v>
      </c>
      <c r="E346" s="121" t="str">
        <v>service type</v>
      </c>
      <c r="F346" s="122"/>
      <c r="G346" s="113" t="str">
        <v/>
      </c>
      <c r="H346" s="247" t="str">
        <v>Input</v>
      </c>
    </row>
    <row r="348" spans="4:15" ht="20.100000000000001" customHeight="1" x14ac:dyDescent="0.2">
      <c r="D348" s="25" t="s">
        <v>1119</v>
      </c>
    </row>
    <row r="350" spans="4:15" ht="20.100000000000001" customHeight="1" x14ac:dyDescent="0.2">
      <c r="D350" s="78" t="s">
        <v>958</v>
      </c>
      <c r="E350" s="78" t="s">
        <v>959</v>
      </c>
      <c r="F350" s="78" t="s">
        <v>960</v>
      </c>
      <c r="G350" s="78" t="s">
        <v>585</v>
      </c>
      <c r="H350" s="120" t="s">
        <v>1120</v>
      </c>
      <c r="I350" s="120" t="s">
        <v>1121</v>
      </c>
      <c r="J350" s="78" t="s">
        <v>1122</v>
      </c>
      <c r="K350" s="120" t="s">
        <v>1123</v>
      </c>
      <c r="L350" s="120" t="s">
        <v>1124</v>
      </c>
      <c r="M350" s="78" t="s">
        <v>1041</v>
      </c>
      <c r="N350" s="78" t="s">
        <v>1042</v>
      </c>
      <c r="O350" s="78" t="s">
        <v>1043</v>
      </c>
    </row>
    <row r="351" spans="4: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1125</v>
      </c>
      <c r="I351" s="15" t="s">
        <v>1125</v>
      </c>
      <c r="J351" s="74">
        <v>0.1</v>
      </c>
      <c r="K351" s="249" cm="1">
        <f t="array" ref="K351">Scope3_Equations.VEERG_15_7_1_1__1_EmissionsFromPurchasedServices(F351,J351)</f>
        <v>1</v>
      </c>
      <c r="L351" s="15" t="str">
        <f>"t CO2e / " &amp; G351</f>
        <v>t CO2e / Hour</v>
      </c>
      <c r="M351" s="33"/>
      <c r="N351" s="13"/>
      <c r="O351" s="33"/>
    </row>
    <row r="352" spans="4:15" ht="20.100000000000001" customHeight="1" x14ac:dyDescent="0.2">
      <c r="D352" s="15" t="str">
        <v>Harini's Harvesting Services Pty Ltd</v>
      </c>
      <c r="E352" s="15" t="str">
        <v>Wheat harvesting</v>
      </c>
      <c r="F352" s="15">
        <v>1000</v>
      </c>
      <c r="G352" s="15" t="str">
        <v>Hectare</v>
      </c>
      <c r="H352" s="15" t="s">
        <v>1125</v>
      </c>
      <c r="I352" s="15" t="s">
        <v>1125</v>
      </c>
      <c r="J352" s="74">
        <v>0.1</v>
      </c>
      <c r="K352" s="249" cm="1">
        <f t="array" ref="K352">Scope3_Equations.VEERG_15_7_1_1__1_EmissionsFromPurchasedServices(F352,J352)</f>
        <v>0.1</v>
      </c>
      <c r="L352" s="15" t="str">
        <f t="shared" ref="L352:L360" si="1">"t CO2e / " &amp; G352</f>
        <v>t CO2e / Hectare</v>
      </c>
      <c r="M352" s="33"/>
      <c r="N352" s="13"/>
      <c r="O352" s="33"/>
    </row>
    <row r="353" spans="1:41" ht="20.100000000000001" customHeight="1" x14ac:dyDescent="0.2">
      <c r="D353" s="15">
        <v>0</v>
      </c>
      <c r="E353" s="15">
        <v>0</v>
      </c>
      <c r="F353" s="15">
        <v>0</v>
      </c>
      <c r="G353" s="15">
        <v>0</v>
      </c>
      <c r="H353" s="15" t="s">
        <v>1125</v>
      </c>
      <c r="I353" s="15" t="s">
        <v>1125</v>
      </c>
      <c r="J353" s="74"/>
      <c r="K353" s="249" cm="1">
        <f t="array" ref="K353">Scope3_Equations.VEERG_15_7_1_1__1_EmissionsFromPurchasedServices(F353,J353)</f>
        <v>0</v>
      </c>
      <c r="L353" s="15" t="str">
        <f t="shared" si="1"/>
        <v>t CO2e / 0</v>
      </c>
      <c r="M353" s="33"/>
      <c r="N353" s="13"/>
      <c r="O353" s="33"/>
    </row>
    <row r="354" spans="1:41" ht="20.100000000000001" customHeight="1" x14ac:dyDescent="0.2">
      <c r="D354" s="15">
        <v>0</v>
      </c>
      <c r="E354" s="15">
        <v>0</v>
      </c>
      <c r="F354" s="15">
        <v>0</v>
      </c>
      <c r="G354" s="15">
        <v>0</v>
      </c>
      <c r="H354" s="15" t="s">
        <v>1125</v>
      </c>
      <c r="I354" s="15" t="s">
        <v>1125</v>
      </c>
      <c r="J354" s="74"/>
      <c r="K354" s="249" cm="1">
        <f t="array" ref="K354">Scope3_Equations.VEERG_15_7_1_1__1_EmissionsFromPurchasedServices(F354,J354)</f>
        <v>0</v>
      </c>
      <c r="L354" s="15" t="str">
        <f t="shared" si="1"/>
        <v>t CO2e / 0</v>
      </c>
      <c r="M354" s="33"/>
      <c r="N354" s="13"/>
      <c r="O354" s="33"/>
    </row>
    <row r="355" spans="1:41" ht="20.100000000000001" customHeight="1" x14ac:dyDescent="0.2">
      <c r="D355" s="15">
        <v>0</v>
      </c>
      <c r="E355" s="15">
        <v>0</v>
      </c>
      <c r="F355" s="15">
        <v>0</v>
      </c>
      <c r="G355" s="15">
        <v>0</v>
      </c>
      <c r="H355" s="15" t="s">
        <v>1125</v>
      </c>
      <c r="I355" s="15" t="s">
        <v>1125</v>
      </c>
      <c r="J355" s="74"/>
      <c r="K355" s="249" cm="1">
        <f t="array" ref="K355">Scope3_Equations.VEERG_15_7_1_1__1_EmissionsFromPurchasedServices(F355,J355)</f>
        <v>0</v>
      </c>
      <c r="L355" s="15" t="str">
        <f t="shared" si="1"/>
        <v>t CO2e / 0</v>
      </c>
      <c r="M355" s="33"/>
      <c r="N355" s="13"/>
      <c r="O355" s="33"/>
    </row>
    <row r="356" spans="1:41" ht="20.100000000000001" customHeight="1" x14ac:dyDescent="0.2">
      <c r="D356" s="15">
        <v>0</v>
      </c>
      <c r="E356" s="15">
        <v>0</v>
      </c>
      <c r="F356" s="15">
        <v>0</v>
      </c>
      <c r="G356" s="15">
        <v>0</v>
      </c>
      <c r="H356" s="15" t="s">
        <v>1125</v>
      </c>
      <c r="I356" s="15" t="s">
        <v>1125</v>
      </c>
      <c r="J356" s="74"/>
      <c r="K356" s="249" cm="1">
        <f t="array" ref="K356">Scope3_Equations.VEERG_15_7_1_1__1_EmissionsFromPurchasedServices(F356,J356)</f>
        <v>0</v>
      </c>
      <c r="L356" s="15" t="str">
        <f t="shared" si="1"/>
        <v>t CO2e / 0</v>
      </c>
      <c r="M356" s="33"/>
      <c r="N356" s="13"/>
      <c r="O356" s="33"/>
    </row>
    <row r="357" spans="1:41" ht="20.100000000000001" customHeight="1" x14ac:dyDescent="0.2">
      <c r="D357" s="15">
        <v>0</v>
      </c>
      <c r="E357" s="15">
        <v>0</v>
      </c>
      <c r="F357" s="15">
        <v>0</v>
      </c>
      <c r="G357" s="15">
        <v>0</v>
      </c>
      <c r="H357" s="15" t="s">
        <v>1125</v>
      </c>
      <c r="I357" s="15" t="s">
        <v>1125</v>
      </c>
      <c r="J357" s="74"/>
      <c r="K357" s="249" cm="1">
        <f t="array" ref="K357">Scope3_Equations.VEERG_15_7_1_1__1_EmissionsFromPurchasedServices(F357,J357)</f>
        <v>0</v>
      </c>
      <c r="L357" s="15" t="str">
        <f t="shared" si="1"/>
        <v>t CO2e / 0</v>
      </c>
      <c r="M357" s="33"/>
      <c r="N357" s="13"/>
      <c r="O357" s="33"/>
    </row>
    <row r="358" spans="1:41" ht="20.100000000000001" customHeight="1" x14ac:dyDescent="0.2">
      <c r="D358" s="15">
        <v>0</v>
      </c>
      <c r="E358" s="15">
        <v>0</v>
      </c>
      <c r="F358" s="15">
        <v>0</v>
      </c>
      <c r="G358" s="15">
        <v>0</v>
      </c>
      <c r="H358" s="15" t="s">
        <v>1125</v>
      </c>
      <c r="I358" s="15" t="s">
        <v>1125</v>
      </c>
      <c r="J358" s="74"/>
      <c r="K358" s="249" cm="1">
        <f t="array" ref="K358">Scope3_Equations.VEERG_15_7_1_1__1_EmissionsFromPurchasedServices(F358,J358)</f>
        <v>0</v>
      </c>
      <c r="L358" s="15" t="str">
        <f t="shared" si="1"/>
        <v>t CO2e / 0</v>
      </c>
      <c r="M358" s="33"/>
      <c r="N358" s="13"/>
      <c r="O358" s="33"/>
    </row>
    <row r="359" spans="1:41" ht="20.100000000000001" customHeight="1" x14ac:dyDescent="0.2">
      <c r="D359" s="15">
        <v>0</v>
      </c>
      <c r="E359" s="15">
        <v>0</v>
      </c>
      <c r="F359" s="15">
        <v>0</v>
      </c>
      <c r="G359" s="15">
        <v>0</v>
      </c>
      <c r="H359" s="15" t="s">
        <v>1125</v>
      </c>
      <c r="I359" s="15" t="s">
        <v>1125</v>
      </c>
      <c r="J359" s="74"/>
      <c r="K359" s="249" cm="1">
        <f t="array" ref="K359">Scope3_Equations.VEERG_15_7_1_1__1_EmissionsFromPurchasedServices(F359,J359)</f>
        <v>0</v>
      </c>
      <c r="L359" s="15" t="str">
        <f t="shared" si="1"/>
        <v>t CO2e / 0</v>
      </c>
      <c r="M359" s="33"/>
      <c r="N359" s="13"/>
      <c r="O359" s="33"/>
    </row>
    <row r="360" spans="1:41" ht="20.100000000000001" customHeight="1" x14ac:dyDescent="0.2">
      <c r="D360" s="15">
        <v>0</v>
      </c>
      <c r="E360" s="15">
        <v>0</v>
      </c>
      <c r="F360" s="15">
        <v>0</v>
      </c>
      <c r="G360" s="15">
        <v>0</v>
      </c>
      <c r="H360" s="15" t="s">
        <v>1125</v>
      </c>
      <c r="I360" s="15" t="s">
        <v>1125</v>
      </c>
      <c r="J360" s="74"/>
      <c r="K360" s="249" cm="1">
        <f t="array" ref="K360">Scope3_Equations.VEERG_15_7_1_1__1_EmissionsFromPurchasedServices(F360,J360)</f>
        <v>0</v>
      </c>
      <c r="L360" s="15" t="str">
        <f t="shared" si="1"/>
        <v>t CO2e / 0</v>
      </c>
      <c r="M360" s="33"/>
      <c r="N360" s="13"/>
      <c r="O360" s="33"/>
    </row>
    <row r="362" spans="1:41" ht="20.100000000000001" customHeight="1" x14ac:dyDescent="0.2">
      <c r="D362" s="251" t="s">
        <v>1037</v>
      </c>
      <c r="E362" s="86" t="s">
        <v>1125</v>
      </c>
      <c r="F362" s="95" t="str">
        <f>$E$170</f>
        <v>t CO2e</v>
      </c>
    </row>
    <row r="363" spans="1:41" ht="20.100000000000001" customHeight="1" x14ac:dyDescent="0.2">
      <c r="D363" s="251" t="s">
        <v>1040</v>
      </c>
      <c r="E363" s="86">
        <f>SUM(K351:K360)</f>
        <v>1.1000000000000001</v>
      </c>
      <c r="F363" s="95" t="str">
        <f>$E$170</f>
        <v>t CO2e</v>
      </c>
    </row>
    <row r="366" spans="1:41" ht="20.100000000000001" customHeight="1" x14ac:dyDescent="0.2">
      <c r="A366" s="79" t="str">
        <f>HYPERLINK("#A1", "▲ Back to top")</f>
        <v>▲ Back to top</v>
      </c>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row>
    <row r="367" spans="1:41" ht="20.100000000000001" customHeight="1" x14ac:dyDescent="0.2">
      <c r="D367" s="2" t="str" cm="1">
        <f t="array" ref="D367">Scope3_Equations.VEERG_15_8_1_1__1_EmissionsFromPurchasedPackaging_Title()</f>
        <v>Embedded emissions from use of packaging materials</v>
      </c>
    </row>
    <row r="368" spans="1:41" ht="20.100000000000001" customHeight="1" x14ac:dyDescent="0.2">
      <c r="D368" s="17" t="str" cm="1">
        <f t="array" ref="D368">Scope3_Equations.VEERG_15_8_1_1__1_EmissionsFromPurchasedPackaging_Source()</f>
        <v>VEERG 2026: 15.8.1.1, Equation (1)</v>
      </c>
    </row>
    <row r="369" spans="4:13" ht="20.100000000000001" customHeight="1" x14ac:dyDescent="0.2">
      <c r="D369" s="25" t="str" cm="1">
        <f t="array" ref="D369">Scope3_Equations.VEERG_15_8_1_1__1_EmissionsFromPurchasedPackaging_Variation()</f>
        <v>VARIATION ON SOURCE: Changed unit of Q from 'units' to 'kg' as EF data is in kg.</v>
      </c>
    </row>
    <row r="370" spans="4:13" ht="20.100000000000001" customHeight="1" x14ac:dyDescent="0.2">
      <c r="D370" s="112" t="s">
        <v>321</v>
      </c>
      <c r="E370" s="112" t="str" cm="1">
        <f t="array" aca="1" ref="E370" ca="1">Common_InputFunctions.Utility_DisplayFunctionName(H382)</f>
        <v>=Scope3_Equations.VEERG_15_8_1_1__1_EmissionsFromPurchasedPackaging</v>
      </c>
    </row>
    <row r="374" spans="4:13" ht="20.100000000000001" customHeight="1" x14ac:dyDescent="0.2">
      <c r="D374" s="75" t="s">
        <v>322</v>
      </c>
      <c r="E374" s="1" t="str" cm="1">
        <f t="array" ref="E374">Scope3_Equations.VEERG_15_8_1_1__1_EmissionsFromPurchasedPackaging_Variable()</f>
        <v>E</v>
      </c>
    </row>
    <row r="375" spans="4:13" ht="20.100000000000001" customHeight="1" x14ac:dyDescent="0.2">
      <c r="D375" s="75" t="s">
        <v>118</v>
      </c>
      <c r="E375" s="9" t="str" cm="1">
        <f t="array" ref="E375">Scope3_Equations.VEERG_15_8_1_1__1_EmissionsFromPurchasedPackaging_Unit()</f>
        <v>t CO2e</v>
      </c>
    </row>
    <row r="377" spans="4:13" ht="20.100000000000001" customHeight="1" x14ac:dyDescent="0.2">
      <c r="D377" s="113" t="str" cm="1">
        <f t="array" ref="D377:E379">_xlfn.CHOOSECOLS(Scope3_Equations.VEERG_15_8_1_1__1_EmissionsFromPurchasedPackaging_Arguments(),1,2)</f>
        <v>Q_p</v>
      </c>
      <c r="E377" s="113" t="str">
        <v>units of packaging type p</v>
      </c>
      <c r="F377" s="113" t="str" cm="1">
        <f t="array" ref="F377:G379">_xlfn.CHOOSECOLS(Scope3_Equations.VEERG_15_8_1_1__1_EmissionsFromPurchasedPackaging_Arguments(),3,4)</f>
        <v>units</v>
      </c>
      <c r="G377" s="247" t="str">
        <v>Input</v>
      </c>
    </row>
    <row r="378" spans="4:13" ht="20.100000000000001" customHeight="1" x14ac:dyDescent="0.2">
      <c r="D378" s="113" t="str">
        <v>EF_p</v>
      </c>
      <c r="E378" s="113" t="str">
        <v>emission factor for packaging type p</v>
      </c>
      <c r="F378" s="113" t="str">
        <v>kg CO2e/unit</v>
      </c>
      <c r="G378" s="115" t="str">
        <v>Constant</v>
      </c>
    </row>
    <row r="379" spans="4:13" ht="20.100000000000001" customHeight="1" x14ac:dyDescent="0.2">
      <c r="D379" s="113" t="str">
        <v>p</v>
      </c>
      <c r="E379" s="113" t="str">
        <v>packaging type</v>
      </c>
      <c r="F379" s="113" t="str">
        <v/>
      </c>
      <c r="G379" s="247" t="str">
        <v>Input</v>
      </c>
    </row>
    <row r="381" spans="4:13" ht="20.100000000000001" customHeight="1" x14ac:dyDescent="0.2">
      <c r="D381" s="78" t="s">
        <v>1031</v>
      </c>
      <c r="E381" s="248" t="s">
        <v>1126</v>
      </c>
      <c r="F381" s="248" t="s">
        <v>1127</v>
      </c>
      <c r="G381" s="120" t="s">
        <v>1128</v>
      </c>
      <c r="H381" s="120" t="s">
        <v>1037</v>
      </c>
      <c r="I381" s="78" t="s">
        <v>1129</v>
      </c>
      <c r="J381" s="120" t="s">
        <v>1040</v>
      </c>
      <c r="K381" s="78" t="s">
        <v>1041</v>
      </c>
      <c r="L381" s="78" t="s">
        <v>1042</v>
      </c>
      <c r="M381" s="78" t="s">
        <v>1043</v>
      </c>
    </row>
    <row r="382" spans="4: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49" cm="1">
        <f t="array" ref="H382">Scope3_Equations.VEERG_15_8_1_1__1_EmissionsFromPurchasedPackaging(F382,G382)</f>
        <v>0</v>
      </c>
      <c r="I382" s="74">
        <v>3</v>
      </c>
      <c r="J382" s="249" cm="1">
        <f t="array" ref="J382">Scope3_Equations.VEERG_15_8_1_1__1_EmissionsFromPurchasedPackaging(F382,IF(I382,I382,G382))</f>
        <v>0</v>
      </c>
      <c r="K382" s="33"/>
      <c r="L382" s="13"/>
      <c r="M382" s="33"/>
    </row>
    <row r="383" spans="4: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49" cm="1">
        <f t="array" ref="H383">Scope3_Equations.VEERG_15_8_1_1__1_EmissionsFromPurchasedPackaging(F383,G383)</f>
        <v>0</v>
      </c>
      <c r="I383" s="74"/>
      <c r="J383" s="249" cm="1">
        <f t="array" ref="J383">Scope3_Equations.VEERG_15_8_1_1__1_EmissionsFromPurchasedPackaging(F383,IF(I383,I383,G383))</f>
        <v>0</v>
      </c>
      <c r="K383" s="33"/>
      <c r="L383" s="13"/>
      <c r="M383" s="33"/>
    </row>
    <row r="384" spans="4: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49" cm="1">
        <f t="array" ref="H384">Scope3_Equations.VEERG_15_8_1_1__1_EmissionsFromPurchasedPackaging(F384,G384)</f>
        <v>0</v>
      </c>
      <c r="I384" s="74"/>
      <c r="J384" s="249" cm="1">
        <f t="array" ref="J384">Scope3_Equations.VEERG_15_8_1_1__1_EmissionsFromPurchasedPackaging(F384,IF(I384,I384,G384))</f>
        <v>0</v>
      </c>
      <c r="K384" s="33"/>
      <c r="L384" s="13"/>
      <c r="M384" s="33"/>
    </row>
    <row r="385" spans="1: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49" cm="1">
        <f t="array" ref="H385">Scope3_Equations.VEERG_15_8_1_1__1_EmissionsFromPurchasedPackaging(F385,G385)</f>
        <v>0</v>
      </c>
      <c r="I385" s="74"/>
      <c r="J385" s="249" cm="1">
        <f t="array" ref="J385">Scope3_Equations.VEERG_15_8_1_1__1_EmissionsFromPurchasedPackaging(F385,IF(I385,I385,G385))</f>
        <v>0</v>
      </c>
      <c r="K385" s="33"/>
      <c r="L385" s="13"/>
      <c r="M385" s="33"/>
    </row>
    <row r="386" spans="1: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49" cm="1">
        <f t="array" ref="H386">Scope3_Equations.VEERG_15_8_1_1__1_EmissionsFromPurchasedPackaging(F386,G386)</f>
        <v>0</v>
      </c>
      <c r="I386" s="74"/>
      <c r="J386" s="249" cm="1">
        <f t="array" ref="J386">Scope3_Equations.VEERG_15_8_1_1__1_EmissionsFromPurchasedPackaging(F386,IF(I386,I386,G386))</f>
        <v>0</v>
      </c>
      <c r="K386" s="33"/>
      <c r="L386" s="13"/>
      <c r="M386" s="33"/>
    </row>
    <row r="387" spans="1: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49" cm="1">
        <f t="array" ref="H387">Scope3_Equations.VEERG_15_8_1_1__1_EmissionsFromPurchasedPackaging(F387,G387)</f>
        <v>0</v>
      </c>
      <c r="I387" s="74"/>
      <c r="J387" s="249" cm="1">
        <f t="array" ref="J387">Scope3_Equations.VEERG_15_8_1_1__1_EmissionsFromPurchasedPackaging(F387,IF(I387,I387,G387))</f>
        <v>0</v>
      </c>
      <c r="K387" s="33"/>
      <c r="L387" s="13"/>
      <c r="M387" s="33"/>
    </row>
    <row r="388" spans="1:41" ht="20.100000000000001" customHeight="1" x14ac:dyDescent="0.2">
      <c r="D388" s="15"/>
      <c r="E388" s="15"/>
      <c r="F388" s="15"/>
      <c r="G388" s="15" cm="1">
        <f t="array" ref="G388">Common_InputFunctions.Utility_LookupValueInTableNumber(E388,Table_SourceData_Scope3_Packaging[Product],Table_SourceData_Scope3_Packaging[Emissions intensity])</f>
        <v>0</v>
      </c>
      <c r="H388" s="249" cm="1">
        <f t="array" ref="H388">Scope3_Equations.VEERG_15_8_1_1__1_EmissionsFromPurchasedPackaging(F388,G388)</f>
        <v>0</v>
      </c>
      <c r="I388" s="74"/>
      <c r="J388" s="249" cm="1">
        <f t="array" ref="J388">Scope3_Equations.VEERG_15_8_1_1__1_EmissionsFromPurchasedPackaging(F388,IF(I388,I388,G388))</f>
        <v>0</v>
      </c>
      <c r="K388" s="33"/>
      <c r="L388" s="13"/>
      <c r="M388" s="33"/>
    </row>
    <row r="389" spans="1: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49" cm="1">
        <f t="array" ref="H389">Scope3_Equations.VEERG_15_8_1_1__1_EmissionsFromPurchasedPackaging(F389,G389)</f>
        <v>0</v>
      </c>
      <c r="I389" s="74"/>
      <c r="J389" s="249" cm="1">
        <f t="array" ref="J389">Scope3_Equations.VEERG_15_8_1_1__1_EmissionsFromPurchasedPackaging(F389,IF(I389,I389,G389))</f>
        <v>0</v>
      </c>
      <c r="K389" s="33"/>
      <c r="L389" s="13"/>
      <c r="M389" s="33"/>
    </row>
    <row r="390" spans="1: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49" cm="1">
        <f t="array" ref="H390">Scope3_Equations.VEERG_15_8_1_1__1_EmissionsFromPurchasedPackaging(F390,G390)</f>
        <v>0</v>
      </c>
      <c r="I390" s="74"/>
      <c r="J390" s="249" cm="1">
        <f t="array" ref="J390">Scope3_Equations.VEERG_15_8_1_1__1_EmissionsFromPurchasedPackaging(F390,IF(I390,I390,G390))</f>
        <v>0</v>
      </c>
      <c r="K390" s="33"/>
      <c r="L390" s="13"/>
      <c r="M390" s="33"/>
    </row>
    <row r="391" spans="1: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49" cm="1">
        <f t="array" ref="H391">Scope3_Equations.VEERG_15_8_1_1__1_EmissionsFromPurchasedPackaging(F391,G391)</f>
        <v>0</v>
      </c>
      <c r="I391" s="74"/>
      <c r="J391" s="249" cm="1">
        <f t="array" ref="J391">Scope3_Equations.VEERG_15_8_1_1__1_EmissionsFromPurchasedPackaging(F391,IF(I391,I391,G391))</f>
        <v>0</v>
      </c>
      <c r="K391" s="33"/>
      <c r="L391" s="13"/>
      <c r="M391" s="33"/>
    </row>
    <row r="393" spans="1:41" ht="20.100000000000001" customHeight="1" x14ac:dyDescent="0.2">
      <c r="D393" s="251" t="s">
        <v>1037</v>
      </c>
      <c r="E393" s="86">
        <f>SUM(H382:H391)</f>
        <v>0</v>
      </c>
      <c r="F393" s="95" t="str">
        <f>$E$170</f>
        <v>t CO2e</v>
      </c>
    </row>
    <row r="394" spans="1:41" ht="20.100000000000001" customHeight="1" x14ac:dyDescent="0.2">
      <c r="D394" s="251" t="s">
        <v>1040</v>
      </c>
      <c r="E394" s="86">
        <f>SUM(J382:J391)</f>
        <v>0</v>
      </c>
      <c r="F394" s="95" t="str">
        <f>$E$170</f>
        <v>t CO2e</v>
      </c>
    </row>
    <row r="396" spans="1:41" ht="20.100000000000001" customHeight="1" x14ac:dyDescent="0.2">
      <c r="A396" s="79" t="str">
        <f>HYPERLINK("#A1", "▲ Back to top")</f>
        <v>▲ Back to top</v>
      </c>
    </row>
    <row r="397" spans="1:41" ht="20.100000000000001" customHeight="1" x14ac:dyDescent="0.2">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row>
    <row r="398" spans="1:41" ht="20.100000000000001" customHeight="1" x14ac:dyDescent="0.2">
      <c r="D398" s="2" t="str" cm="1">
        <f t="array" ref="D398">Scope3_Equations.VEERG_15_9_1_1__1_EmissionsFromPurchasedGrowMedia_Title()</f>
        <v>Embedded emissions from use of grow media products</v>
      </c>
    </row>
    <row r="399" spans="1:41" ht="20.100000000000001" customHeight="1" x14ac:dyDescent="0.2">
      <c r="D399" s="17" t="str" cm="1">
        <f t="array" ref="D399">Scope3_Equations.VEERG_15_9_1_1__1_EmissionsFromPurchasedGrowMedia_Source()</f>
        <v>VEERG 2026: 15.9.1.1, Equation (1)</v>
      </c>
    </row>
    <row r="400" spans="1:41" ht="20.100000000000001" customHeight="1" x14ac:dyDescent="0.2">
      <c r="D400" s="112" t="s">
        <v>321</v>
      </c>
      <c r="E400" s="112" t="str" cm="1">
        <f t="array" aca="1" ref="E400" ca="1">Common_InputFunctions.Utility_DisplayFunctionName(J414)</f>
        <v>=Scope3_Equations.VEERG_15_9_1_1__1_EmissionsFromPurchasedGrowMedia</v>
      </c>
    </row>
    <row r="403" spans="4:14" ht="20.100000000000001" customHeight="1" x14ac:dyDescent="0.2">
      <c r="G403" s="112"/>
    </row>
    <row r="404" spans="4:14" ht="20.100000000000001" customHeight="1" x14ac:dyDescent="0.2">
      <c r="D404" s="75" t="s">
        <v>322</v>
      </c>
      <c r="E404" s="1" t="str" cm="1">
        <f t="array" ref="E404">Scope3_Equations.VEERG_15_9_1_1__1_EmissionsFromPurchasedGrowMedia_Variable()</f>
        <v>E</v>
      </c>
    </row>
    <row r="405" spans="4:14" ht="20.100000000000001" customHeight="1" x14ac:dyDescent="0.2">
      <c r="D405" s="75" t="s">
        <v>118</v>
      </c>
      <c r="E405" s="1" t="str" cm="1">
        <f t="array" ref="E405">Scope3_Equations.VEERG_15_9_1_1__1_EmissionsFromPurchasedGrowMedia_Unit()</f>
        <v>t CO2e</v>
      </c>
    </row>
    <row r="407" spans="4:14" ht="20.100000000000001" customHeight="1" x14ac:dyDescent="0.2">
      <c r="D407" s="113" t="str" cm="1">
        <f t="array" ref="D407:E409">_xlfn.CHOOSECOLS(Scope3_Equations.VEERG_15_9_1_1__1_EmissionsFromPurchasedGrowMedia_Arguments(),1,2)</f>
        <v>Q_g</v>
      </c>
      <c r="E407" s="113" t="str">
        <v>total quantity of grow media type g</v>
      </c>
      <c r="F407" s="113" t="str" cm="1">
        <f t="array" ref="F407:G409">_xlfn.CHOOSECOLS(Scope3_Equations.VEERG_15_9_1_1__1_EmissionsFromPurchasedGrowMedia_Arguments(),3,4)</f>
        <v>kg or m3</v>
      </c>
      <c r="G407" s="247" t="str">
        <v>Input</v>
      </c>
    </row>
    <row r="408" spans="4:14" ht="20.100000000000001" customHeight="1" x14ac:dyDescent="0.2">
      <c r="D408" s="113" t="str">
        <v>EF_g</v>
      </c>
      <c r="E408" s="113" t="str">
        <v>emission factor for grow media type g</v>
      </c>
      <c r="F408" s="113" t="str">
        <v>kg CO2e/kg or kg CO2e/m3</v>
      </c>
      <c r="G408" s="115" t="str">
        <v>Constant</v>
      </c>
    </row>
    <row r="409" spans="4:14" ht="20.100000000000001" customHeight="1" x14ac:dyDescent="0.2">
      <c r="D409" s="113" t="str">
        <v>g</v>
      </c>
      <c r="E409" s="113" t="str">
        <v>grow media type</v>
      </c>
      <c r="F409" s="113" t="str">
        <v/>
      </c>
      <c r="G409" s="247" t="str">
        <v>Input</v>
      </c>
    </row>
    <row r="411" spans="4:14" ht="20.100000000000001" customHeight="1" x14ac:dyDescent="0.2">
      <c r="D411" s="25" t="s">
        <v>1119</v>
      </c>
    </row>
    <row r="413" spans="4:14" ht="20.100000000000001" customHeight="1" x14ac:dyDescent="0.2">
      <c r="D413" s="78" t="s">
        <v>1130</v>
      </c>
      <c r="E413" s="78" t="s">
        <v>960</v>
      </c>
      <c r="F413" s="78" t="s">
        <v>585</v>
      </c>
      <c r="G413" s="120" t="s">
        <v>1120</v>
      </c>
      <c r="H413" s="120" t="s">
        <v>1121</v>
      </c>
      <c r="I413" s="78" t="s">
        <v>1122</v>
      </c>
      <c r="J413" s="120" t="s">
        <v>1123</v>
      </c>
      <c r="K413" s="120" t="s">
        <v>1124</v>
      </c>
      <c r="L413" s="78" t="s">
        <v>1041</v>
      </c>
      <c r="M413" s="78" t="s">
        <v>1042</v>
      </c>
      <c r="N413" s="78" t="s">
        <v>1043</v>
      </c>
    </row>
    <row r="414" spans="4:14" ht="20.100000000000001" customHeight="1" x14ac:dyDescent="0.2">
      <c r="D414" s="15"/>
      <c r="E414" s="15"/>
      <c r="F414" s="15"/>
      <c r="G414" s="15" t="s">
        <v>1125</v>
      </c>
      <c r="H414" s="15" t="s">
        <v>1125</v>
      </c>
      <c r="I414" s="74">
        <v>4</v>
      </c>
      <c r="J414" s="249" cm="1">
        <f t="array" ref="J414">Scope3_Equations.VEERG_15_9_1_1__1_EmissionsFromPurchasedGrowMedia(E414,I414)</f>
        <v>0</v>
      </c>
      <c r="K414" s="15" t="str">
        <f>"t CO2e / " &amp; F414</f>
        <v xml:space="preserve">t CO2e / </v>
      </c>
      <c r="L414" s="33"/>
      <c r="M414" s="13"/>
      <c r="N414" s="33"/>
    </row>
    <row r="415" spans="4:14" ht="20.100000000000001" customHeight="1" x14ac:dyDescent="0.2">
      <c r="D415" s="15"/>
      <c r="E415" s="15"/>
      <c r="F415" s="15"/>
      <c r="G415" s="15" t="s">
        <v>1125</v>
      </c>
      <c r="H415" s="15" t="s">
        <v>1125</v>
      </c>
      <c r="I415" s="74">
        <v>2</v>
      </c>
      <c r="J415" s="249" cm="1">
        <f t="array" ref="J415">Scope3_Equations.VEERG_15_9_1_1__1_EmissionsFromPurchasedGrowMedia(E415,I415)</f>
        <v>0</v>
      </c>
      <c r="K415" s="15" t="str">
        <f t="shared" ref="K415:K423" si="2">"t CO2e / " &amp; F415</f>
        <v xml:space="preserve">t CO2e / </v>
      </c>
      <c r="L415" s="33"/>
      <c r="M415" s="13"/>
      <c r="N415" s="33"/>
    </row>
    <row r="416" spans="4:14" ht="20.100000000000001" customHeight="1" x14ac:dyDescent="0.2">
      <c r="D416" s="15"/>
      <c r="E416" s="15"/>
      <c r="F416" s="15"/>
      <c r="G416" s="15" t="s">
        <v>1125</v>
      </c>
      <c r="H416" s="15" t="s">
        <v>1125</v>
      </c>
      <c r="I416" s="74"/>
      <c r="J416" s="249" cm="1">
        <f t="array" ref="J416">Scope3_Equations.VEERG_15_9_1_1__1_EmissionsFromPurchasedGrowMedia(E416,I416)</f>
        <v>0</v>
      </c>
      <c r="K416" s="15" t="str">
        <f t="shared" si="2"/>
        <v xml:space="preserve">t CO2e / </v>
      </c>
      <c r="L416" s="33"/>
      <c r="M416" s="13"/>
      <c r="N416" s="33"/>
    </row>
    <row r="417" spans="1:41" ht="20.100000000000001" customHeight="1" x14ac:dyDescent="0.2">
      <c r="D417" s="15"/>
      <c r="E417" s="15"/>
      <c r="F417" s="15"/>
      <c r="G417" s="15" t="s">
        <v>1125</v>
      </c>
      <c r="H417" s="15" t="s">
        <v>1125</v>
      </c>
      <c r="I417" s="74"/>
      <c r="J417" s="249" cm="1">
        <f t="array" ref="J417">Scope3_Equations.VEERG_15_9_1_1__1_EmissionsFromPurchasedGrowMedia(E417,I417)</f>
        <v>0</v>
      </c>
      <c r="K417" s="15" t="str">
        <f t="shared" si="2"/>
        <v xml:space="preserve">t CO2e / </v>
      </c>
      <c r="L417" s="33"/>
      <c r="M417" s="13"/>
      <c r="N417" s="33"/>
    </row>
    <row r="418" spans="1:41" ht="20.100000000000001" customHeight="1" x14ac:dyDescent="0.2">
      <c r="D418" s="15"/>
      <c r="E418" s="15"/>
      <c r="F418" s="15"/>
      <c r="G418" s="15" t="s">
        <v>1125</v>
      </c>
      <c r="H418" s="15" t="s">
        <v>1125</v>
      </c>
      <c r="I418" s="74"/>
      <c r="J418" s="249" cm="1">
        <f t="array" ref="J418">Scope3_Equations.VEERG_15_9_1_1__1_EmissionsFromPurchasedGrowMedia(E418,I418)</f>
        <v>0</v>
      </c>
      <c r="K418" s="15" t="str">
        <f t="shared" si="2"/>
        <v xml:space="preserve">t CO2e / </v>
      </c>
      <c r="L418" s="33"/>
      <c r="M418" s="13"/>
      <c r="N418" s="33"/>
    </row>
    <row r="419" spans="1:41" ht="20.100000000000001" customHeight="1" x14ac:dyDescent="0.2">
      <c r="D419" s="15"/>
      <c r="E419" s="15"/>
      <c r="F419" s="15"/>
      <c r="G419" s="15" t="s">
        <v>1125</v>
      </c>
      <c r="H419" s="15" t="s">
        <v>1125</v>
      </c>
      <c r="I419" s="74"/>
      <c r="J419" s="249" cm="1">
        <f t="array" ref="J419">Scope3_Equations.VEERG_15_9_1_1__1_EmissionsFromPurchasedGrowMedia(E419,I419)</f>
        <v>0</v>
      </c>
      <c r="K419" s="15" t="str">
        <f t="shared" si="2"/>
        <v xml:space="preserve">t CO2e / </v>
      </c>
      <c r="L419" s="33"/>
      <c r="M419" s="13"/>
      <c r="N419" s="33"/>
    </row>
    <row r="420" spans="1:41" ht="20.100000000000001" customHeight="1" x14ac:dyDescent="0.2">
      <c r="D420" s="15"/>
      <c r="E420" s="15"/>
      <c r="F420" s="15"/>
      <c r="G420" s="15" t="s">
        <v>1125</v>
      </c>
      <c r="H420" s="15" t="s">
        <v>1125</v>
      </c>
      <c r="I420" s="74"/>
      <c r="J420" s="249" cm="1">
        <f t="array" ref="J420">Scope3_Equations.VEERG_15_9_1_1__1_EmissionsFromPurchasedGrowMedia(E420,I420)</f>
        <v>0</v>
      </c>
      <c r="K420" s="15" t="str">
        <f t="shared" si="2"/>
        <v xml:space="preserve">t CO2e / </v>
      </c>
      <c r="L420" s="33"/>
      <c r="M420" s="13"/>
      <c r="N420" s="33"/>
    </row>
    <row r="421" spans="1:41" ht="20.100000000000001" customHeight="1" x14ac:dyDescent="0.2">
      <c r="D421" s="15"/>
      <c r="E421" s="15"/>
      <c r="F421" s="15"/>
      <c r="G421" s="15" t="s">
        <v>1125</v>
      </c>
      <c r="H421" s="15" t="s">
        <v>1125</v>
      </c>
      <c r="I421" s="74"/>
      <c r="J421" s="249" cm="1">
        <f t="array" ref="J421">Scope3_Equations.VEERG_15_9_1_1__1_EmissionsFromPurchasedGrowMedia(E421,I421)</f>
        <v>0</v>
      </c>
      <c r="K421" s="15" t="str">
        <f t="shared" si="2"/>
        <v xml:space="preserve">t CO2e / </v>
      </c>
      <c r="L421" s="33"/>
      <c r="M421" s="13"/>
      <c r="N421" s="33"/>
    </row>
    <row r="422" spans="1:41" ht="20.100000000000001" customHeight="1" x14ac:dyDescent="0.2">
      <c r="D422" s="15"/>
      <c r="E422" s="15"/>
      <c r="F422" s="15"/>
      <c r="G422" s="15" t="s">
        <v>1125</v>
      </c>
      <c r="H422" s="15" t="s">
        <v>1125</v>
      </c>
      <c r="I422" s="74"/>
      <c r="J422" s="249" cm="1">
        <f t="array" ref="J422">Scope3_Equations.VEERG_15_9_1_1__1_EmissionsFromPurchasedGrowMedia(E422,I422)</f>
        <v>0</v>
      </c>
      <c r="K422" s="15" t="str">
        <f t="shared" si="2"/>
        <v xml:space="preserve">t CO2e / </v>
      </c>
      <c r="L422" s="33"/>
      <c r="M422" s="13"/>
      <c r="N422" s="33"/>
    </row>
    <row r="423" spans="1:41" ht="20.100000000000001" customHeight="1" x14ac:dyDescent="0.2">
      <c r="D423" s="15"/>
      <c r="E423" s="15"/>
      <c r="F423" s="15"/>
      <c r="G423" s="15" t="s">
        <v>1125</v>
      </c>
      <c r="H423" s="15" t="s">
        <v>1125</v>
      </c>
      <c r="I423" s="74"/>
      <c r="J423" s="249" cm="1">
        <f t="array" ref="J423">Scope3_Equations.VEERG_15_9_1_1__1_EmissionsFromPurchasedGrowMedia(E423,I423)</f>
        <v>0</v>
      </c>
      <c r="K423" s="15" t="str">
        <f t="shared" si="2"/>
        <v xml:space="preserve">t CO2e / </v>
      </c>
      <c r="L423" s="33"/>
      <c r="M423" s="13"/>
      <c r="N423" s="33"/>
    </row>
    <row r="425" spans="1:41" ht="20.100000000000001" customHeight="1" x14ac:dyDescent="0.2">
      <c r="D425" s="251" t="s">
        <v>1037</v>
      </c>
      <c r="E425" s="86" t="s">
        <v>1125</v>
      </c>
      <c r="F425" s="95" t="str">
        <f>$E$170</f>
        <v>t CO2e</v>
      </c>
    </row>
    <row r="426" spans="1:41" ht="20.100000000000001" customHeight="1" x14ac:dyDescent="0.2">
      <c r="A426" s="79" t="str">
        <f>HYPERLINK("#A1", "▲ Back to top")</f>
        <v>▲ Back to top</v>
      </c>
      <c r="D426" s="251" t="s">
        <v>1040</v>
      </c>
      <c r="E426" s="86">
        <f>SUM(J414:J423)</f>
        <v>0</v>
      </c>
      <c r="F426" s="95" t="str">
        <f>$E$170</f>
        <v>t CO2e</v>
      </c>
    </row>
    <row r="429" spans="1:41" ht="20.100000000000001" customHeight="1" x14ac:dyDescent="0.2">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row>
    <row r="430" spans="1:41" ht="20.100000000000001" customHeight="1" x14ac:dyDescent="0.2">
      <c r="D430" s="2" t="str" cm="1">
        <f t="array" ref="D430">Scope3_Equations.VEERG_15_10_1_1__1_OtherPurchasedGoodsAndServices_Title()</f>
        <v>Other purchased goods and services generic estimate</v>
      </c>
    </row>
    <row r="431" spans="1:41" ht="20.100000000000001" customHeight="1" x14ac:dyDescent="0.2">
      <c r="D431" s="17" t="str" cm="1">
        <f t="array" ref="D431">Scope3_Equations.VEERG_15_10_1_1__1_OtherPurchasedGoodsAndServices_Source()</f>
        <v>VEERG 2026: 15.10, generic placeholder equation</v>
      </c>
    </row>
    <row r="432" spans="1:41" ht="20.100000000000001" customHeight="1" x14ac:dyDescent="0.2">
      <c r="D432" s="25" t="s">
        <v>1131</v>
      </c>
    </row>
    <row r="433" spans="4:13" ht="20.100000000000001" customHeight="1" x14ac:dyDescent="0.2">
      <c r="D433" s="112" t="s">
        <v>321</v>
      </c>
      <c r="E433" s="112" t="str" cm="1">
        <f t="array" aca="1" ref="E433" ca="1">Common_InputFunctions.Utility_DisplayFunctionName(H445)</f>
        <v>=Scope3_Equations.VEERG_15_10_1_1__1_OtherPurchasedGoodsAndServices</v>
      </c>
    </row>
    <row r="436" spans="4:13" ht="20.100000000000001" customHeight="1" x14ac:dyDescent="0.2">
      <c r="D436" s="75" t="s">
        <v>322</v>
      </c>
      <c r="E436" s="1" t="str" cm="1">
        <f t="array" ref="E436">Scope3_Equations.VEERG_15_10_1_1__1_OtherPurchasedGoodsAndServices_Variable()</f>
        <v>emissions</v>
      </c>
    </row>
    <row r="437" spans="4:13" ht="20.100000000000001" customHeight="1" x14ac:dyDescent="0.2">
      <c r="D437" s="75" t="s">
        <v>118</v>
      </c>
      <c r="E437" s="9" t="str" cm="1">
        <f t="array" ref="E437">Scope3_Equations.VEERG_15_10_1_1__1_OtherPurchasedGoodsAndServices_Unit()</f>
        <v>t CO2e</v>
      </c>
    </row>
    <row r="439" spans="4:13" ht="20.100000000000001" customHeight="1" x14ac:dyDescent="0.2">
      <c r="D439" s="113" t="str" cm="1">
        <f t="array" ref="D439:E440">_xlfn.CHOOSECOLS(Scope3_Equations.VEERG_15_10_1_1__1_OtherPurchasedGoodsAndServices_Arguments(),1,2)</f>
        <v>activity_data</v>
      </c>
      <c r="E439" s="121" t="str">
        <v>measured activity for the purchased good or service</v>
      </c>
      <c r="F439" s="122"/>
      <c r="G439" s="113" t="str" cm="1">
        <f t="array" ref="G439:H440">_xlfn.CHOOSECOLS(Scope3_Equations.VEERG_15_10_1_1__1_OtherPurchasedGoodsAndServices_Arguments(),3,4)</f>
        <v>varies</v>
      </c>
      <c r="H439" s="247" t="str">
        <v>Input</v>
      </c>
    </row>
    <row r="440" spans="4:13" ht="20.100000000000001" customHeight="1" x14ac:dyDescent="0.2">
      <c r="D440" s="113" t="str">
        <v>emission_factor</v>
      </c>
      <c r="E440" s="121" t="str">
        <v>lifecycle emissions per unit of activity</v>
      </c>
      <c r="F440" s="122"/>
      <c r="G440" s="113" t="str">
        <v>varies</v>
      </c>
      <c r="H440" s="115" t="str">
        <v>Constant</v>
      </c>
    </row>
    <row r="442" spans="4:13" ht="20.100000000000001" customHeight="1" x14ac:dyDescent="0.2">
      <c r="D442" s="240" t="s">
        <v>1132</v>
      </c>
    </row>
    <row r="444" spans="4:13" ht="20.100000000000001" customHeight="1" x14ac:dyDescent="0.2">
      <c r="D444" s="78" t="s">
        <v>1031</v>
      </c>
      <c r="E444" s="248" t="s">
        <v>1133</v>
      </c>
      <c r="F444" s="248" t="s">
        <v>1134</v>
      </c>
      <c r="G444" s="120" t="s">
        <v>119</v>
      </c>
      <c r="H444" s="120" t="s">
        <v>1037</v>
      </c>
      <c r="I444" s="78" t="s">
        <v>120</v>
      </c>
      <c r="J444" s="120" t="s">
        <v>1040</v>
      </c>
      <c r="K444" s="78" t="s">
        <v>1041</v>
      </c>
      <c r="L444" s="78" t="s">
        <v>1042</v>
      </c>
      <c r="M444" s="78" t="s">
        <v>1043</v>
      </c>
    </row>
    <row r="445" spans="4: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49" cm="1">
        <f t="array" ref="H445">Scope3_Equations.VEERG_15_10_1_1__1_OtherPurchasedGoodsAndServices(F445,G445*10^-3)</f>
        <v>9.0700000000000003E-2</v>
      </c>
      <c r="I445" s="74">
        <v>0.9</v>
      </c>
      <c r="J445" s="249" cm="1">
        <f t="array" ref="J445">Scope3_Equations.VEERG_15_10_1_1__1_OtherPurchasedGoodsAndServices(F445,IF(I445,I445,G445)*10^-3)</f>
        <v>9.0000000000000011E-2</v>
      </c>
      <c r="K445" s="33"/>
      <c r="L445" s="13"/>
      <c r="M445" s="33"/>
    </row>
    <row r="446" spans="4: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49" cm="1">
        <f t="array" ref="H446">Scope3_Equations.VEERG_15_10_1_1__1_OtherPurchasedGoodsAndServices(F446,G446*10^-3)</f>
        <v>7.22E-2</v>
      </c>
      <c r="I446" s="74">
        <v>0.7</v>
      </c>
      <c r="J446" s="249" cm="1">
        <f t="array" ref="J446">Scope3_Equations.VEERG_15_10_1_1__1_OtherPurchasedGoodsAndServices(F446,IF(I446,I446,G446)*10^-3)</f>
        <v>6.9999999999999993E-2</v>
      </c>
      <c r="K446" s="33"/>
      <c r="L446" s="13"/>
      <c r="M446" s="33"/>
    </row>
    <row r="447" spans="4: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49" cm="1">
        <f t="array" ref="H447">Scope3_Equations.VEERG_15_10_1_1__1_OtherPurchasedGoodsAndServices(F447,G447*10^-3)</f>
        <v>8.0399999999999999E-2</v>
      </c>
      <c r="I447" s="74">
        <v>0.8</v>
      </c>
      <c r="J447" s="249" cm="1">
        <f t="array" ref="J447">Scope3_Equations.VEERG_15_10_1_1__1_OtherPurchasedGoodsAndServices(F447,IF(I447,I447,G447)*10^-3)</f>
        <v>0.08</v>
      </c>
      <c r="K447" s="33"/>
      <c r="L447" s="13"/>
      <c r="M447" s="33"/>
    </row>
    <row r="448" spans="4:13" ht="20.100000000000001" customHeight="1" x14ac:dyDescent="0.2">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49" cm="1">
        <f t="array" ref="H448">Scope3_Equations.VEERG_15_10_1_1__1_OtherPurchasedGoodsAndServices(F448,G448*10^-3)</f>
        <v>8.0399999999999999E-2</v>
      </c>
      <c r="I448" s="74">
        <v>0.8</v>
      </c>
      <c r="J448" s="249" cm="1">
        <f t="array" ref="J448">Scope3_Equations.VEERG_15_10_1_1__1_OtherPurchasedGoodsAndServices(F448,IF(I448,I448,G448)*10^-3)</f>
        <v>0.08</v>
      </c>
      <c r="K448" s="33"/>
      <c r="L448" s="13"/>
      <c r="M448" s="33"/>
    </row>
    <row r="449" spans="1:13" ht="20.100000000000001" customHeight="1" x14ac:dyDescent="0.2">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49" cm="1">
        <f t="array" ref="H449">Scope3_Equations.VEERG_15_10_1_1__1_OtherPurchasedGoodsAndServices(F449,G449*10^-3)</f>
        <v>9.0700000000000003E-2</v>
      </c>
      <c r="I449" s="74">
        <v>0.9</v>
      </c>
      <c r="J449" s="249" cm="1">
        <f t="array" ref="J449">Scope3_Equations.VEERG_15_10_1_1__1_OtherPurchasedGoodsAndServices(F449,IF(I449,I449,G449)*10^-3)</f>
        <v>9.0000000000000011E-2</v>
      </c>
      <c r="K449" s="33"/>
      <c r="L449" s="13"/>
      <c r="M449" s="33"/>
    </row>
    <row r="450" spans="1: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49" cm="1">
        <f t="array" ref="H450">Scope3_Equations.VEERG_15_10_1_1__1_OtherPurchasedGoodsAndServices(F450,G450*10^-3)</f>
        <v>9.0700000000000003E-2</v>
      </c>
      <c r="I450" s="74">
        <v>0.9</v>
      </c>
      <c r="J450" s="249" cm="1">
        <f t="array" ref="J450">Scope3_Equations.VEERG_15_10_1_1__1_OtherPurchasedGoodsAndServices(F450,IF(I450,I450,G450)*10^-3)</f>
        <v>9.0000000000000011E-2</v>
      </c>
      <c r="K450" s="33"/>
      <c r="L450" s="13"/>
      <c r="M450" s="33"/>
    </row>
    <row r="451" spans="1: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49" cm="1">
        <f t="array" ref="H451">Scope3_Equations.VEERG_15_10_1_1__1_OtherPurchasedGoodsAndServices(F451,G451*10^-3)</f>
        <v>0</v>
      </c>
      <c r="I451" s="74"/>
      <c r="J451" s="249" cm="1">
        <f t="array" ref="J451">Scope3_Equations.VEERG_15_10_1_1__1_OtherPurchasedGoodsAndServices(F451,IF(I451,I451,G451)*10^-3)</f>
        <v>0</v>
      </c>
      <c r="K451" s="33"/>
      <c r="L451" s="13"/>
      <c r="M451" s="33"/>
    </row>
    <row r="452" spans="1: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49" cm="1">
        <f t="array" ref="H452">Scope3_Equations.VEERG_15_10_1_1__1_OtherPurchasedGoodsAndServices(F452,G452*10^-3)</f>
        <v>0</v>
      </c>
      <c r="I452" s="74"/>
      <c r="J452" s="249" cm="1">
        <f t="array" ref="J452">Scope3_Equations.VEERG_15_10_1_1__1_OtherPurchasedGoodsAndServices(F452,IF(I452,I452,G452)*10^-3)</f>
        <v>0</v>
      </c>
      <c r="K452" s="33"/>
      <c r="L452" s="13"/>
      <c r="M452" s="33"/>
    </row>
    <row r="453" spans="1: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49" cm="1">
        <f t="array" ref="H453">Scope3_Equations.VEERG_15_10_1_1__1_OtherPurchasedGoodsAndServices(F453,G453*10^-3)</f>
        <v>0</v>
      </c>
      <c r="I453" s="74"/>
      <c r="J453" s="249" cm="1">
        <f t="array" ref="J453">Scope3_Equations.VEERG_15_10_1_1__1_OtherPurchasedGoodsAndServices(F453,IF(I453,I453,G453)*10^-3)</f>
        <v>0</v>
      </c>
      <c r="K453" s="33"/>
      <c r="L453" s="13"/>
      <c r="M453" s="33"/>
    </row>
    <row r="454" spans="1: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49" cm="1">
        <f t="array" ref="H454">Scope3_Equations.VEERG_15_10_1_1__1_OtherPurchasedGoodsAndServices(F454,G454*10^-3)</f>
        <v>0</v>
      </c>
      <c r="I454" s="74"/>
      <c r="J454" s="249" cm="1">
        <f t="array" ref="J454">Scope3_Equations.VEERG_15_10_1_1__1_OtherPurchasedGoodsAndServices(F454,IF(I454,I454,G454)*10^-3)</f>
        <v>0</v>
      </c>
      <c r="K454" s="33"/>
      <c r="L454" s="13"/>
      <c r="M454" s="33"/>
    </row>
    <row r="456" spans="1:13" ht="20.100000000000001" customHeight="1" x14ac:dyDescent="0.2">
      <c r="A456" s="79" t="str">
        <f>HYPERLINK("#A1", "▲ Back to top")</f>
        <v>▲ Back to top</v>
      </c>
      <c r="D456" s="251" t="s">
        <v>1037</v>
      </c>
      <c r="E456" s="86">
        <f>SUM(H445:H454)</f>
        <v>0.50509999999999999</v>
      </c>
      <c r="F456" s="95" t="str">
        <f>$E$170</f>
        <v>t CO2e</v>
      </c>
    </row>
    <row r="457" spans="1:13" ht="20.100000000000001" customHeight="1" x14ac:dyDescent="0.2">
      <c r="D457" s="251" t="s">
        <v>1040</v>
      </c>
      <c r="E457" s="86">
        <f>SUM(J445:J454)</f>
        <v>0.5</v>
      </c>
      <c r="F457" s="95" t="str">
        <f>$E$170</f>
        <v>t CO2e</v>
      </c>
    </row>
    <row r="460" spans="1:13" ht="20.100000000000001" customHeight="1" x14ac:dyDescent="0.2">
      <c r="D460" s="240" t="s">
        <v>1135</v>
      </c>
    </row>
    <row r="462" spans="1:13" ht="20.100000000000001" customHeight="1" x14ac:dyDescent="0.2">
      <c r="D462" s="78" t="s">
        <v>1031</v>
      </c>
      <c r="E462" s="248" t="s">
        <v>1133</v>
      </c>
      <c r="F462" s="248" t="s">
        <v>996</v>
      </c>
      <c r="G462" s="120" t="s">
        <v>1136</v>
      </c>
      <c r="H462" s="120" t="s">
        <v>1037</v>
      </c>
      <c r="I462" s="78" t="s">
        <v>1137</v>
      </c>
      <c r="J462" s="120" t="s">
        <v>1040</v>
      </c>
      <c r="K462" s="78" t="s">
        <v>1041</v>
      </c>
      <c r="L462" s="78" t="s">
        <v>1042</v>
      </c>
      <c r="M462" s="78" t="s">
        <v>1043</v>
      </c>
    </row>
    <row r="463" spans="1:13" ht="20.100000000000001" customHeight="1" x14ac:dyDescent="0.2">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49" cm="1">
        <f t="array" ref="H463">Scope3_Equations.VEERG_15_10_1_1__1_OtherPurchasedGoodsAndServices(F463,G463*10^-3)</f>
        <v>5.47E-3</v>
      </c>
      <c r="I463" s="74">
        <v>0.05</v>
      </c>
      <c r="J463" s="249" cm="1">
        <f t="array" ref="J463">Scope3_Equations.VEERG_15_10_1_1__1_OtherPurchasedGoodsAndServices(F463,IF(I463,I463,G463)*10^-3)</f>
        <v>5.0000000000000001E-3</v>
      </c>
      <c r="K463" s="33"/>
      <c r="L463" s="13"/>
      <c r="M463" s="33"/>
    </row>
    <row r="464" spans="1:13" ht="20.100000000000001" customHeight="1" x14ac:dyDescent="0.2">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49" cm="1">
        <f t="array" ref="H464">Scope3_Equations.VEERG_15_10_1_1__1_OtherPurchasedGoodsAndServices(F464,G464*10^-3)</f>
        <v>1.42E-3</v>
      </c>
      <c r="I464" s="74">
        <v>0.01</v>
      </c>
      <c r="J464" s="249" cm="1">
        <f t="array" ref="J464">Scope3_Equations.VEERG_15_10_1_1__1_OtherPurchasedGoodsAndServices(F464,IF(I464,I464,G464)*10^-3)</f>
        <v>1E-3</v>
      </c>
      <c r="K464" s="33"/>
      <c r="L464" s="13"/>
      <c r="M464" s="33"/>
    </row>
    <row r="465" spans="4:13" ht="20.100000000000001" customHeight="1" x14ac:dyDescent="0.2">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49" cm="1">
        <f t="array" ref="H465">Scope3_Equations.VEERG_15_10_1_1__1_OtherPurchasedGoodsAndServices(F465,G465*10^-3)</f>
        <v>1.4300000000000001E-3</v>
      </c>
      <c r="I465" s="74">
        <v>0.01</v>
      </c>
      <c r="J465" s="249" cm="1">
        <f t="array" ref="J465">Scope3_Equations.VEERG_15_10_1_1__1_OtherPurchasedGoodsAndServices(F465,IF(I465,I465,G465)*10^-3)</f>
        <v>1E-3</v>
      </c>
      <c r="K465" s="33"/>
      <c r="L465" s="13"/>
      <c r="M465" s="33"/>
    </row>
    <row r="466" spans="4:13" ht="20.100000000000001" customHeight="1" x14ac:dyDescent="0.2">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49" cm="1">
        <f t="array" ref="H466">Scope3_Equations.VEERG_15_10_1_1__1_OtherPurchasedGoodsAndServices(F466,G466*10^-3)</f>
        <v>4.26E-4</v>
      </c>
      <c r="I466" s="74">
        <v>4.0000000000000001E-3</v>
      </c>
      <c r="J466" s="249" cm="1">
        <f t="array" ref="J466">Scope3_Equations.VEERG_15_10_1_1__1_OtherPurchasedGoodsAndServices(F466,IF(I466,I466,G466)*10^-3)</f>
        <v>3.9999999999999996E-4</v>
      </c>
      <c r="K466" s="33"/>
      <c r="L466" s="13"/>
      <c r="M466" s="33"/>
    </row>
    <row r="467" spans="4:13" ht="20.100000000000001" customHeight="1" x14ac:dyDescent="0.2">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49" cm="1">
        <f t="array" ref="H467">Scope3_Equations.VEERG_15_10_1_1__1_OtherPurchasedGoodsAndServices(F467,G467*10^-3)</f>
        <v>5.47E-3</v>
      </c>
      <c r="I467" s="74">
        <v>0.05</v>
      </c>
      <c r="J467" s="249" cm="1">
        <f t="array" ref="J467">Scope3_Equations.VEERG_15_10_1_1__1_OtherPurchasedGoodsAndServices(F467,IF(I467,I467,G467)*10^-3)</f>
        <v>5.0000000000000001E-3</v>
      </c>
      <c r="K467" s="33"/>
      <c r="L467" s="13"/>
      <c r="M467" s="33"/>
    </row>
    <row r="468" spans="4:13" ht="20.100000000000001" customHeight="1" x14ac:dyDescent="0.2">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49" cm="1">
        <f t="array" ref="H468">Scope3_Equations.VEERG_15_10_1_1__1_OtherPurchasedGoodsAndServices(F468,G468*10^-3)</f>
        <v>1.42E-3</v>
      </c>
      <c r="I468" s="74">
        <v>0.01</v>
      </c>
      <c r="J468" s="249" cm="1">
        <f t="array" ref="J468">Scope3_Equations.VEERG_15_10_1_1__1_OtherPurchasedGoodsAndServices(F468,IF(I468,I468,G468)*10^-3)</f>
        <v>1E-3</v>
      </c>
      <c r="K468" s="33"/>
      <c r="L468" s="13"/>
      <c r="M468" s="33"/>
    </row>
    <row r="469" spans="4:13" ht="20.100000000000001" customHeight="1" x14ac:dyDescent="0.2">
      <c r="D469" s="15">
        <v>0</v>
      </c>
      <c r="E469" s="15">
        <v>0</v>
      </c>
      <c r="F469" s="15">
        <v>0</v>
      </c>
      <c r="G469" s="15" cm="1">
        <f t="array" ref="G469">Common_InputFunctions.Utility_LookupValueInTableNumber(E469,Table_SourceData_Scope3_ChemicalsPharmacy[Product],Table_SourceData_Scope3_ChemicalsPharmacy[Emissions intensity])</f>
        <v>0</v>
      </c>
      <c r="H469" s="249" cm="1">
        <f t="array" ref="H469">Scope3_Equations.VEERG_15_10_1_1__1_OtherPurchasedGoodsAndServices(F469,G469*10^-3)</f>
        <v>0</v>
      </c>
      <c r="I469" s="74"/>
      <c r="J469" s="249" cm="1">
        <f t="array" ref="J469">Scope3_Equations.VEERG_15_10_1_1__1_OtherPurchasedGoodsAndServices(F469,IF(I469,I469,G469)*10^-3)</f>
        <v>0</v>
      </c>
      <c r="K469" s="33"/>
      <c r="L469" s="13"/>
      <c r="M469" s="33"/>
    </row>
    <row r="470" spans="4:13" ht="20.100000000000001" customHeight="1" x14ac:dyDescent="0.2">
      <c r="D470" s="15">
        <v>0</v>
      </c>
      <c r="E470" s="15">
        <v>0</v>
      </c>
      <c r="F470" s="15">
        <v>0</v>
      </c>
      <c r="G470" s="15" cm="1">
        <f t="array" ref="G470">Common_InputFunctions.Utility_LookupValueInTableNumber(E470,Table_SourceData_Scope3_ChemicalsPharmacy[Product],Table_SourceData_Scope3_ChemicalsPharmacy[Emissions intensity])</f>
        <v>0</v>
      </c>
      <c r="H470" s="249" cm="1">
        <f t="array" ref="H470">Scope3_Equations.VEERG_15_10_1_1__1_OtherPurchasedGoodsAndServices(F470,G470*10^-3)</f>
        <v>0</v>
      </c>
      <c r="I470" s="74"/>
      <c r="J470" s="249" cm="1">
        <f t="array" ref="J470">Scope3_Equations.VEERG_15_10_1_1__1_OtherPurchasedGoodsAndServices(F470,IF(I470,I470,G470)*10^-3)</f>
        <v>0</v>
      </c>
      <c r="K470" s="33"/>
      <c r="L470" s="13"/>
      <c r="M470" s="33"/>
    </row>
    <row r="471" spans="4:13" ht="20.100000000000001" customHeight="1" x14ac:dyDescent="0.2">
      <c r="D471" s="15">
        <v>0</v>
      </c>
      <c r="E471" s="15">
        <v>0</v>
      </c>
      <c r="F471" s="15">
        <v>0</v>
      </c>
      <c r="G471" s="15" cm="1">
        <f t="array" ref="G471">Common_InputFunctions.Utility_LookupValueInTableNumber(E471,Table_SourceData_Scope3_ChemicalsPharmacy[Product],Table_SourceData_Scope3_ChemicalsPharmacy[Emissions intensity])</f>
        <v>0</v>
      </c>
      <c r="H471" s="249" cm="1">
        <f t="array" ref="H471">Scope3_Equations.VEERG_15_10_1_1__1_OtherPurchasedGoodsAndServices(F471,G471*10^-3)</f>
        <v>0</v>
      </c>
      <c r="I471" s="74"/>
      <c r="J471" s="249" cm="1">
        <f t="array" ref="J471">Scope3_Equations.VEERG_15_10_1_1__1_OtherPurchasedGoodsAndServices(F471,IF(I471,I471,G471)*10^-3)</f>
        <v>0</v>
      </c>
      <c r="K471" s="33"/>
      <c r="L471" s="13"/>
      <c r="M471" s="33"/>
    </row>
    <row r="472" spans="4:13" ht="20.100000000000001" customHeight="1" x14ac:dyDescent="0.2">
      <c r="D472" s="15">
        <v>0</v>
      </c>
      <c r="E472" s="15">
        <v>0</v>
      </c>
      <c r="F472" s="15">
        <v>0</v>
      </c>
      <c r="G472" s="15" cm="1">
        <f t="array" ref="G472">Common_InputFunctions.Utility_LookupValueInTableNumber(E472,Table_SourceData_Scope3_ChemicalsPharmacy[Product],Table_SourceData_Scope3_ChemicalsPharmacy[Emissions intensity])</f>
        <v>0</v>
      </c>
      <c r="H472" s="249" cm="1">
        <f t="array" ref="H472">Scope3_Equations.VEERG_15_10_1_1__1_OtherPurchasedGoodsAndServices(F472,G472*10^-3)</f>
        <v>0</v>
      </c>
      <c r="I472" s="74"/>
      <c r="J472" s="249" cm="1">
        <f t="array" ref="J472">Scope3_Equations.VEERG_15_10_1_1__1_OtherPurchasedGoodsAndServices(F472,IF(I472,I472,G472)*10^-3)</f>
        <v>0</v>
      </c>
      <c r="K472" s="33"/>
      <c r="L472" s="13"/>
      <c r="M472" s="33"/>
    </row>
    <row r="474" spans="4:13" ht="20.100000000000001" customHeight="1" x14ac:dyDescent="0.2">
      <c r="D474" s="251" t="s">
        <v>1037</v>
      </c>
      <c r="E474" s="86">
        <f>SUM(H463:H472)</f>
        <v>1.5636000000000001E-2</v>
      </c>
      <c r="F474" s="95" t="str">
        <f>$E$170</f>
        <v>t CO2e</v>
      </c>
    </row>
    <row r="475" spans="4:13" ht="20.100000000000001" customHeight="1" x14ac:dyDescent="0.2">
      <c r="D475" s="251" t="s">
        <v>1040</v>
      </c>
      <c r="E475" s="86">
        <f>SUM(J463:J472)</f>
        <v>1.3400000000000002E-2</v>
      </c>
      <c r="F475" s="95" t="str">
        <f>$E$170</f>
        <v>t CO2e</v>
      </c>
    </row>
    <row r="478" spans="4:13" ht="20.100000000000001" customHeight="1" x14ac:dyDescent="0.2">
      <c r="D478" s="240" t="s">
        <v>1138</v>
      </c>
    </row>
    <row r="480" spans="4:13" ht="20.100000000000001" customHeight="1" x14ac:dyDescent="0.2">
      <c r="D480" s="78" t="s">
        <v>948</v>
      </c>
      <c r="E480" s="78" t="s">
        <v>1139</v>
      </c>
      <c r="F480" s="120" t="s">
        <v>1136</v>
      </c>
      <c r="G480" s="120" t="s">
        <v>1037</v>
      </c>
      <c r="H480" s="78" t="s">
        <v>1137</v>
      </c>
      <c r="I480" s="120" t="s">
        <v>1040</v>
      </c>
      <c r="J480" s="78" t="s">
        <v>1041</v>
      </c>
      <c r="K480" s="78" t="s">
        <v>1042</v>
      </c>
      <c r="L480" s="78" t="s">
        <v>1043</v>
      </c>
    </row>
    <row r="481" spans="1:12" ht="20.100000000000001" customHeight="1" x14ac:dyDescent="0.2">
      <c r="D481" s="15"/>
      <c r="E481" s="15">
        <f>IFERROR(X_Cell_FarmInputs_Seed_BarleyGrain, 0)</f>
        <v>0</v>
      </c>
      <c r="F481" s="15" cm="1">
        <f t="array" ref="F481">Common_InputFunctions.Utility_LookupValueInTableNumber(D481,Table_SourceData_Scope3_Other[Product],Table_SourceData_Scope3_Other[Emissions intensity])</f>
        <v>0</v>
      </c>
      <c r="G481" s="249" cm="1">
        <f t="array" ref="G481">Scope3_Equations.VEERG_15_10_1_1__1_OtherPurchasedGoodsAndServices(E481,F481*10^-3)</f>
        <v>0</v>
      </c>
      <c r="H481" s="74">
        <v>0.2</v>
      </c>
      <c r="I481" s="249" cm="1">
        <f t="array" ref="I481">Scope3_Equations.VEERG_15_10_1_1__1_OtherPurchasedGoodsAndServices(E481,IF(H481,H481,F481)*10^-3)</f>
        <v>0</v>
      </c>
      <c r="J481" s="33"/>
      <c r="K481" s="13"/>
      <c r="L481" s="33"/>
    </row>
    <row r="482" spans="1:12" ht="20.100000000000001" customHeight="1" x14ac:dyDescent="0.2">
      <c r="D482" s="15"/>
      <c r="E482" s="15">
        <f>IFERROR(X_Cell_FarmInputs_Seed_MaizeGrain, 0)</f>
        <v>0</v>
      </c>
      <c r="F482" s="15" cm="1">
        <f t="array" ref="F482">Common_InputFunctions.Utility_LookupValueInTableNumber(D482,Table_SourceData_Scope3_Other[Product],Table_SourceData_Scope3_Other[Emissions intensity])</f>
        <v>0</v>
      </c>
      <c r="G482" s="249" cm="1">
        <f t="array" ref="G482">Scope3_Equations.VEERG_15_10_1_1__1_OtherPurchasedGoodsAndServices(E482,F482*10^-3)</f>
        <v>0</v>
      </c>
      <c r="H482" s="74"/>
      <c r="I482" s="249" cm="1">
        <f t="array" ref="I482">Scope3_Equations.VEERG_15_10_1_1__1_OtherPurchasedGoodsAndServices(E482,IF(H482,H482,F482)*10^-3)</f>
        <v>0</v>
      </c>
      <c r="J482" s="33"/>
      <c r="K482" s="13"/>
      <c r="L482" s="33"/>
    </row>
    <row r="483" spans="1:12" ht="20.100000000000001" customHeight="1" x14ac:dyDescent="0.2">
      <c r="D483" s="15"/>
      <c r="E483" s="15">
        <f>IFERROR(X_Cell_FarmInputs_Seed_OatGrain, 0)</f>
        <v>0</v>
      </c>
      <c r="F483" s="15" cm="1">
        <f t="array" ref="F483">Common_InputFunctions.Utility_LookupValueInTableNumber(D483,Table_SourceData_Scope3_Other[Product],Table_SourceData_Scope3_Other[Emissions intensity])</f>
        <v>0</v>
      </c>
      <c r="G483" s="249" cm="1">
        <f t="array" ref="G483">Scope3_Equations.VEERG_15_10_1_1__1_OtherPurchasedGoodsAndServices(E483,F483*10^-3)</f>
        <v>0</v>
      </c>
      <c r="H483" s="74">
        <v>0.2</v>
      </c>
      <c r="I483" s="249" cm="1">
        <f t="array" ref="I483">Scope3_Equations.VEERG_15_10_1_1__1_OtherPurchasedGoodsAndServices(E483,IF(H483,H483,F483)*10^-3)</f>
        <v>0</v>
      </c>
      <c r="J483" s="33"/>
      <c r="K483" s="13"/>
      <c r="L483" s="33"/>
    </row>
    <row r="484" spans="1:12" ht="20.100000000000001" customHeight="1" x14ac:dyDescent="0.2">
      <c r="D484" s="15"/>
      <c r="E484" s="15">
        <f>IFERROR(X_Cell_FarmInputs_Seed_SorghumGrain, 0)</f>
        <v>0</v>
      </c>
      <c r="F484" s="15" cm="1">
        <f t="array" ref="F484">Common_InputFunctions.Utility_LookupValueInTableNumber(D484,Table_SourceData_Scope3_Other[Product],Table_SourceData_Scope3_Other[Emissions intensity])</f>
        <v>0</v>
      </c>
      <c r="G484" s="249" cm="1">
        <f t="array" ref="G484">Scope3_Equations.VEERG_15_10_1_1__1_OtherPurchasedGoodsAndServices(E484,F484*10^-3)</f>
        <v>0</v>
      </c>
      <c r="H484" s="74"/>
      <c r="I484" s="249" cm="1">
        <f t="array" ref="I484">Scope3_Equations.VEERG_15_10_1_1__1_OtherPurchasedGoodsAndServices(E484,IF(H484,H484,F484)*10^-3)</f>
        <v>0</v>
      </c>
      <c r="J484" s="33"/>
      <c r="K484" s="13"/>
      <c r="L484" s="33"/>
    </row>
    <row r="485" spans="1:12" ht="20.100000000000001" customHeight="1" x14ac:dyDescent="0.2">
      <c r="D485" s="15"/>
      <c r="E485" s="15">
        <f>IFERROR(X_Cell_FarmInputs_Seed_WheatGrain, 0)</f>
        <v>0</v>
      </c>
      <c r="F485" s="15" cm="1">
        <f t="array" ref="F485">Common_InputFunctions.Utility_LookupValueInTableNumber(D485,Table_SourceData_Scope3_Other[Product],Table_SourceData_Scope3_Other[Emissions intensity])</f>
        <v>0</v>
      </c>
      <c r="G485" s="249" cm="1">
        <f t="array" ref="G485">Scope3_Equations.VEERG_15_10_1_1__1_OtherPurchasedGoodsAndServices(E485,F485*10^-3)</f>
        <v>0</v>
      </c>
      <c r="H485" s="74">
        <v>0.2</v>
      </c>
      <c r="I485" s="249" cm="1">
        <f t="array" ref="I485">Scope3_Equations.VEERG_15_10_1_1__1_OtherPurchasedGoodsAndServices(E485,IF(H485,H485,F485)*10^-3)</f>
        <v>0</v>
      </c>
      <c r="J485" s="33"/>
      <c r="K485" s="13"/>
      <c r="L485" s="33"/>
    </row>
    <row r="486" spans="1:12" ht="20.100000000000001" customHeight="1" x14ac:dyDescent="0.2">
      <c r="A486" s="79" t="str">
        <f>HYPERLINK("#A1", "▲ Back to top")</f>
        <v>▲ Back to top</v>
      </c>
    </row>
    <row r="487" spans="1:12" ht="20.100000000000001" customHeight="1" x14ac:dyDescent="0.2">
      <c r="D487" s="251" t="s">
        <v>1037</v>
      </c>
      <c r="E487" s="86">
        <f>SUM(G481:G485)</f>
        <v>0</v>
      </c>
      <c r="F487" s="95" t="str">
        <f>$E$170</f>
        <v>t CO2e</v>
      </c>
    </row>
    <row r="488" spans="1:12" ht="20.100000000000001" customHeight="1" x14ac:dyDescent="0.2">
      <c r="D488" s="251" t="s">
        <v>1040</v>
      </c>
      <c r="E488" s="86">
        <f>SUM(I481:I485)</f>
        <v>0</v>
      </c>
      <c r="F488" s="95" t="str">
        <f>$E$170</f>
        <v>t CO2e</v>
      </c>
    </row>
    <row r="491" spans="1:12" ht="20.100000000000001" customHeight="1" x14ac:dyDescent="0.2">
      <c r="D491" s="240" t="s">
        <v>1140</v>
      </c>
    </row>
    <row r="493" spans="1:12" ht="20.100000000000001" customHeight="1" x14ac:dyDescent="0.2">
      <c r="D493" s="78" t="s">
        <v>948</v>
      </c>
      <c r="E493" s="78" t="s">
        <v>1139</v>
      </c>
      <c r="F493" s="120" t="s">
        <v>1136</v>
      </c>
      <c r="G493" s="120" t="s">
        <v>1037</v>
      </c>
      <c r="H493" s="78" t="s">
        <v>1137</v>
      </c>
      <c r="I493" s="120" t="s">
        <v>1040</v>
      </c>
      <c r="J493" s="78" t="s">
        <v>1041</v>
      </c>
      <c r="K493" s="78" t="s">
        <v>1042</v>
      </c>
      <c r="L493" s="78" t="s">
        <v>1043</v>
      </c>
    </row>
    <row r="494" spans="1:12" ht="20.100000000000001" customHeight="1" x14ac:dyDescent="0.2">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49" cm="1">
        <f t="array" ref="G494">Scope3_Equations.VEERG_15_10_1_1__1_OtherPurchasedGoodsAndServices(E494,F494*10^-3)</f>
        <v>4.2399999999999998E-3</v>
      </c>
      <c r="H494" s="74">
        <v>0.2</v>
      </c>
      <c r="I494" s="249" cm="1">
        <f t="array" ref="I494">Scope3_Equations.VEERG_15_10_1_1__1_OtherPurchasedGoodsAndServices(E494,IF(H494,H494,F494)*10^-3)</f>
        <v>0.02</v>
      </c>
      <c r="J494" s="33"/>
      <c r="K494" s="13"/>
      <c r="L494" s="33"/>
    </row>
    <row r="495" spans="1:12" ht="20.100000000000001" customHeight="1" x14ac:dyDescent="0.2">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49" cm="1">
        <f t="array" ref="G495">Scope3_Equations.VEERG_15_10_1_1__1_OtherPurchasedGoodsAndServices(E495,F495*10^-3)</f>
        <v>5.8599999999999998E-3</v>
      </c>
      <c r="H495" s="74"/>
      <c r="I495" s="249" cm="1">
        <f t="array" ref="I495">Scope3_Equations.VEERG_15_10_1_1__1_OtherPurchasedGoodsAndServices(E495,IF(H495,H495,F495)*10^-3)</f>
        <v>5.8599999999999998E-3</v>
      </c>
      <c r="J495" s="33"/>
      <c r="K495" s="13"/>
      <c r="L495" s="33"/>
    </row>
    <row r="496" spans="1: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49" cm="1">
        <f t="array" ref="G496">Scope3_Equations.VEERG_15_10_1_1__1_OtherPurchasedGoodsAndServices(E496,F496*10^-3)</f>
        <v>0</v>
      </c>
      <c r="H496" s="74">
        <v>0.2</v>
      </c>
      <c r="I496" s="249" cm="1">
        <f t="array" ref="I496">Scope3_Equations.VEERG_15_10_1_1__1_OtherPurchasedGoodsAndServices(E496,IF(H496,H496,F496)*10^-3)</f>
        <v>0</v>
      </c>
      <c r="J496" s="33"/>
      <c r="K496" s="13"/>
      <c r="L496" s="33"/>
    </row>
    <row r="498" spans="4:14" ht="20.100000000000001" customHeight="1" x14ac:dyDescent="0.2">
      <c r="D498" s="251" t="s">
        <v>1037</v>
      </c>
      <c r="E498" s="86">
        <f>SUM(G494:G496)</f>
        <v>1.01E-2</v>
      </c>
      <c r="F498" s="95" t="str">
        <f>$E$170</f>
        <v>t CO2e</v>
      </c>
    </row>
    <row r="499" spans="4:14" ht="20.100000000000001" customHeight="1" x14ac:dyDescent="0.2">
      <c r="D499" s="251" t="s">
        <v>1040</v>
      </c>
      <c r="E499" s="86">
        <f>SUM(I494:I496)</f>
        <v>2.5860000000000001E-2</v>
      </c>
      <c r="F499" s="95" t="str">
        <f>$E$170</f>
        <v>t CO2e</v>
      </c>
    </row>
    <row r="502" spans="4:14" ht="20.100000000000001" customHeight="1" x14ac:dyDescent="0.2">
      <c r="D502" s="240" t="s">
        <v>1141</v>
      </c>
    </row>
    <row r="504" spans="4:14" ht="20.100000000000001" customHeight="1" x14ac:dyDescent="0.2">
      <c r="D504" s="78" t="s">
        <v>948</v>
      </c>
      <c r="E504" s="78" t="s">
        <v>869</v>
      </c>
      <c r="F504" s="78" t="s">
        <v>585</v>
      </c>
      <c r="G504" s="120" t="s">
        <v>1120</v>
      </c>
      <c r="H504" s="120" t="s">
        <v>1121</v>
      </c>
      <c r="I504" s="78" t="s">
        <v>1122</v>
      </c>
      <c r="J504" s="78" t="s">
        <v>1142</v>
      </c>
      <c r="K504" s="120" t="s">
        <v>1123</v>
      </c>
      <c r="L504" s="78" t="s">
        <v>1041</v>
      </c>
      <c r="M504" s="78" t="s">
        <v>1042</v>
      </c>
      <c r="N504" s="78" t="s">
        <v>1043</v>
      </c>
    </row>
    <row r="505" spans="4: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1125</v>
      </c>
      <c r="H505" s="15" t="s">
        <v>1125</v>
      </c>
      <c r="I505" s="74">
        <v>4</v>
      </c>
      <c r="J505" s="13" t="s">
        <v>1143</v>
      </c>
      <c r="K505" s="249" cm="1">
        <f t="array" ref="K505">Scope3_Equations.VEERG_15_10_1_1__1_OtherPurchasedGoodsAndServices(E505,IF(J505="kg / amount unit", I505*10^-3, I505))</f>
        <v>4000</v>
      </c>
      <c r="L505" s="33"/>
      <c r="M505" s="13"/>
      <c r="N505" s="33"/>
    </row>
    <row r="506" spans="4:14" ht="20.100000000000001" customHeight="1" x14ac:dyDescent="0.2">
      <c r="D506" s="15">
        <v>0</v>
      </c>
      <c r="E506" s="15">
        <v>0</v>
      </c>
      <c r="F506" s="15">
        <v>0</v>
      </c>
      <c r="G506" s="15" t="s">
        <v>1125</v>
      </c>
      <c r="H506" s="15" t="s">
        <v>1125</v>
      </c>
      <c r="I506" s="74">
        <v>2</v>
      </c>
      <c r="J506" s="13" t="s">
        <v>1143</v>
      </c>
      <c r="K506" s="249" cm="1">
        <f t="array" ref="K506">Scope3_Equations.VEERG_15_10_1_1__1_OtherPurchasedGoodsAndServices(E506,IF(J506="kg / amount unit", I506*10^-3, I506))</f>
        <v>0</v>
      </c>
      <c r="L506" s="33"/>
      <c r="M506" s="13"/>
      <c r="N506" s="33"/>
    </row>
    <row r="507" spans="4:14" ht="20.100000000000001" customHeight="1" x14ac:dyDescent="0.2">
      <c r="D507" s="15">
        <v>0</v>
      </c>
      <c r="E507" s="15">
        <v>0</v>
      </c>
      <c r="F507" s="15">
        <v>0</v>
      </c>
      <c r="G507" s="15" t="s">
        <v>1125</v>
      </c>
      <c r="H507" s="15" t="s">
        <v>1125</v>
      </c>
      <c r="I507" s="74"/>
      <c r="J507" s="13"/>
      <c r="K507" s="249" cm="1">
        <f t="array" ref="K507">Scope3_Equations.VEERG_15_10_1_1__1_OtherPurchasedGoodsAndServices(E507,IF(J507="kg / amount unit", I507*10^-3, I507))</f>
        <v>0</v>
      </c>
      <c r="L507" s="33"/>
      <c r="M507" s="13"/>
      <c r="N507" s="33"/>
    </row>
    <row r="508" spans="4:14" ht="20.100000000000001" customHeight="1" x14ac:dyDescent="0.2">
      <c r="D508" s="15">
        <v>0</v>
      </c>
      <c r="E508" s="15">
        <v>0</v>
      </c>
      <c r="F508" s="15">
        <v>0</v>
      </c>
      <c r="G508" s="15" t="s">
        <v>1125</v>
      </c>
      <c r="H508" s="15" t="s">
        <v>1125</v>
      </c>
      <c r="I508" s="74"/>
      <c r="J508" s="13"/>
      <c r="K508" s="249" cm="1">
        <f t="array" ref="K508">Scope3_Equations.VEERG_15_10_1_1__1_OtherPurchasedGoodsAndServices(E508,IF(J508="kg / amount unit", I508*10^-3, I508))</f>
        <v>0</v>
      </c>
      <c r="L508" s="33"/>
      <c r="M508" s="13"/>
      <c r="N508" s="33"/>
    </row>
    <row r="509" spans="4:14" ht="20.100000000000001" customHeight="1" x14ac:dyDescent="0.2">
      <c r="D509" s="15">
        <v>0</v>
      </c>
      <c r="E509" s="15">
        <v>0</v>
      </c>
      <c r="F509" s="15">
        <v>0</v>
      </c>
      <c r="G509" s="15" t="s">
        <v>1125</v>
      </c>
      <c r="H509" s="15" t="s">
        <v>1125</v>
      </c>
      <c r="I509" s="74"/>
      <c r="J509" s="13"/>
      <c r="K509" s="249" cm="1">
        <f t="array" ref="K509">Scope3_Equations.VEERG_15_10_1_1__1_OtherPurchasedGoodsAndServices(E509,IF(J509="kg / amount unit", I509*10^-3, I509))</f>
        <v>0</v>
      </c>
      <c r="L509" s="33"/>
      <c r="M509" s="13"/>
      <c r="N509" s="33"/>
    </row>
    <row r="510" spans="4:14" ht="20.100000000000001" customHeight="1" x14ac:dyDescent="0.2">
      <c r="D510" s="15">
        <v>0</v>
      </c>
      <c r="E510" s="15">
        <v>0</v>
      </c>
      <c r="F510" s="15">
        <v>0</v>
      </c>
      <c r="G510" s="15" t="s">
        <v>1125</v>
      </c>
      <c r="H510" s="15" t="s">
        <v>1125</v>
      </c>
      <c r="I510" s="74"/>
      <c r="J510" s="13"/>
      <c r="K510" s="249" cm="1">
        <f t="array" ref="K510">Scope3_Equations.VEERG_15_10_1_1__1_OtherPurchasedGoodsAndServices(E510,IF(J510="kg / amount unit", I510*10^-3, I510))</f>
        <v>0</v>
      </c>
      <c r="L510" s="33"/>
      <c r="M510" s="13"/>
      <c r="N510" s="33"/>
    </row>
    <row r="511" spans="4:14" ht="20.100000000000001" customHeight="1" x14ac:dyDescent="0.2">
      <c r="D511" s="15">
        <v>0</v>
      </c>
      <c r="E511" s="15">
        <v>0</v>
      </c>
      <c r="F511" s="15">
        <v>0</v>
      </c>
      <c r="G511" s="15" t="s">
        <v>1125</v>
      </c>
      <c r="H511" s="15" t="s">
        <v>1125</v>
      </c>
      <c r="I511" s="74"/>
      <c r="J511" s="13"/>
      <c r="K511" s="249" cm="1">
        <f t="array" ref="K511">Scope3_Equations.VEERG_15_10_1_1__1_OtherPurchasedGoodsAndServices(E511,IF(J511="kg / amount unit", I511*10^-3, I511))</f>
        <v>0</v>
      </c>
      <c r="L511" s="33"/>
      <c r="M511" s="13"/>
      <c r="N511" s="33"/>
    </row>
    <row r="512" spans="4:14" ht="20.100000000000001" customHeight="1" x14ac:dyDescent="0.2">
      <c r="D512" s="15">
        <v>0</v>
      </c>
      <c r="E512" s="15">
        <v>0</v>
      </c>
      <c r="F512" s="15">
        <v>0</v>
      </c>
      <c r="G512" s="15" t="s">
        <v>1125</v>
      </c>
      <c r="H512" s="15" t="s">
        <v>1125</v>
      </c>
      <c r="I512" s="74"/>
      <c r="J512" s="13"/>
      <c r="K512" s="249" cm="1">
        <f t="array" ref="K512">Scope3_Equations.VEERG_15_10_1_1__1_OtherPurchasedGoodsAndServices(E512,IF(J512="kg / amount unit", I512*10^-3, I512))</f>
        <v>0</v>
      </c>
      <c r="L512" s="33"/>
      <c r="M512" s="13"/>
      <c r="N512" s="33"/>
    </row>
    <row r="513" spans="1:41" ht="20.100000000000001" customHeight="1" x14ac:dyDescent="0.2">
      <c r="D513" s="15">
        <v>0</v>
      </c>
      <c r="E513" s="15">
        <v>0</v>
      </c>
      <c r="F513" s="15">
        <v>0</v>
      </c>
      <c r="G513" s="15" t="s">
        <v>1125</v>
      </c>
      <c r="H513" s="15" t="s">
        <v>1125</v>
      </c>
      <c r="I513" s="74"/>
      <c r="J513" s="13"/>
      <c r="K513" s="249" cm="1">
        <f t="array" ref="K513">Scope3_Equations.VEERG_15_10_1_1__1_OtherPurchasedGoodsAndServices(E513,IF(J513="kg / amount unit", I513*10^-3, I513))</f>
        <v>0</v>
      </c>
      <c r="L513" s="33"/>
      <c r="M513" s="13"/>
      <c r="N513" s="33"/>
    </row>
    <row r="514" spans="1:41" ht="20.100000000000001" customHeight="1" x14ac:dyDescent="0.2">
      <c r="D514" s="15">
        <v>0</v>
      </c>
      <c r="E514" s="15">
        <v>0</v>
      </c>
      <c r="F514" s="15">
        <v>0</v>
      </c>
      <c r="G514" s="15" t="s">
        <v>1125</v>
      </c>
      <c r="H514" s="15" t="s">
        <v>1125</v>
      </c>
      <c r="I514" s="74"/>
      <c r="J514" s="13"/>
      <c r="K514" s="249" cm="1">
        <f t="array" ref="K514">Scope3_Equations.VEERG_15_10_1_1__1_OtherPurchasedGoodsAndServices(E514,IF(J514="kg / amount unit", I514*10^-3, I514))</f>
        <v>0</v>
      </c>
      <c r="L514" s="33"/>
      <c r="M514" s="13"/>
      <c r="N514" s="33"/>
    </row>
    <row r="516" spans="1:41" ht="20.100000000000001" customHeight="1" x14ac:dyDescent="0.2">
      <c r="A516" s="79" t="str">
        <f>HYPERLINK("#A1", "▲ Back to top")</f>
        <v>▲ Back to top</v>
      </c>
      <c r="D516" s="251" t="s">
        <v>1037</v>
      </c>
      <c r="E516" s="86" t="s">
        <v>1125</v>
      </c>
      <c r="F516" s="95" t="str">
        <f>$E$170</f>
        <v>t CO2e</v>
      </c>
    </row>
    <row r="517" spans="1:41" ht="20.100000000000001" customHeight="1" x14ac:dyDescent="0.2">
      <c r="D517" s="251" t="s">
        <v>1040</v>
      </c>
      <c r="E517" s="86">
        <f>SUM(K505:K514)</f>
        <v>4000</v>
      </c>
      <c r="F517" s="95" t="str">
        <f>$E$170</f>
        <v>t CO2e</v>
      </c>
    </row>
    <row r="520" spans="1:41" ht="20.100000000000001" customHeight="1" x14ac:dyDescent="0.2">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row>
    <row r="521" spans="1:41" ht="20.100000000000001" customHeight="1" x14ac:dyDescent="0.2">
      <c r="D521" s="2" t="str" cm="1">
        <f t="array" ref="D521">Scope3_Equations.VEERG_15_11_1_1__1_TotalUpstreamEmissionsFromFuel_Title()</f>
        <v>Total upstream emissions from scope 1 fuel consumption</v>
      </c>
    </row>
    <row r="522" spans="1:41" ht="20.100000000000001" customHeight="1" x14ac:dyDescent="0.2">
      <c r="D522" s="17" t="str" cm="1">
        <f t="array" ref="D522">Scope3_Equations.VEERG_15_11_1_1__1_TotalUpstreamEmissionsFromFuel_Source()</f>
        <v>VEERG 2026: 15.11.1.1, Equation (1)</v>
      </c>
    </row>
    <row r="523" spans="1:41" ht="20.100000000000001" customHeight="1" x14ac:dyDescent="0.2">
      <c r="D523" s="112" t="s">
        <v>321</v>
      </c>
      <c r="E523" s="112" t="str">
        <f ca="1">Common_InputFunctions.Utility_DisplayFunctionName(VEERG_15_11_1_1__1_TotalUpstreamEmissionsFromFuel_Result)</f>
        <v>=Scope3_Equations.VEERG_15_11_1_1__1_TotalUpstreamEmissionsFromFuel</v>
      </c>
    </row>
    <row r="527" spans="1:41" ht="20.100000000000001" customHeight="1" x14ac:dyDescent="0.2">
      <c r="D527" s="75" t="s">
        <v>322</v>
      </c>
      <c r="E527" s="1" t="str" cm="1">
        <f t="array" ref="E527">Scope3_Equations.VEERG_15_11_1_1__1_TotalUpstreamEmissionsFromFuel_Variable()</f>
        <v>E</v>
      </c>
    </row>
    <row r="528" spans="1:41" ht="20.100000000000001" customHeight="1" x14ac:dyDescent="0.2">
      <c r="D528" s="75" t="s">
        <v>118</v>
      </c>
      <c r="E528" s="9" t="str" cm="1">
        <f t="array" ref="E528">Scope3_Equations.VEERG_15_11_1_1__1_TotalUpstreamEmissionsFromFuel_Unit()</f>
        <v>t CO2e</v>
      </c>
    </row>
    <row r="530" spans="3:41" ht="20.100000000000001" customHeight="1" x14ac:dyDescent="0.2">
      <c r="D530" s="113" t="str" cm="1">
        <f t="array" ref="D530:E531">_xlfn.CHOOSECOLS(Scope3_Equations.VEERG_15_11_1_1__1_TotalUpstreamEmissionsFromFuel_Arguments(),1,2)</f>
        <v>E_WTTtransq</v>
      </c>
      <c r="E530" s="121" t="str">
        <v>upstream emissions from scope 1 transport fuel use</v>
      </c>
      <c r="F530" s="122"/>
      <c r="G530" s="113" t="str" cm="1">
        <f t="array" ref="G530:H531">_xlfn.CHOOSECOLS(Scope3_Equations.VEERG_15_11_1_1__1_TotalUpstreamEmissionsFromFuel_Arguments(),3,4)</f>
        <v>t CO2e</v>
      </c>
      <c r="H530" s="115" t="str">
        <v>Calculated by 15.11.1.1 (2)</v>
      </c>
      <c r="I530" s="113">
        <f>VEERG_8_1_1_1__1_FuelCombustionTransport_Result</f>
        <v>20.5016</v>
      </c>
    </row>
    <row r="531" spans="3:41" ht="20.100000000000001" customHeight="1" x14ac:dyDescent="0.2">
      <c r="D531" s="113" t="str">
        <v>E_WTTSCq</v>
      </c>
      <c r="E531" s="121" t="str">
        <v>upstream emissions from scope 1 stationary combustion fuel use</v>
      </c>
      <c r="F531" s="122"/>
      <c r="G531" s="113" t="str">
        <v>t CO2e</v>
      </c>
      <c r="H531" s="115" t="str">
        <v>Calculated by 15.11.1.1 (3)</v>
      </c>
      <c r="I531" s="113">
        <f>VEERG_8_2_1_1__1_FuelCombustionStationary_Result</f>
        <v>6.2923999999999998</v>
      </c>
    </row>
    <row r="533" spans="3:41" ht="20.100000000000001" customHeight="1" x14ac:dyDescent="0.2">
      <c r="D533" s="251" t="s">
        <v>1144</v>
      </c>
      <c r="E533" s="86" cm="1">
        <f t="array" ref="E533">Scope3_Equations.VEERG_15_11_1_1__1_TotalUpstreamEmissionsFromFuel(I530,I531)</f>
        <v>26.794</v>
      </c>
      <c r="F533" s="95" t="str">
        <f>$E$170</f>
        <v>t CO2e</v>
      </c>
    </row>
    <row r="535" spans="3:41" ht="20.100000000000001" customHeight="1" x14ac:dyDescent="0.2">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row>
    <row r="536" spans="3:41" ht="20.100000000000001" customHeight="1" x14ac:dyDescent="0.2">
      <c r="D536" s="2" t="str" cm="1">
        <f t="array" ref="D536">Scope3_Equations.VEERG_15_12_1_1__1_UpstreamPurchasedElectricityLocationBased_Title()</f>
        <v>Scope 3 emissions from purchased electricity location based</v>
      </c>
    </row>
    <row r="537" spans="3:41" ht="20.100000000000001" customHeight="1" x14ac:dyDescent="0.2">
      <c r="D537" s="17" t="str" cm="1">
        <f t="array" ref="D537">Scope3_Equations.VEERG_15_12_1_1__1_UpstreamPurchasedElectricityLocationBased_Source()</f>
        <v>VEERG 2026: 15.12.1.1, Equation (1)</v>
      </c>
    </row>
    <row r="538" spans="3:41" ht="20.100000000000001" customHeight="1" x14ac:dyDescent="0.2">
      <c r="D538" s="112" t="s">
        <v>321</v>
      </c>
      <c r="E538" s="112" t="str">
        <f ca="1">Common_InputFunctions.Utility_DisplayFunctionName(VEERG_15_12_1_1__1_UpstreamPurchasedElectricityLocationBased_Result)</f>
        <v>=Scope3_Equations.VEERG_15_12_1_1__1_UpstreamPurchasedElectricityLocationBased</v>
      </c>
    </row>
    <row r="541" spans="3:41" ht="20.100000000000001" customHeight="1" x14ac:dyDescent="0.2">
      <c r="D541" s="75" t="s">
        <v>322</v>
      </c>
      <c r="E541" s="1" t="str" cm="1">
        <f t="array" ref="E541">Scope3_Equations.VEERG_15_12_1_1__1_UpstreamPurchasedElectricityLocationBased_Variable()</f>
        <v>E_3elec</v>
      </c>
    </row>
    <row r="542" spans="3:41" ht="20.100000000000001" customHeight="1" x14ac:dyDescent="0.2">
      <c r="D542" s="75" t="s">
        <v>118</v>
      </c>
      <c r="E542" s="1" t="str" cm="1">
        <f t="array" ref="E542">Scope3_Equations.VEERG_15_12_1_1__1_UpstreamPurchasedElectricityLocationBased_Unit()</f>
        <v>t CO2e</v>
      </c>
    </row>
    <row r="544" spans="3:41" ht="20.100000000000001" customHeight="1" x14ac:dyDescent="0.2">
      <c r="D544" s="113" t="str" cm="1">
        <f t="array" ref="D544:E546">_xlfn.CHOOSECOLS(Scope3_Equations.VEERG_15_12_1_1__1_UpstreamPurchasedElectricityLocationBased_Arguments(),1,2)</f>
        <v>Q_elec</v>
      </c>
      <c r="E544" s="113" t="str">
        <v>amount of electricity purchased from the grid</v>
      </c>
      <c r="F544" s="113"/>
      <c r="G544" s="113" t="str" cm="1">
        <f t="array" ref="G544:H546">_xlfn.CHOOSECOLS(Scope3_Equations.VEERG_15_12_1_1__1_UpstreamPurchasedElectricityLocationBased_Arguments(),3,4)</f>
        <v>kWh</v>
      </c>
      <c r="H544" s="247" t="str">
        <v>Input</v>
      </c>
      <c r="I544" s="121">
        <f>X_Cell_Electricity_Location_AmountPurchasedInkWh</f>
        <v>30000</v>
      </c>
      <c r="J544" s="122"/>
    </row>
    <row r="545" spans="1:41" ht="20.100000000000001" customHeight="1" x14ac:dyDescent="0.2">
      <c r="D545" s="113" t="str">
        <v>EF_3elec</v>
      </c>
      <c r="E545" s="113" t="str">
        <v>scope 3 emission factor for purchased electricity</v>
      </c>
      <c r="F545" s="113"/>
      <c r="G545" s="113" t="str">
        <v>kg CO2e/kWh</v>
      </c>
      <c r="H545" s="115" t="str">
        <v>Constant</v>
      </c>
      <c r="I545" s="121" cm="1">
        <f t="array" ref="I545">Common_InputFunctions.Utility_LookupValueInTableNumber(I546,Table_SourceData_ElectricityEFs[State, Territory or grid description],Table_SourceData_ElectricityEFs[Scope 3 Emission Factors (kg CO2-e/kWh)])</f>
        <v>0.09</v>
      </c>
      <c r="J545" s="122"/>
    </row>
    <row r="546" spans="1:41" ht="20.100000000000001" customHeight="1" x14ac:dyDescent="0.2">
      <c r="A546" s="79" t="str">
        <f>HYPERLINK("#A1", "▲ Back to top")</f>
        <v>▲ Back to top</v>
      </c>
      <c r="D546" s="113" t="str">
        <v>g</v>
      </c>
      <c r="E546" s="121" t="str">
        <v>grid electricity was purchased from</v>
      </c>
      <c r="F546" s="122"/>
      <c r="G546" s="113" t="str">
        <v/>
      </c>
      <c r="H546" s="247" t="str">
        <v>Input</v>
      </c>
      <c r="I546" s="121" t="str">
        <f>X_Cell_Electricity_Location_GridElectricityPurchasedFrom</f>
        <v>Western Australia - North Western Interconnected System (NWIS)</v>
      </c>
      <c r="J546" s="122"/>
    </row>
    <row r="548" spans="1:41" ht="20.100000000000001" customHeight="1" x14ac:dyDescent="0.2">
      <c r="D548" s="251" t="s">
        <v>1145</v>
      </c>
      <c r="E548" s="86" cm="1">
        <f t="array" ref="E548">Scope3_Equations.VEERG_15_12_1_1__1_UpstreamPurchasedElectricityLocationBased(I544,I545)</f>
        <v>2.7</v>
      </c>
      <c r="F548" s="95" t="str">
        <f>$E$170</f>
        <v>t CO2e</v>
      </c>
    </row>
    <row r="551" spans="1:41" ht="20.100000000000001" customHeight="1" x14ac:dyDescent="0.2">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row>
    <row r="552" spans="1:41" ht="20.100000000000001" customHeight="1" x14ac:dyDescent="0.2">
      <c r="D552" s="2" t="str" cm="1">
        <f t="array" ref="D552">Scope3_Equations.VEERG_15_12_1_2__1_UpstreamPurchasedElectricityMarketBased_Title()</f>
        <v>Scope 3 emissions from purchased electricity market based</v>
      </c>
    </row>
    <row r="553" spans="1:41" ht="20.100000000000001" customHeight="1" x14ac:dyDescent="0.2">
      <c r="D553" s="17" t="str" cm="1">
        <f t="array" ref="D553">Scope3_Equations.VEERG_15_12_1_2__1_UpstreamPurchasedElectricityMarketBased_Source()</f>
        <v>VEERG 2026: 15.12.1.2, Equation (1)</v>
      </c>
    </row>
    <row r="554" spans="1:41" ht="20.100000000000001" customHeight="1" x14ac:dyDescent="0.2">
      <c r="D554" s="25" t="str" cm="1">
        <f t="array" ref="D554">Scope3_Equations.VEERG_15_12_1_2__1_UpstreamPurchasedElectricityMarketBased_Variation()</f>
        <v>VARIATION ON SOURCE: In order to convert megawatt hours to kilowatt hours, the REC_surrendered and REC_onsite variables are multiplied by 10^3 instead of 10^-3.</v>
      </c>
    </row>
    <row r="555" spans="1:41" ht="20.100000000000001" customHeight="1" x14ac:dyDescent="0.2">
      <c r="D555" s="112" t="s">
        <v>321</v>
      </c>
      <c r="E555" s="112" t="str">
        <f ca="1">Common_InputFunctions.Utility_DisplayFunctionName(VEERG_15_12_1_2__1_UpstreamPurchasedElectricityMarketBasedVariation_Result)</f>
        <v>=Scope3_Equations.VEERG_15_12_1_2__1_UpstreamPurchasedElectricityMarketBasedVariation</v>
      </c>
    </row>
    <row r="559" spans="1:41" ht="20.100000000000001" customHeight="1" x14ac:dyDescent="0.2">
      <c r="D559" s="75" t="s">
        <v>322</v>
      </c>
      <c r="E559" s="1" t="str" cm="1">
        <f t="array" ref="E559">Scope3_Equations.VEERG_15_12_1_2__1_UpstreamPurchasedElectricityMarketBased_Variable()</f>
        <v>E_3elec</v>
      </c>
    </row>
    <row r="560" spans="1:41" ht="20.100000000000001" customHeight="1" x14ac:dyDescent="0.2">
      <c r="D560" s="75" t="s">
        <v>118</v>
      </c>
      <c r="E560" s="1" t="str" cm="1">
        <f t="array" ref="E560">Scope3_Equations.VEERG_15_12_1_2__1_UpstreamPurchasedElectricityMarketBased_Unit()</f>
        <v>t CO2e</v>
      </c>
    </row>
    <row r="562" spans="1:41" ht="20.100000000000001" customHeight="1" x14ac:dyDescent="0.2">
      <c r="D562" s="113" t="str" cm="1">
        <f t="array" ref="D562:E568">_xlfn.CHOOSECOLS(Scope3_Equations.VEERG_15_12_1_2__1_UpstreamPurchasedElectricityMarketBased_Arguments(),1,2)</f>
        <v>Q_elec</v>
      </c>
      <c r="E562" s="121" t="str">
        <v>amount of electricity purchased from the grid</v>
      </c>
      <c r="F562" s="122"/>
      <c r="G562" s="113" t="str" cm="1">
        <f t="array" ref="G562:H568">_xlfn.CHOOSECOLS(Scope3_Equations.VEERG_15_12_1_2__1_UpstreamPurchasedElectricityMarketBased_Arguments(),3,4)</f>
        <v>kWh</v>
      </c>
      <c r="H562" s="247" t="str">
        <v>Input</v>
      </c>
      <c r="I562" s="252">
        <f>X_Cell_Electricity_Market_AmountPurchasedExcludingGreenPower</f>
        <v>30000</v>
      </c>
    </row>
    <row r="563" spans="1:41" ht="20.100000000000001" customHeight="1" x14ac:dyDescent="0.2">
      <c r="D563" s="113" t="str">
        <v>RPP</v>
      </c>
      <c r="E563" s="121" t="str">
        <v>renewable power percentage under LRET for the applicable period</v>
      </c>
      <c r="F563" s="122"/>
      <c r="G563" s="113" t="str">
        <v>fraction</v>
      </c>
      <c r="H563" s="247" t="str">
        <v>Input</v>
      </c>
      <c r="I563" s="144">
        <f>X_Cell_Electricity_Market_RenewablePowerPercentage</f>
        <v>0.1</v>
      </c>
    </row>
    <row r="564" spans="1:41" ht="20.100000000000001" customHeight="1" x14ac:dyDescent="0.2">
      <c r="D564" s="113" t="str">
        <v>JRPP</v>
      </c>
      <c r="E564" s="121" t="str">
        <v>jurisdictional renewable power percentage for the applicable period</v>
      </c>
      <c r="F564" s="122"/>
      <c r="G564" s="113" t="str">
        <v>fraction</v>
      </c>
      <c r="H564" s="247" t="str">
        <v>Input</v>
      </c>
      <c r="I564" s="144">
        <f>X_Cell_Electricity_Market_JurisdictionalRenewablePowerPercentage</f>
        <v>0.1</v>
      </c>
    </row>
    <row r="565" spans="1:41" ht="20.100000000000001" customHeight="1" x14ac:dyDescent="0.2">
      <c r="D565" s="113" t="str">
        <v>REC_surrendered</v>
      </c>
      <c r="E565" s="121" t="str">
        <v>eligible renewable energy certificates voluntarily surrendered</v>
      </c>
      <c r="F565" s="122"/>
      <c r="G565" s="113" t="str">
        <v>MWh</v>
      </c>
      <c r="H565" s="247" t="str">
        <v>Input</v>
      </c>
      <c r="I565" s="113">
        <f>(X_Cell_Electricity_Market_AmountPurchasedGreenPower*10^-3)+X_Cell_TotalElegibleVoluntarilySurrenderedRECs</f>
        <v>15</v>
      </c>
    </row>
    <row r="566" spans="1:41" ht="20.100000000000001" customHeight="1" x14ac:dyDescent="0.2">
      <c r="D566" s="113" t="str">
        <v>REC_onsite</v>
      </c>
      <c r="E566" s="121" t="str">
        <v>eligible renewable energy certificates issued for onsite generated electricity</v>
      </c>
      <c r="F566" s="122"/>
      <c r="G566" s="113" t="str">
        <v>MWh</v>
      </c>
      <c r="H566" s="247" t="str">
        <v>Input</v>
      </c>
      <c r="I566" s="113">
        <f>X_Cell_TotalElegibleRECsForElectricityProducedOnSite</f>
        <v>0</v>
      </c>
    </row>
    <row r="567" spans="1:41" ht="20.100000000000001" customHeight="1" x14ac:dyDescent="0.2">
      <c r="D567" s="113" t="str">
        <v>EF_RMF3elec</v>
      </c>
      <c r="E567" s="121" t="str">
        <v>scope 3 residual mix emission factor for electricity</v>
      </c>
      <c r="F567" s="122"/>
      <c r="G567" s="113" t="str">
        <v>kg CO2e/kWh</v>
      </c>
      <c r="H567" s="115" t="str">
        <v>Constant</v>
      </c>
      <c r="I567" s="113" cm="1">
        <f t="array" ref="I567">Table_SourceData_ElectricityEFsMarketBased[Scope 3 EF (kg CO2-e/kWh)]</f>
        <v>0.1</v>
      </c>
    </row>
    <row r="568" spans="1:41" ht="20.100000000000001" customHeight="1" x14ac:dyDescent="0.2">
      <c r="D568" s="113" t="str">
        <v>i</v>
      </c>
      <c r="E568" s="121" t="str">
        <v>state</v>
      </c>
      <c r="F568" s="122"/>
      <c r="G568" s="113" t="str">
        <v/>
      </c>
      <c r="H568" s="247" t="str">
        <v>Input</v>
      </c>
      <c r="I568" s="113" t="str">
        <f>X_Cell_Site_State</f>
        <v>Western Australia</v>
      </c>
    </row>
    <row r="570" spans="1:41" ht="20.100000000000001" customHeight="1" x14ac:dyDescent="0.2">
      <c r="D570" s="251" t="s">
        <v>1145</v>
      </c>
      <c r="E570" s="86" cm="1">
        <f t="array" ref="E570">Scope3_Equations.VEERG_15_12_1_2__1_UpstreamPurchasedElectricityMarketBasedVariation(I562,I563,I564,I565,I566,I567)</f>
        <v>0.9</v>
      </c>
      <c r="F570" s="95" t="str">
        <f>$E$170</f>
        <v>t CO2e</v>
      </c>
    </row>
    <row r="573" spans="1:41" ht="20.100000000000001" customHeight="1" x14ac:dyDescent="0.2">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row>
    <row r="574" spans="1:41" ht="20.100000000000001" customHeight="1" x14ac:dyDescent="0.2">
      <c r="D574" s="2" t="str" cm="1">
        <f t="array" ref="D574">Scope3_Equations.VEERG_15_13_1_1__1_EmissionsFromManureSentOffSite_Title()</f>
        <v>Emissions from manure sent off site applied to soils in another farming system or enterprise</v>
      </c>
    </row>
    <row r="575" spans="1:41" ht="20.100000000000001" customHeight="1" x14ac:dyDescent="0.2">
      <c r="D575" s="17" t="str" cm="1">
        <f t="array" ref="D575">Scope3_Equations.VEERG_15_13_1_1__1_EmissionsFromManureSentOffSite_Source()</f>
        <v>VEERG 2026: 15.13.1.1, Equation (1)</v>
      </c>
    </row>
    <row r="576" spans="1:41" ht="20.100000000000001" customHeight="1" x14ac:dyDescent="0.2">
      <c r="A576" s="79" t="str">
        <f>HYPERLINK("#A1", "▲ Back to top")</f>
        <v>▲ Back to top</v>
      </c>
      <c r="D576" s="112" t="s">
        <v>321</v>
      </c>
      <c r="E576" s="112" t="str" cm="1">
        <f t="array" aca="1" ref="E576" ca="1">Common_InputFunctions.Utility_DisplayFunctionName(E588)</f>
        <v>=Scope3_Equations.VEERG_15_13_1_1__1_EmissionsFromManureSentOffSite</v>
      </c>
    </row>
    <row r="579" spans="4:18" ht="20.100000000000001" customHeight="1" x14ac:dyDescent="0.2">
      <c r="D579" s="75" t="s">
        <v>322</v>
      </c>
      <c r="E579" s="1" t="str" cm="1">
        <f t="array" ref="E579">Scope3_Equations.VEERG_15_13_1_1__1_EmissionsFromManureSentOffSite_Variable()</f>
        <v>E</v>
      </c>
    </row>
    <row r="580" spans="4:18" ht="20.100000000000001" customHeight="1" x14ac:dyDescent="0.2">
      <c r="D580" s="75" t="s">
        <v>118</v>
      </c>
      <c r="E580" s="9" t="str" cm="1">
        <f t="array" ref="E580">Scope3_Equations.VEERG_15_13_1_1__1_EmissionsFromManureSentOffSite_Unit()</f>
        <v>t N2O</v>
      </c>
    </row>
    <row r="582" spans="4:18" ht="20.100000000000001" customHeight="1" x14ac:dyDescent="0.2">
      <c r="D582" s="24" t="s">
        <v>130</v>
      </c>
      <c r="L582" s="24" t="s">
        <v>131</v>
      </c>
    </row>
    <row r="584" spans="4:18" ht="20.100000000000001" customHeight="1" x14ac:dyDescent="0.2">
      <c r="D584" s="113" t="str" cm="1">
        <f t="array" ref="D584:E586">_xlfn.CHOOSECOLS(Scope3_Equations.VEERG_15_13_1_1__1_EmissionsFromManureSentOffSite_Arguments(),1,2)</f>
        <v>E_N2O</v>
      </c>
      <c r="E584" s="121" t="str">
        <v>direct nitrous oxide emissions from application of manure to soils outside of scope 1 boundary</v>
      </c>
      <c r="F584" s="132"/>
      <c r="G584" s="122"/>
      <c r="H584" s="113" t="str" cm="1">
        <f t="array" ref="H584:I586">_xlfn.CHOOSECOLS(Scope3_Equations.VEERG_15_13_1_1__1_EmissionsFromManureSentOffSite_Arguments(),3,4)</f>
        <v>t N2O</v>
      </c>
      <c r="I584" s="115" t="str">
        <v>Calculated</v>
      </c>
      <c r="J584" s="113">
        <f>IFERROR(VEERG_5_2_1_1__1_OrganicFertiliserApplicationN2OEmissions_Result_Method1, 0)</f>
        <v>7.8571428571428577E-3</v>
      </c>
      <c r="L584" s="113" t="str" cm="1">
        <f t="array" ref="L584:M586">_xlfn.CHOOSECOLS(Scope3_Equations.VEERG_15_13_1_1__1_EmissionsFromManureSentOffSite_Arguments(),1,2)</f>
        <v>E_N2O</v>
      </c>
      <c r="M584" s="121" t="str">
        <v>direct nitrous oxide emissions from application of manure to soils outside of scope 1 boundary</v>
      </c>
      <c r="N584" s="132"/>
      <c r="O584" s="122"/>
      <c r="P584" s="113" t="str" cm="1">
        <f t="array" ref="P584:Q586">_xlfn.CHOOSECOLS(Scope3_Equations.VEERG_15_13_1_1__1_EmissionsFromManureSentOffSite_Arguments(),3,4)</f>
        <v>t N2O</v>
      </c>
      <c r="Q584" s="115" t="str">
        <v>Calculated</v>
      </c>
      <c r="R584" s="113">
        <f>IFERROR(VEERG_5_2_1_1__1_OrganicFertiliserApplicationN2OEmissions_Result_Method2, 0)</f>
        <v>1.5714285714285715E-2</v>
      </c>
    </row>
    <row r="585" spans="4:18" ht="20.100000000000001" customHeight="1" x14ac:dyDescent="0.2">
      <c r="D585" s="113" t="str">
        <v>E_ad</v>
      </c>
      <c r="E585" s="121" t="str">
        <v>nitrous oxide emissions from atmospheric deposition of manure to soils</v>
      </c>
      <c r="F585" s="132"/>
      <c r="G585" s="122"/>
      <c r="H585" s="113" t="str">
        <v>t N2O</v>
      </c>
      <c r="I585" s="115" t="str">
        <v>Calculated</v>
      </c>
      <c r="J585" s="113">
        <f>IFERROR(VEERG_5_4_1_3__1_OrganicFertiliserAtmosphericDepositionN2OEmissions_Result_Method1, 0)</f>
        <v>1.6401E-3</v>
      </c>
      <c r="L585" s="113" t="str">
        <v>E_ad</v>
      </c>
      <c r="M585" s="121" t="str">
        <v>nitrous oxide emissions from atmospheric deposition of manure to soils</v>
      </c>
      <c r="N585" s="132"/>
      <c r="O585" s="122"/>
      <c r="P585" s="113" t="str">
        <v>t N2O</v>
      </c>
      <c r="Q585" s="115" t="str">
        <v>Calculated</v>
      </c>
      <c r="R585" s="113">
        <f>IFERROR(VEERG_5_4_1_3__1_OrganicFertiliserAtmosphericDepositionN2OEmissions_Result_Method2, 0)</f>
        <v>4.62E-3</v>
      </c>
    </row>
    <row r="586" spans="4:18" ht="20.100000000000001" customHeight="1" x14ac:dyDescent="0.2">
      <c r="D586" s="113" t="str">
        <v>E_leach</v>
      </c>
      <c r="E586" s="121" t="str">
        <v>nitrous oxide emissions from nitrogen leaching and runoff of manure to soils</v>
      </c>
      <c r="F586" s="132"/>
      <c r="G586" s="122"/>
      <c r="H586" s="113" t="str">
        <v>t N2O</v>
      </c>
      <c r="I586" s="115" t="str">
        <v>Calculated</v>
      </c>
      <c r="J586" s="113">
        <f>IFERROR(VEERG_5_5_1_1__1_FertiliserLeachingAndRunoffN2OEmissions_Result_Method1, 0)</f>
        <v>0</v>
      </c>
      <c r="L586" s="113" t="str">
        <v>E_leach</v>
      </c>
      <c r="M586" s="121" t="str">
        <v>nitrous oxide emissions from nitrogen leaching and runoff of manure to soils</v>
      </c>
      <c r="N586" s="132"/>
      <c r="O586" s="122"/>
      <c r="P586" s="113" t="str">
        <v>t N2O</v>
      </c>
      <c r="Q586" s="115" t="str">
        <v>Calculated</v>
      </c>
      <c r="R586" s="113">
        <f>IFERROR(VEERG_5_5_1_1__1_FertiliserLeachingAndRunoffN2OEmissions_Result_Method2, 0)</f>
        <v>8.2971428571428554E-3</v>
      </c>
    </row>
    <row r="588" spans="4:18" ht="20.100000000000001" customHeight="1" x14ac:dyDescent="0.2">
      <c r="D588" s="251" t="s">
        <v>1145</v>
      </c>
      <c r="E588" s="86" cm="1">
        <f t="array" ref="E588">Scope3_Equations.VEERG_15_13_1_1__1_EmissionsFromManureSentOffSite(J584,J585,J586)</f>
        <v>9.4972428571428579E-3</v>
      </c>
      <c r="F588" s="95" t="str">
        <f>$E$580</f>
        <v>t N2O</v>
      </c>
      <c r="L588" s="251" t="s">
        <v>1145</v>
      </c>
      <c r="M588" s="86" cm="1">
        <f t="array" ref="M588">Scope3_Equations.VEERG_15_13_1_1__1_EmissionsFromManureSentOffSite(R584,R585,R586)</f>
        <v>2.8631428571428572E-2</v>
      </c>
      <c r="N588" s="95" t="str">
        <f>$E$580</f>
        <v>t N2O</v>
      </c>
    </row>
    <row r="590" spans="4:18" ht="20.100000000000001" customHeight="1" x14ac:dyDescent="0.2">
      <c r="D590" s="124" t="str" cm="1">
        <f t="array" ref="D590:E591">Common_Equations.Common_ConvertN2OToCO2e_Arguments()</f>
        <v>EN2O</v>
      </c>
      <c r="E590" s="126" t="str">
        <v>Nitrous oxide emissions (t N2O)</v>
      </c>
      <c r="F590" s="127"/>
      <c r="G590" s="15">
        <f>E588</f>
        <v>9.4972428571428579E-3</v>
      </c>
      <c r="L590" s="124" t="str" cm="1">
        <f t="array" ref="L590:M591">Common_Equations.Common_ConvertN2OToCO2e_Arguments()</f>
        <v>EN2O</v>
      </c>
      <c r="M590" s="126" t="str">
        <v>Nitrous oxide emissions (t N2O)</v>
      </c>
      <c r="N590" s="127"/>
      <c r="O590" s="15">
        <f>M588</f>
        <v>2.8631428571428572E-2</v>
      </c>
    </row>
    <row r="591" spans="4:18" ht="20.100000000000001" customHeight="1" x14ac:dyDescent="0.2">
      <c r="D591" s="124" t="str">
        <v>GWPN2O</v>
      </c>
      <c r="E591" s="126" t="str">
        <v>Global warming potential for nitrous oxide (t CO2-e / t N2O)</v>
      </c>
      <c r="F591" s="127"/>
      <c r="G591" s="15">
        <f>Common_InputFunctions.Utility_LookupValueInTableNumber("N2O",Table_GWPData[Gas],Table_GWPData[CO2-e factor])</f>
        <v>265</v>
      </c>
      <c r="L591" s="124" t="str">
        <v>GWPN2O</v>
      </c>
      <c r="M591" s="126" t="str">
        <v>Global warming potential for nitrous oxide (t CO2-e / t N2O)</v>
      </c>
      <c r="N591" s="127"/>
      <c r="O591" s="15">
        <f>Common_InputFunctions.Utility_LookupValueInTableNumber("N2O",Table_GWPData[Gas],Table_GWPData[CO2-e factor])</f>
        <v>265</v>
      </c>
    </row>
    <row r="593" spans="1:41" ht="20.100000000000001" customHeight="1" x14ac:dyDescent="0.2">
      <c r="D593" s="83" t="s">
        <v>428</v>
      </c>
      <c r="E593" s="83" cm="1">
        <f t="array" ref="E593">Common_Equations.Common_ConvertN2OToCO2e(G590,G591)</f>
        <v>2.5167693571428575</v>
      </c>
      <c r="F593" s="89" t="str" cm="1">
        <f t="array" ref="F593">Common_Equations.Common_ConvertN2OToCO2e_Unit()</f>
        <v>t CO2e</v>
      </c>
      <c r="L593" s="83" t="s">
        <v>428</v>
      </c>
      <c r="M593" s="83" cm="1">
        <f t="array" ref="M593">Common_Equations.Common_ConvertN2OToCO2e(O590,O591)</f>
        <v>7.5873285714285714</v>
      </c>
      <c r="N593" s="89" t="str" cm="1">
        <f t="array" ref="N593">Common_Equations.Common_ConvertN2OToCO2e_Unit()</f>
        <v>t CO2e</v>
      </c>
    </row>
    <row r="596" spans="1:41" ht="20.100000000000001" customHeight="1" x14ac:dyDescent="0.2">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row>
    <row r="597" spans="1:41" ht="20.100000000000001" customHeight="1" x14ac:dyDescent="0.2">
      <c r="D597" s="2" t="str" cm="1">
        <f t="array" ref="D597">Scope3_Equations.VEERG_15_13_1_3__1_EmissionsFromSolidWasteTreatmentFacility_Title()</f>
        <v>Emissions from solid waste sent to a treatment facility</v>
      </c>
    </row>
    <row r="598" spans="1:41" ht="20.100000000000001" customHeight="1" x14ac:dyDescent="0.2">
      <c r="D598" s="17" t="str" cm="1">
        <f t="array" ref="D598">Scope3_Equations.VEERG_15_13_1_3__1_EmissionsFromSolidWasteTreatmentFacility_Source()</f>
        <v>VEERG 2026: 15.13.1.3</v>
      </c>
    </row>
    <row r="600" spans="1:41" ht="20.100000000000001" customHeight="1" x14ac:dyDescent="0.2">
      <c r="D600" s="75" t="s">
        <v>322</v>
      </c>
      <c r="E600" s="1" t="str" cm="1">
        <f t="array" ref="E600">Scope3_Equations.VEERG_15_13_1_3__1_EmissionsFromSolidWasteTreatmentFacility_Variable()</f>
        <v>E</v>
      </c>
    </row>
    <row r="601" spans="1:41" ht="20.100000000000001" customHeight="1" x14ac:dyDescent="0.2">
      <c r="D601" s="75" t="s">
        <v>118</v>
      </c>
      <c r="E601" s="9" t="str" cm="1">
        <f t="array" ref="E601">Scope3_Equations.VEERG_15_13_1_3__1_EmissionsFromSolidWasteTreatmentFacility_Unit()</f>
        <v>t CO2e</v>
      </c>
    </row>
    <row r="603" spans="1:41" ht="20.100000000000001" customHeight="1" x14ac:dyDescent="0.2">
      <c r="D603" s="251" t="s">
        <v>1145</v>
      </c>
      <c r="E603" s="86">
        <f>VEERG_10_1_1_1__1_EmissionsFromWasteManagement_Scope3_Result_Method1</f>
        <v>441.15000000000003</v>
      </c>
      <c r="F603" s="95" t="str">
        <f>E601</f>
        <v>t CO2e</v>
      </c>
    </row>
    <row r="606" spans="1:41" ht="20.100000000000001" customHeight="1" x14ac:dyDescent="0.2">
      <c r="A606" s="79" t="str">
        <f>HYPERLINK("#A1", "▲ Back to top")</f>
        <v>▲ Back to top</v>
      </c>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row>
    <row r="607" spans="1:41" ht="20.100000000000001" customHeight="1" x14ac:dyDescent="0.2">
      <c r="D607" s="2" t="str" cm="1">
        <f t="array" ref="D607">Scope3_Equations.VEERG_15_14_1_1__1_EmbeddedEmissionsFromUpstreamFreight_Title()</f>
        <v>Embedded emissions from upstream freight</v>
      </c>
    </row>
    <row r="608" spans="1:41" ht="20.100000000000001" customHeight="1" x14ac:dyDescent="0.2">
      <c r="D608" s="17" t="str" cm="1">
        <f t="array" ref="D608">Scope3_Equations.VEERG_15_14_1_1__1_EmbeddedEmissionsFromUpstreamFreight_Source()</f>
        <v>VEERG 2026: 15.14.1.1, Equation (1)</v>
      </c>
    </row>
    <row r="609" spans="4:13" ht="20.100000000000001" customHeight="1" x14ac:dyDescent="0.2">
      <c r="D609" s="112" t="s">
        <v>321</v>
      </c>
      <c r="E609" s="112" t="str" cm="1">
        <f t="array" aca="1" ref="E609" ca="1">Common_InputFunctions.Utility_DisplayFunctionName(J624)</f>
        <v>=Scope3_Equations.VEERG_15_14_1_1__1_EmbeddedEmissionsFromUpstreamFreight</v>
      </c>
    </row>
    <row r="613" spans="4:13" ht="20.100000000000001" customHeight="1" x14ac:dyDescent="0.2">
      <c r="D613" s="75" t="s">
        <v>322</v>
      </c>
      <c r="E613" s="1" t="str" cm="1">
        <f t="array" ref="E613">Scope3_Equations.VEERG_15_14_1_1__1_EmbeddedEmissionsFromUpstreamFreight_Variable()</f>
        <v>E</v>
      </c>
    </row>
    <row r="614" spans="4:13" ht="20.100000000000001" customHeight="1" x14ac:dyDescent="0.2">
      <c r="D614" s="75" t="s">
        <v>118</v>
      </c>
      <c r="E614" s="9" t="str" cm="1">
        <f t="array" ref="E614">Scope3_Equations.VEERG_15_14_1_1__1_EmbeddedEmissionsFromUpstreamFreight_Unit()</f>
        <v>t CO2e</v>
      </c>
    </row>
    <row r="616" spans="4:13" ht="20.100000000000001" customHeight="1" x14ac:dyDescent="0.2">
      <c r="D616" s="113" t="str" cm="1">
        <f t="array" ref="D616:E619">_xlfn.CHOOSECOLS(Scope3_Equations.VEERG_15_14_1_1__1_EmbeddedEmissionsFromUpstreamFreight_Arguments(),1,2)</f>
        <v>W_f</v>
      </c>
      <c r="E616" s="121" t="str">
        <v>total mass of goods transported per freight type f</v>
      </c>
      <c r="F616" s="122"/>
      <c r="G616" s="113" t="str" cm="1">
        <f t="array" ref="G616:H619">_xlfn.CHOOSECOLS(Scope3_Equations.VEERG_15_14_1_1__1_EmbeddedEmissionsFromUpstreamFreight_Arguments(),3,4)</f>
        <v>t</v>
      </c>
      <c r="H616" s="247" t="str">
        <v>Input</v>
      </c>
    </row>
    <row r="617" spans="4:13" ht="20.100000000000001" customHeight="1" x14ac:dyDescent="0.2">
      <c r="D617" s="113" t="str">
        <v>D_f</v>
      </c>
      <c r="E617" s="121" t="str">
        <v>total distance transported per freight type f</v>
      </c>
      <c r="F617" s="122"/>
      <c r="G617" s="113" t="str">
        <v>km</v>
      </c>
      <c r="H617" s="247" t="str">
        <v>Input</v>
      </c>
    </row>
    <row r="618" spans="4:13" ht="20.100000000000001" customHeight="1" x14ac:dyDescent="0.2">
      <c r="D618" s="113" t="str">
        <v>EF_f</v>
      </c>
      <c r="E618" s="121" t="str">
        <v>emission factor for freight type f</v>
      </c>
      <c r="F618" s="122"/>
      <c r="G618" s="113" t="str">
        <v>t CO2e/(t km)</v>
      </c>
      <c r="H618" s="115" t="str">
        <v>Constant</v>
      </c>
    </row>
    <row r="619" spans="4:13" ht="20.100000000000001" customHeight="1" x14ac:dyDescent="0.2">
      <c r="D619" s="113" t="str">
        <v>f</v>
      </c>
      <c r="E619" s="121" t="str">
        <v>freight type</v>
      </c>
      <c r="F619" s="122"/>
      <c r="G619" s="113" t="str">
        <v/>
      </c>
      <c r="H619" s="247" t="str">
        <v>Input</v>
      </c>
    </row>
    <row r="621" spans="4:13" ht="20.100000000000001" customHeight="1" x14ac:dyDescent="0.2">
      <c r="D621" s="240" t="s">
        <v>1008</v>
      </c>
    </row>
    <row r="623" spans="4:13" ht="20.100000000000001" customHeight="1" x14ac:dyDescent="0.2">
      <c r="D623" s="78" t="s">
        <v>1146</v>
      </c>
      <c r="E623" s="78" t="s">
        <v>1147</v>
      </c>
      <c r="F623" s="78" t="s">
        <v>1148</v>
      </c>
      <c r="G623" s="120" t="s">
        <v>1149</v>
      </c>
      <c r="H623" s="120" t="s">
        <v>1037</v>
      </c>
      <c r="I623" s="78" t="s">
        <v>1086</v>
      </c>
      <c r="J623" s="120" t="s">
        <v>1040</v>
      </c>
      <c r="K623" s="78" t="s">
        <v>1041</v>
      </c>
      <c r="L623" s="78" t="s">
        <v>1042</v>
      </c>
      <c r="M623" s="78" t="s">
        <v>1043</v>
      </c>
    </row>
    <row r="624" spans="4: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1125</v>
      </c>
      <c r="H624" s="15" t="s">
        <v>1125</v>
      </c>
      <c r="I624" s="74">
        <v>0.01</v>
      </c>
      <c r="J624" s="15" cm="1">
        <f t="array" ref="J624">Scope3_Equations.VEERG_15_14_1_1__1_EmbeddedEmissionsFromUpstreamFreight(E624,F624,I624)</f>
        <v>5127.2</v>
      </c>
      <c r="K624" s="33"/>
      <c r="L624" s="13"/>
      <c r="M624" s="33"/>
    </row>
    <row r="625" spans="1:13" ht="20.100000000000001" customHeight="1" x14ac:dyDescent="0.2">
      <c r="D625" s="15" t="str">
        <v>Fertiliser supplier to farm</v>
      </c>
      <c r="E625" s="15">
        <v>10</v>
      </c>
      <c r="F625" s="15">
        <v>390</v>
      </c>
      <c r="G625" s="15" t="s">
        <v>1125</v>
      </c>
      <c r="H625" s="15" t="s">
        <v>1125</v>
      </c>
      <c r="I625" s="74">
        <v>0.01</v>
      </c>
      <c r="J625" s="15" cm="1">
        <f t="array" ref="J625">Scope3_Equations.VEERG_15_14_1_1__1_EmbeddedEmissionsFromUpstreamFreight(E625,F625,I625)</f>
        <v>39</v>
      </c>
      <c r="K625" s="33"/>
      <c r="L625" s="13"/>
      <c r="M625" s="33"/>
    </row>
    <row r="626" spans="1:13" ht="20.100000000000001" customHeight="1" x14ac:dyDescent="0.2">
      <c r="D626" s="15">
        <v>0</v>
      </c>
      <c r="E626" s="15">
        <v>0</v>
      </c>
      <c r="F626" s="15">
        <v>0</v>
      </c>
      <c r="G626" s="15" t="s">
        <v>1125</v>
      </c>
      <c r="H626" s="15" t="s">
        <v>1125</v>
      </c>
      <c r="I626" s="74"/>
      <c r="J626" s="15" cm="1">
        <f t="array" ref="J626">Scope3_Equations.VEERG_15_14_1_1__1_EmbeddedEmissionsFromUpstreamFreight(E626,F626,I626)</f>
        <v>0</v>
      </c>
      <c r="K626" s="33"/>
      <c r="L626" s="13"/>
      <c r="M626" s="33"/>
    </row>
    <row r="627" spans="1:13" ht="20.100000000000001" customHeight="1" x14ac:dyDescent="0.2">
      <c r="D627" s="15">
        <v>0</v>
      </c>
      <c r="E627" s="15">
        <v>0</v>
      </c>
      <c r="F627" s="15">
        <v>0</v>
      </c>
      <c r="G627" s="15" t="s">
        <v>1125</v>
      </c>
      <c r="H627" s="15" t="s">
        <v>1125</v>
      </c>
      <c r="I627" s="74"/>
      <c r="J627" s="15" cm="1">
        <f t="array" ref="J627">Scope3_Equations.VEERG_15_14_1_1__1_EmbeddedEmissionsFromUpstreamFreight(E627,F627,I627)</f>
        <v>0</v>
      </c>
      <c r="K627" s="33"/>
      <c r="L627" s="13"/>
      <c r="M627" s="33"/>
    </row>
    <row r="628" spans="1:13" ht="20.100000000000001" customHeight="1" x14ac:dyDescent="0.2">
      <c r="D628" s="15">
        <v>0</v>
      </c>
      <c r="E628" s="15">
        <v>0</v>
      </c>
      <c r="F628" s="15">
        <v>0</v>
      </c>
      <c r="G628" s="15" t="s">
        <v>1125</v>
      </c>
      <c r="H628" s="15" t="s">
        <v>1125</v>
      </c>
      <c r="I628" s="74"/>
      <c r="J628" s="15" cm="1">
        <f t="array" ref="J628">Scope3_Equations.VEERG_15_14_1_1__1_EmbeddedEmissionsFromUpstreamFreight(E628,F628,I628)</f>
        <v>0</v>
      </c>
      <c r="K628" s="33"/>
      <c r="L628" s="13"/>
      <c r="M628" s="33"/>
    </row>
    <row r="629" spans="1:13" ht="20.100000000000001" customHeight="1" x14ac:dyDescent="0.2">
      <c r="D629" s="15">
        <v>0</v>
      </c>
      <c r="E629" s="15">
        <v>0</v>
      </c>
      <c r="F629" s="15">
        <v>0</v>
      </c>
      <c r="G629" s="15" t="s">
        <v>1125</v>
      </c>
      <c r="H629" s="15" t="s">
        <v>1125</v>
      </c>
      <c r="I629" s="74"/>
      <c r="J629" s="15" cm="1">
        <f t="array" ref="J629">Scope3_Equations.VEERG_15_14_1_1__1_EmbeddedEmissionsFromUpstreamFreight(E629,F629,I629)</f>
        <v>0</v>
      </c>
      <c r="K629" s="33"/>
      <c r="L629" s="13"/>
      <c r="M629" s="33"/>
    </row>
    <row r="630" spans="1:13" ht="20.100000000000001" customHeight="1" x14ac:dyDescent="0.2">
      <c r="D630" s="15">
        <v>0</v>
      </c>
      <c r="E630" s="15">
        <v>0</v>
      </c>
      <c r="F630" s="15">
        <v>0</v>
      </c>
      <c r="G630" s="15" t="s">
        <v>1125</v>
      </c>
      <c r="H630" s="15" t="s">
        <v>1125</v>
      </c>
      <c r="I630" s="74"/>
      <c r="J630" s="15" cm="1">
        <f t="array" ref="J630">Scope3_Equations.VEERG_15_14_1_1__1_EmbeddedEmissionsFromUpstreamFreight(E630,F630,I630)</f>
        <v>0</v>
      </c>
      <c r="K630" s="33"/>
      <c r="L630" s="13"/>
      <c r="M630" s="33"/>
    </row>
    <row r="631" spans="1:13" ht="20.100000000000001" customHeight="1" x14ac:dyDescent="0.2">
      <c r="D631" s="15">
        <v>0</v>
      </c>
      <c r="E631" s="15">
        <v>0</v>
      </c>
      <c r="F631" s="15">
        <v>0</v>
      </c>
      <c r="G631" s="15" t="s">
        <v>1125</v>
      </c>
      <c r="H631" s="15" t="s">
        <v>1125</v>
      </c>
      <c r="I631" s="74"/>
      <c r="J631" s="15" cm="1">
        <f t="array" ref="J631">Scope3_Equations.VEERG_15_14_1_1__1_EmbeddedEmissionsFromUpstreamFreight(E631,F631,I631)</f>
        <v>0</v>
      </c>
      <c r="K631" s="33"/>
      <c r="L631" s="13"/>
      <c r="M631" s="33"/>
    </row>
    <row r="632" spans="1:13" ht="20.100000000000001" customHeight="1" x14ac:dyDescent="0.2">
      <c r="D632" s="15">
        <v>0</v>
      </c>
      <c r="E632" s="15">
        <v>0</v>
      </c>
      <c r="F632" s="15">
        <v>0</v>
      </c>
      <c r="G632" s="15" t="s">
        <v>1125</v>
      </c>
      <c r="H632" s="15" t="s">
        <v>1125</v>
      </c>
      <c r="I632" s="74"/>
      <c r="J632" s="15" cm="1">
        <f t="array" ref="J632">Scope3_Equations.VEERG_15_14_1_1__1_EmbeddedEmissionsFromUpstreamFreight(E632,F632,I632)</f>
        <v>0</v>
      </c>
      <c r="K632" s="33"/>
      <c r="L632" s="13"/>
      <c r="M632" s="33"/>
    </row>
    <row r="633" spans="1:13" ht="20.100000000000001" customHeight="1" x14ac:dyDescent="0.2">
      <c r="D633" s="15">
        <v>0</v>
      </c>
      <c r="E633" s="15">
        <v>0</v>
      </c>
      <c r="F633" s="15">
        <v>0</v>
      </c>
      <c r="G633" s="15" t="s">
        <v>1125</v>
      </c>
      <c r="H633" s="15" t="s">
        <v>1125</v>
      </c>
      <c r="I633" s="74"/>
      <c r="J633" s="15" cm="1">
        <f t="array" ref="J633">Scope3_Equations.VEERG_15_14_1_1__1_EmbeddedEmissionsFromUpstreamFreight(E633,F633,I633)</f>
        <v>0</v>
      </c>
      <c r="K633" s="33"/>
      <c r="L633" s="13"/>
      <c r="M633" s="33"/>
    </row>
    <row r="635" spans="1:13" ht="20.100000000000001" customHeight="1" x14ac:dyDescent="0.2">
      <c r="D635" s="88" t="s">
        <v>1150</v>
      </c>
      <c r="E635" s="83" t="s">
        <v>1125</v>
      </c>
      <c r="F635" s="89" t="str">
        <f>$E$105</f>
        <v>t CO2e</v>
      </c>
    </row>
    <row r="636" spans="1:13" ht="20.100000000000001" customHeight="1" x14ac:dyDescent="0.2">
      <c r="A636" s="79" t="str">
        <f>HYPERLINK("#A1", "▲ Back to top")</f>
        <v>▲ Back to top</v>
      </c>
      <c r="D636" s="88" t="s">
        <v>1151</v>
      </c>
      <c r="E636" s="83">
        <f>SUM(J624:J633)</f>
        <v>5166.2</v>
      </c>
      <c r="F636" s="89" t="str">
        <f>$E$105</f>
        <v>t CO2e</v>
      </c>
    </row>
    <row r="639" spans="1:13" ht="20.100000000000001" customHeight="1" x14ac:dyDescent="0.2">
      <c r="D639" s="240" t="s">
        <v>1018</v>
      </c>
    </row>
    <row r="641" spans="4:13" ht="20.100000000000001" customHeight="1" x14ac:dyDescent="0.2">
      <c r="D641" s="78" t="s">
        <v>1146</v>
      </c>
      <c r="E641" s="78" t="s">
        <v>1147</v>
      </c>
      <c r="F641" s="78" t="s">
        <v>1148</v>
      </c>
      <c r="G641" s="120" t="s">
        <v>1149</v>
      </c>
      <c r="H641" s="120" t="s">
        <v>1037</v>
      </c>
      <c r="I641" s="78" t="s">
        <v>1086</v>
      </c>
      <c r="J641" s="120" t="s">
        <v>1040</v>
      </c>
      <c r="K641" s="78" t="s">
        <v>1041</v>
      </c>
      <c r="L641" s="78" t="s">
        <v>1042</v>
      </c>
      <c r="M641" s="78" t="s">
        <v>1043</v>
      </c>
    </row>
    <row r="642" spans="4: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1125</v>
      </c>
      <c r="H642" s="15" t="s">
        <v>1125</v>
      </c>
      <c r="I642" s="74">
        <v>0.01</v>
      </c>
      <c r="J642" s="15" cm="1">
        <f t="array" ref="J642">Scope3_Equations.VEERG_15_14_1_1__1_EmbeddedEmissionsFromUpstreamFreight(E642,F642,I642)</f>
        <v>676</v>
      </c>
      <c r="K642" s="33"/>
      <c r="L642" s="13"/>
      <c r="M642" s="33"/>
    </row>
    <row r="643" spans="4:13" ht="20.100000000000001" customHeight="1" x14ac:dyDescent="0.2">
      <c r="D643" s="15">
        <v>0</v>
      </c>
      <c r="E643" s="15">
        <v>0</v>
      </c>
      <c r="F643" s="15">
        <v>0</v>
      </c>
      <c r="G643" s="15" t="s">
        <v>1125</v>
      </c>
      <c r="H643" s="15" t="s">
        <v>1125</v>
      </c>
      <c r="I643" s="74"/>
      <c r="J643" s="15" cm="1">
        <f t="array" ref="J643">Scope3_Equations.VEERG_15_14_1_1__1_EmbeddedEmissionsFromUpstreamFreight(E643,F643,I643)</f>
        <v>0</v>
      </c>
      <c r="K643" s="33"/>
      <c r="L643" s="13"/>
      <c r="M643" s="33"/>
    </row>
    <row r="644" spans="4:13" ht="20.100000000000001" customHeight="1" x14ac:dyDescent="0.2">
      <c r="D644" s="15">
        <v>0</v>
      </c>
      <c r="E644" s="15">
        <v>0</v>
      </c>
      <c r="F644" s="15">
        <v>0</v>
      </c>
      <c r="G644" s="15" t="s">
        <v>1125</v>
      </c>
      <c r="H644" s="15" t="s">
        <v>1125</v>
      </c>
      <c r="I644" s="74"/>
      <c r="J644" s="15" cm="1">
        <f t="array" ref="J644">Scope3_Equations.VEERG_15_14_1_1__1_EmbeddedEmissionsFromUpstreamFreight(E644,F644,I644)</f>
        <v>0</v>
      </c>
      <c r="K644" s="33"/>
      <c r="L644" s="13"/>
      <c r="M644" s="33"/>
    </row>
    <row r="645" spans="4:13" ht="20.100000000000001" customHeight="1" x14ac:dyDescent="0.2">
      <c r="D645" s="15">
        <v>0</v>
      </c>
      <c r="E645" s="15">
        <v>0</v>
      </c>
      <c r="F645" s="15">
        <v>0</v>
      </c>
      <c r="G645" s="15" t="s">
        <v>1125</v>
      </c>
      <c r="H645" s="15" t="s">
        <v>1125</v>
      </c>
      <c r="I645" s="74"/>
      <c r="J645" s="15" cm="1">
        <f t="array" ref="J645">Scope3_Equations.VEERG_15_14_1_1__1_EmbeddedEmissionsFromUpstreamFreight(E645,F645,I645)</f>
        <v>0</v>
      </c>
      <c r="K645" s="33"/>
      <c r="L645" s="13"/>
      <c r="M645" s="33"/>
    </row>
    <row r="646" spans="4:13" ht="20.100000000000001" customHeight="1" x14ac:dyDescent="0.2">
      <c r="D646" s="15">
        <v>0</v>
      </c>
      <c r="E646" s="15">
        <v>0</v>
      </c>
      <c r="F646" s="15">
        <v>0</v>
      </c>
      <c r="G646" s="15" t="s">
        <v>1125</v>
      </c>
      <c r="H646" s="15" t="s">
        <v>1125</v>
      </c>
      <c r="I646" s="74"/>
      <c r="J646" s="15" cm="1">
        <f t="array" ref="J646">Scope3_Equations.VEERG_15_14_1_1__1_EmbeddedEmissionsFromUpstreamFreight(E646,F646,I646)</f>
        <v>0</v>
      </c>
      <c r="K646" s="33"/>
      <c r="L646" s="13"/>
      <c r="M646" s="33"/>
    </row>
    <row r="647" spans="4:13" ht="20.100000000000001" customHeight="1" x14ac:dyDescent="0.2">
      <c r="D647" s="15">
        <v>0</v>
      </c>
      <c r="E647" s="15">
        <v>0</v>
      </c>
      <c r="F647" s="15">
        <v>0</v>
      </c>
      <c r="G647" s="15" t="s">
        <v>1125</v>
      </c>
      <c r="H647" s="15" t="s">
        <v>1125</v>
      </c>
      <c r="I647" s="74"/>
      <c r="J647" s="15" cm="1">
        <f t="array" ref="J647">Scope3_Equations.VEERG_15_14_1_1__1_EmbeddedEmissionsFromUpstreamFreight(E647,F647,I647)</f>
        <v>0</v>
      </c>
      <c r="K647" s="33"/>
      <c r="L647" s="13"/>
      <c r="M647" s="33"/>
    </row>
    <row r="648" spans="4:13" ht="20.100000000000001" customHeight="1" x14ac:dyDescent="0.2">
      <c r="D648" s="15">
        <v>0</v>
      </c>
      <c r="E648" s="15">
        <v>0</v>
      </c>
      <c r="F648" s="15">
        <v>0</v>
      </c>
      <c r="G648" s="15" t="s">
        <v>1125</v>
      </c>
      <c r="H648" s="15" t="s">
        <v>1125</v>
      </c>
      <c r="I648" s="74"/>
      <c r="J648" s="15" cm="1">
        <f t="array" ref="J648">Scope3_Equations.VEERG_15_14_1_1__1_EmbeddedEmissionsFromUpstreamFreight(E648,F648,I648)</f>
        <v>0</v>
      </c>
      <c r="K648" s="33"/>
      <c r="L648" s="13"/>
      <c r="M648" s="33"/>
    </row>
    <row r="649" spans="4:13" ht="20.100000000000001" customHeight="1" x14ac:dyDescent="0.2">
      <c r="D649" s="15">
        <v>0</v>
      </c>
      <c r="E649" s="15">
        <v>0</v>
      </c>
      <c r="F649" s="15">
        <v>0</v>
      </c>
      <c r="G649" s="15" t="s">
        <v>1125</v>
      </c>
      <c r="H649" s="15" t="s">
        <v>1125</v>
      </c>
      <c r="I649" s="74"/>
      <c r="J649" s="15" cm="1">
        <f t="array" ref="J649">Scope3_Equations.VEERG_15_14_1_1__1_EmbeddedEmissionsFromUpstreamFreight(E649,F649,I649)</f>
        <v>0</v>
      </c>
      <c r="K649" s="33"/>
      <c r="L649" s="13"/>
      <c r="M649" s="33"/>
    </row>
    <row r="650" spans="4:13" ht="20.100000000000001" customHeight="1" x14ac:dyDescent="0.2">
      <c r="D650" s="15">
        <v>0</v>
      </c>
      <c r="E650" s="15">
        <v>0</v>
      </c>
      <c r="F650" s="15">
        <v>0</v>
      </c>
      <c r="G650" s="15" t="s">
        <v>1125</v>
      </c>
      <c r="H650" s="15" t="s">
        <v>1125</v>
      </c>
      <c r="I650" s="74"/>
      <c r="J650" s="15" cm="1">
        <f t="array" ref="J650">Scope3_Equations.VEERG_15_14_1_1__1_EmbeddedEmissionsFromUpstreamFreight(E650,F650,I650)</f>
        <v>0</v>
      </c>
      <c r="K650" s="33"/>
      <c r="L650" s="13"/>
      <c r="M650" s="33"/>
    </row>
    <row r="651" spans="4:13" ht="20.100000000000001" customHeight="1" x14ac:dyDescent="0.2">
      <c r="D651" s="15">
        <v>0</v>
      </c>
      <c r="E651" s="15">
        <v>0</v>
      </c>
      <c r="F651" s="15">
        <v>0</v>
      </c>
      <c r="G651" s="15" t="s">
        <v>1125</v>
      </c>
      <c r="H651" s="15" t="s">
        <v>1125</v>
      </c>
      <c r="I651" s="74"/>
      <c r="J651" s="15" cm="1">
        <f t="array" ref="J651">Scope3_Equations.VEERG_15_14_1_1__1_EmbeddedEmissionsFromUpstreamFreight(E651,F651,I651)</f>
        <v>0</v>
      </c>
      <c r="K651" s="33"/>
      <c r="L651" s="13"/>
      <c r="M651" s="33"/>
    </row>
    <row r="653" spans="4:13" ht="20.100000000000001" customHeight="1" x14ac:dyDescent="0.2">
      <c r="D653" s="88" t="s">
        <v>1152</v>
      </c>
      <c r="E653" s="83" t="s">
        <v>1125</v>
      </c>
      <c r="F653" s="89" t="str">
        <f>$E$105</f>
        <v>t CO2e</v>
      </c>
    </row>
    <row r="654" spans="4:13" ht="20.100000000000001" customHeight="1" x14ac:dyDescent="0.2">
      <c r="D654" s="88" t="s">
        <v>1153</v>
      </c>
      <c r="E654" s="83">
        <f>SUM(J642:J651)</f>
        <v>676</v>
      </c>
      <c r="F654" s="89" t="str">
        <f>$E$105</f>
        <v>t CO2e</v>
      </c>
    </row>
    <row r="656" spans="4:13" ht="20.100000000000001" customHeight="1" x14ac:dyDescent="0.2">
      <c r="D656" s="85" t="s">
        <v>1037</v>
      </c>
      <c r="E656" s="86" t="s">
        <v>1125</v>
      </c>
      <c r="F656" s="95" t="str">
        <f>$E$105</f>
        <v>t CO2e</v>
      </c>
    </row>
    <row r="657" spans="4:6" ht="20.100000000000001" customHeight="1" x14ac:dyDescent="0.2">
      <c r="D657" s="85" t="s">
        <v>1040</v>
      </c>
      <c r="E657" s="86">
        <f>VEERG_15_14_1_1__1_EmbeddedEmissionsFromUpstreamFreight_Incoming_Result_Method2+VEERG_15_14_1_1__1_EmbeddedEmissionsFromUpstreamFreight_Outgoing_Result_Method2</f>
        <v>5842.2</v>
      </c>
      <c r="F657" s="95" t="str">
        <f>$E$105</f>
        <v>t CO2e</v>
      </c>
    </row>
  </sheetData>
  <dataValidations count="2">
    <dataValidation type="list" allowBlank="1" showInputMessage="1" showErrorMessage="1" sqref="J505:J514" xr:uid="{F1F900C1-3FE6-471C-B04B-E4B48D5C16BA}">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A74CFF65-70E3-4B3D-933A-5747067A9A7B}">
      <formula1>INDIRECT("Table_SourceData_DataScores_Scope3[Data source]")</formula1>
    </dataValidation>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39A6E-00D6-4A11-B30A-2ACB58618DB8}">
  <sheetPr>
    <tabColor theme="9" tint="-0.249977111117893"/>
  </sheetPr>
  <dimension ref="A1:U90"/>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 min="12" max="12" width="4.5703125" customWidth="1"/>
    <col min="13" max="13" width="4.5703125" style="1" customWidth="1"/>
    <col min="14" max="20" width="30.5703125" style="1" customWidth="1"/>
    <col min="21" max="21" width="4.5703125" style="1" customWidth="1"/>
  </cols>
  <sheetData>
    <row r="1" spans="1:21" ht="30" customHeight="1" x14ac:dyDescent="0.35">
      <c r="A1" s="10" t="e" vm="1">
        <v>#VALUE!</v>
      </c>
      <c r="C1" s="20" t="s">
        <v>1154</v>
      </c>
      <c r="D1" s="20"/>
      <c r="E1" s="20"/>
      <c r="F1" s="20"/>
      <c r="G1" s="20"/>
      <c r="H1" s="20"/>
      <c r="I1" s="20"/>
      <c r="J1" s="20"/>
      <c r="K1" s="20"/>
      <c r="M1" s="20"/>
      <c r="N1" s="20"/>
      <c r="O1" s="20"/>
      <c r="P1" s="20"/>
      <c r="Q1" s="20"/>
      <c r="R1" s="20"/>
      <c r="S1" s="20"/>
      <c r="T1" s="20"/>
      <c r="U1" s="20"/>
    </row>
    <row r="2" spans="1:21" ht="20.100000000000001" customHeight="1" x14ac:dyDescent="0.2">
      <c r="C2" s="3"/>
      <c r="D2" s="3"/>
      <c r="E2" s="3"/>
      <c r="F2" s="3"/>
      <c r="G2" s="3"/>
      <c r="H2" s="3"/>
      <c r="I2" s="3"/>
      <c r="J2" s="3"/>
      <c r="K2" s="3"/>
      <c r="M2" s="3"/>
      <c r="N2" s="3"/>
      <c r="O2" s="3"/>
      <c r="P2" s="3"/>
      <c r="Q2" s="3"/>
      <c r="R2" s="3"/>
      <c r="S2" s="3"/>
      <c r="T2" s="3"/>
      <c r="U2" s="3"/>
    </row>
    <row r="3" spans="1:21"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
      <c r="D6" s="17" t="str" cm="1">
        <f t="array" ref="D6">Fertiliser_Equations_OrganicN2O.VEERG_5_2_1_1__1_OrganicFertiliserApplicationN2OEmissions_Source()</f>
        <v>VEERG 2026: 5.2.1.1, Equation (1)</v>
      </c>
      <c r="N6" s="17" t="str" cm="1">
        <f t="array" ref="N6">Fertiliser_Equations_OrganicN2O.VEERG_5_2_1_1__1_OrganicFertiliserApplicationN2OEmissions_Source()</f>
        <v>VEERG 2026: 5.2.1.1, Equation (1)</v>
      </c>
    </row>
    <row r="7" spans="1:21" ht="20.100000000000001" customHeight="1" x14ac:dyDescent="0.2">
      <c r="D7" s="112" t="s">
        <v>321</v>
      </c>
      <c r="E7" s="112" t="str">
        <f ca="1">Common_InputFunctions.Utility_DisplayFunctionName(VEERG_5_2_1_1__1_OrganicFertiliserApplicationN2OEmissions_Result_Method1)</f>
        <v>=Fertiliser_Equations_OrganicN2O.VEERG_5_2_1_1__1_OrganicFertiliserApplicationN2OEmissions</v>
      </c>
      <c r="N7" s="112" t="s">
        <v>321</v>
      </c>
      <c r="O7" s="112"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Fertiliser_Equations_OrganicN2O.VEERG_5_2_1_1__1_OrganicFertiliserApplicationN2OEmissions_Variable()</f>
        <v>E_N2O</v>
      </c>
      <c r="N10" s="75" t="s">
        <v>322</v>
      </c>
      <c r="O10" s="1" t="str" cm="1">
        <f t="array" ref="O10">Fertiliser_Equations_OrganicN2O.VEERG_5_2_1_1__1_OrganicFertiliserApplicationN2OEmissions_Variable()</f>
        <v>E_N2O</v>
      </c>
    </row>
    <row r="11" spans="1:21" ht="20.100000000000001" customHeight="1" x14ac:dyDescent="0.2">
      <c r="A11" s="5" t="str">
        <f>HYPERLINK("#'Input - Feedlot'!A1", "Feedlot")</f>
        <v>Feedlot</v>
      </c>
      <c r="D11" s="75" t="s">
        <v>118</v>
      </c>
      <c r="E11" s="9" t="str" cm="1">
        <f t="array" ref="E11">Fertiliser_Equations_OrganicN2O.VEERG_5_2_1_1__1_OrganicFertiliserApplicationN2OEmissions_Unit()</f>
        <v>t N2O</v>
      </c>
      <c r="N11" s="75" t="s">
        <v>118</v>
      </c>
      <c r="O11" s="9" t="str" cm="1">
        <f t="array" ref="O11">Fertiliser_Equations_OrganicN2O.VEERG_5_2_1_1__1_OrganicFertiliserApplicationN2OEmissions_Unit()</f>
        <v>t N2O</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3" t="str" cm="1">
        <f t="array" ref="D13:E17">_xlfn.CHOOSECOLS(Fertiliser_Equations_OrganicN2O.VEERG_5_2_1_1__1_OrganicFertiliserApplicationN2OEmissions_Arguments(), 1, 2)</f>
        <v>MNSoil_jf</v>
      </c>
      <c r="E13" s="121" t="str">
        <v>mass of nitrogen in organic fertiliser type f applied to production system j</v>
      </c>
      <c r="F13" s="132"/>
      <c r="G13" s="122"/>
      <c r="H13" s="113" t="str" cm="1">
        <f t="array" ref="H13:I17">_xlfn.CHOOSECOLS(Fertiliser_Equations_OrganicN2O.VEERG_5_2_1_1__1_OrganicFertiliserApplicationN2OEmissions_Arguments(), 3,4)</f>
        <v>kg N</v>
      </c>
      <c r="I13" s="115" t="str">
        <v>Calculated from 5.2.1.1 (2)</v>
      </c>
      <c r="J13" s="113">
        <f>X_Cell_ManureSentOffsite_MassNitrogenManure_Method1</f>
        <v>1000</v>
      </c>
      <c r="N13" s="113" t="str" cm="1">
        <f t="array" ref="N13:O17">_xlfn.CHOOSECOLS(Fertiliser_Equations_OrganicN2O.VEERG_5_2_1_1__1_OrganicFertiliserApplicationN2OEmissions_Arguments(), 1, 2)</f>
        <v>MNSoil_jf</v>
      </c>
      <c r="O13" s="121" t="str">
        <v>mass of nitrogen in organic fertiliser type f applied to production system j</v>
      </c>
      <c r="P13" s="132"/>
      <c r="Q13" s="122"/>
      <c r="R13" s="113" t="str" cm="1">
        <f t="array" ref="R13:S17">_xlfn.CHOOSECOLS(Fertiliser_Equations_OrganicN2O.VEERG_5_2_1_1__1_OrganicFertiliserApplicationN2OEmissions_Arguments(), 3,4)</f>
        <v>kg N</v>
      </c>
      <c r="S13" s="115" t="str">
        <v>Calculated from 5.2.1.1 (2)</v>
      </c>
      <c r="T13" s="113">
        <f>X_Cell_ManureSentOffsite_MassNitrogenManure_Method2</f>
        <v>2000</v>
      </c>
    </row>
    <row r="14" spans="1:21" ht="20.100000000000001" customHeight="1" x14ac:dyDescent="0.2">
      <c r="A14" s="5" t="str">
        <f>HYPERLINK("#'Input - Fuel'!A1", "Fuel")</f>
        <v>Fuel</v>
      </c>
      <c r="D14" s="113" t="str">
        <v>EF_N2Oi</v>
      </c>
      <c r="E14" s="121" t="str">
        <v>emission factor for direct nitrous oxide emissions from organic fertiliser applied to soils and aquatic systems in climate zone i</v>
      </c>
      <c r="F14" s="132"/>
      <c r="G14" s="122"/>
      <c r="H14" s="113" t="str">
        <v>kg N2O-N/kg N</v>
      </c>
      <c r="I14" s="115" t="str">
        <v>Lookup</v>
      </c>
      <c r="J14" s="113">
        <f>Common_InputFunctions.Utility_LookupValueInTableNumber(J17, Table_SourceData_Common_EFOrganicFertCropResidues[Climate Zone],Table_SourceData_Common_EFOrganicFertCropResidues[EFNi &amp; EFN2Oi])</f>
        <v>5.0000000000000001E-3</v>
      </c>
      <c r="N14" s="113" t="str">
        <v>EF_N2Oi</v>
      </c>
      <c r="O14" s="121" t="str">
        <v>emission factor for direct nitrous oxide emissions from organic fertiliser applied to soils and aquatic systems in climate zone i</v>
      </c>
      <c r="P14" s="132"/>
      <c r="Q14" s="122"/>
      <c r="R14" s="113" t="str">
        <v>kg N2O-N/kg N</v>
      </c>
      <c r="S14" s="115" t="str">
        <v>Lookup</v>
      </c>
      <c r="T14" s="113"/>
    </row>
    <row r="15" spans="1:21" ht="20.100000000000001" customHeight="1" x14ac:dyDescent="0.2">
      <c r="A15" s="5" t="str">
        <f>HYPERLINK("#'Input - Electricity'!A1", "Electricity")</f>
        <v>Electricity</v>
      </c>
      <c r="D15" s="113" t="str">
        <v>C_N2O</v>
      </c>
      <c r="E15" s="121" t="str">
        <v>factor to convert elemental mass of nitrous oxide to molecular mass</v>
      </c>
      <c r="F15" s="132"/>
      <c r="G15" s="122"/>
      <c r="H15" s="113" t="str">
        <v/>
      </c>
      <c r="I15" s="115" t="str">
        <v>Constant</v>
      </c>
      <c r="J15" s="113">
        <f>Common_InputFunctions.Utility_LookupValueInTableNumber("N2O",Table_GasToMolecularConversionFactor[Gas],Table_GasToMolecularConversionFactor[Conversion factor combined])</f>
        <v>1.5714285714285714</v>
      </c>
      <c r="N15" s="113" t="str">
        <v>C_N2O</v>
      </c>
      <c r="O15" s="121" t="str">
        <v>factor to convert elemental mass of nitrous oxide to molecular mass</v>
      </c>
      <c r="P15" s="132"/>
      <c r="Q15" s="122"/>
      <c r="R15" s="113" t="str">
        <v/>
      </c>
      <c r="S15" s="115" t="str">
        <v>Constant</v>
      </c>
      <c r="T15" s="113"/>
    </row>
    <row r="16" spans="1:21" ht="20.100000000000001" customHeight="1" x14ac:dyDescent="0.2">
      <c r="A16" s="5" t="str">
        <f>HYPERLINK("#'Input - Common farm inputs'!A1", "Common farm inputs")</f>
        <v>Common farm inputs</v>
      </c>
      <c r="D16" s="113" t="str">
        <v>j</v>
      </c>
      <c r="E16" s="121" t="str">
        <v>Production system</v>
      </c>
      <c r="F16" s="132"/>
      <c r="G16" s="122"/>
      <c r="H16" s="113" t="str">
        <v/>
      </c>
      <c r="I16" s="247" t="str">
        <v>Input</v>
      </c>
      <c r="J16" s="113" t="str">
        <f>X_Cell_ManureSentOffsite_ManureProductionSystem</f>
        <v>Crop</v>
      </c>
      <c r="N16" s="113" t="str">
        <v>j</v>
      </c>
      <c r="O16" s="121" t="str">
        <v>Production system</v>
      </c>
      <c r="P16" s="132"/>
      <c r="Q16" s="122"/>
      <c r="R16" s="113" t="str">
        <v/>
      </c>
      <c r="S16" s="247" t="str">
        <v>Input</v>
      </c>
      <c r="T16" s="113"/>
    </row>
    <row r="17" spans="1:20" ht="20.100000000000001" customHeight="1" x14ac:dyDescent="0.2">
      <c r="A17" s="5" t="str">
        <f>HYPERLINK("#'Input - Livestock farm Inputs'!A1", "Livestock farm Inputs")</f>
        <v>Livestock farm Inputs</v>
      </c>
      <c r="D17" s="113" t="str">
        <v>i</v>
      </c>
      <c r="E17" s="121" t="str">
        <v>Wet or dry climate zone</v>
      </c>
      <c r="F17" s="132"/>
      <c r="G17" s="122"/>
      <c r="H17" s="113" t="str">
        <v/>
      </c>
      <c r="I17" s="247" t="str">
        <v>Input</v>
      </c>
      <c r="J17" s="113" t="str">
        <f>X_Cell_Site_WetOrDryClimateZone</f>
        <v>Dry climate zone</v>
      </c>
      <c r="N17" s="113" t="str">
        <v>i</v>
      </c>
      <c r="O17" s="121" t="str">
        <v>Wet or dry climate zone</v>
      </c>
      <c r="P17" s="132"/>
      <c r="Q17" s="122"/>
      <c r="R17" s="113" t="str">
        <v/>
      </c>
      <c r="S17" s="247" t="str">
        <v>Input</v>
      </c>
      <c r="T17" s="113"/>
    </row>
    <row r="18" spans="1:20" ht="20.100000000000001" customHeight="1" x14ac:dyDescent="0.2">
      <c r="A18" s="5" t="str">
        <f>HYPERLINK("#'Input - Freight'!A1", "Freight")</f>
        <v>Freight</v>
      </c>
    </row>
    <row r="19" spans="1:20" ht="20.100000000000001" customHeight="1" x14ac:dyDescent="0.2">
      <c r="A19" s="5" t="str">
        <f>HYPERLINK("#'Input - Solid waste'!A1", "Solid waste")</f>
        <v>Solid waste</v>
      </c>
      <c r="D19" s="85" t="s">
        <v>772</v>
      </c>
      <c r="E19" s="86" cm="1">
        <f t="array" ref="E19">Fertiliser_Equations_OrganicN2O.VEERG_5_2_1_1__1_OrganicFertiliserApplicationN2OEmissions(J13,J14,J15)</f>
        <v>7.8571428571428577E-3</v>
      </c>
      <c r="F19" s="95" t="str">
        <f>$E$11</f>
        <v>t N2O</v>
      </c>
      <c r="N19" s="85" t="s">
        <v>772</v>
      </c>
      <c r="O19" s="86" cm="1">
        <f t="array" ref="O19">Fertiliser_Equations_OrganicN2O.VEERG_5_2_1_1__1_OrganicFertiliserApplicationN2OEmissions(T13,J14,J15)</f>
        <v>1.5714285714285715E-2</v>
      </c>
      <c r="P19" s="95" t="str">
        <f>$E$11</f>
        <v>t N2O</v>
      </c>
    </row>
    <row r="20" spans="1:20" ht="20.100000000000001" customHeight="1" x14ac:dyDescent="0.2">
      <c r="A20" s="5" t="str">
        <f>HYPERLINK("#'Input - Manure sent off-site'!A1", "Manure sent off-site")</f>
        <v>Manure sent off-site</v>
      </c>
    </row>
    <row r="21" spans="1:20" ht="20.100000000000001" customHeight="1" x14ac:dyDescent="0.2">
      <c r="A21" s="5" t="str">
        <f>HYPERLINK("#'Input - Data quality'!A1", "Data quality")</f>
        <v>Data quality</v>
      </c>
    </row>
    <row r="22" spans="1:20" ht="20.100000000000001" customHeight="1" x14ac:dyDescent="0.2">
      <c r="A22" s="5" t="str">
        <f>HYPERLINK("#'Input - Fert Prod System'!A1", "Fert Prod System")</f>
        <v>Fert Prod System</v>
      </c>
    </row>
    <row r="23" spans="1:20" ht="20.100000000000001" customHeight="1" x14ac:dyDescent="0.2">
      <c r="A23" s="5" t="str">
        <f>HYPERLINK("#'Input - Fertiliser'!A1", "Fertiliser")</f>
        <v>Fertiliser</v>
      </c>
    </row>
    <row r="24" spans="1:20" ht="20.100000000000001" customHeight="1" x14ac:dyDescent="0.2">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
      <c r="D25" s="17" t="str" cm="1">
        <f t="array" ref="D25">Fertiliser_Equations_AtmosphericDeposition.VEERG_5_4_1_3__2_MassOfNitrogenVolatilisedFromOrganicFertiliser_Source()</f>
        <v>VEERG 2026: 5.4.1.3, Equation (2)</v>
      </c>
      <c r="N25" s="17" t="str" cm="1">
        <f t="array" ref="N25">Fertiliser_Equations_AtmosphericDeposition.VEERG_5_4_1_3__2_MassOfNitrogenVolatilisedFromOrganicFertiliser_Source()</f>
        <v>VEERG 2026: 5.4.1.3, Equation (2)</v>
      </c>
    </row>
    <row r="26" spans="1:20" ht="20.100000000000001" customHeight="1" x14ac:dyDescent="0.2">
      <c r="A26" s="6" t="s">
        <v>2</v>
      </c>
      <c r="D26" s="112" t="s">
        <v>321</v>
      </c>
      <c r="E26" s="112" t="str" cm="1">
        <f t="array" aca="1" ref="E26" ca="1">Common_InputFunctions.Utility_DisplayFunctionName(E35)</f>
        <v>=Fertiliser_Equations_AtmosphericDeposition.VEERG_5_4_1_3__2_MassOfNitrogenVolatilisedFromOrganicFertiliser</v>
      </c>
      <c r="N26" s="112" t="s">
        <v>321</v>
      </c>
      <c r="O26" s="112" t="str" cm="1">
        <f t="array" aca="1" ref="O26" ca="1">Common_InputFunctions.Utility_DisplayFunctionName(O35)</f>
        <v>=Fertiliser_Equations_AtmosphericDeposition.VEERG_5_4_1_3__2_MassOfNitrogenVolatilisedFromOrganicFertiliser</v>
      </c>
    </row>
    <row r="27" spans="1:20" ht="20.100000000000001" customHeight="1" x14ac:dyDescent="0.2">
      <c r="A27" s="5" t="str">
        <f>HYPERLINK("#'3.1.1.1-2 Enteric Methane'!A1", "3.1.1.1-2 Enteric Methane")</f>
        <v>3.1.1.1-2 Enteric Methane</v>
      </c>
    </row>
    <row r="28" spans="1:20" ht="20.100000000000001" customHeight="1" x14ac:dyDescent="0.2">
      <c r="A28" s="5" t="str">
        <f>HYPERLINK("#'4.1.1.1-2 Methane'!A1", "4.1.1.1-2 Manure Methane")</f>
        <v>4.1.1.1-2 Manure Methane</v>
      </c>
    </row>
    <row r="29" spans="1:20" ht="20.100000000000001" customHeight="1" x14ac:dyDescent="0.2">
      <c r="A29" s="5" t="str">
        <f>HYPERLINK("#'4.1.1.3-4 Direct N20'!A1", "4.1.1.3-4 Manure Direct N2O")</f>
        <v>4.1.1.3-4 Manure Direct N2O</v>
      </c>
      <c r="D29" s="75" t="s">
        <v>322</v>
      </c>
      <c r="E29" s="1" t="str" cm="1">
        <f t="array" ref="E29">Fertiliser_Equations_AtmosphericDeposition.VEERG_5_4_1_3__2_MassOfNitrogenVolatilisedFromOrganicFertiliser_Variable()</f>
        <v>M_volorganicjf</v>
      </c>
      <c r="N29" s="75" t="s">
        <v>322</v>
      </c>
      <c r="O29" s="1" t="str" cm="1">
        <f t="array" ref="O29">Fertiliser_Equations_AtmosphericDeposition.VEERG_5_4_1_3__2_MassOfNitrogenVolatilisedFromOrganicFertiliser_Variable()</f>
        <v>M_volorganicjf</v>
      </c>
    </row>
    <row r="30" spans="1:20" ht="20.100000000000001" customHeight="1" x14ac:dyDescent="0.2">
      <c r="A30" s="5" t="str">
        <f>HYPERLINK("#'4.1.1.5-6 Atmos Deposition'!A1", "4.1.1.5-6 Manure Atmos Dep")</f>
        <v>4.1.1.5-6 Manure Atmos Dep</v>
      </c>
      <c r="D30" s="75" t="s">
        <v>118</v>
      </c>
      <c r="E30" s="9" t="str" cm="1">
        <f t="array" ref="E30">Fertiliser_Equations_AtmosphericDeposition.VEERG_5_4_1_3__2_MassOfNitrogenVolatilisedFromOrganicFertiliser_Unit()</f>
        <v>kg N</v>
      </c>
      <c r="N30" s="75" t="s">
        <v>118</v>
      </c>
      <c r="O30" s="9" t="str" cm="1">
        <f t="array" ref="O30">Fertiliser_Equations_AtmosphericDeposition.VEERG_5_4_1_3__2_MassOfNitrogenVolatilisedFromOrganicFertiliser_Unit()</f>
        <v>kg N</v>
      </c>
    </row>
    <row r="31" spans="1:20" ht="20.100000000000001" customHeight="1" x14ac:dyDescent="0.2">
      <c r="A31" s="5" t="str">
        <f>HYPERLINK("#'4.1.1.9 Manure applied to soils'!A1", "4.1.1.9 Manure applied to soils")</f>
        <v>4.1.1.9 Manure applied to soils</v>
      </c>
    </row>
    <row r="32" spans="1:20" ht="20.100000000000001" customHeight="1" x14ac:dyDescent="0.2">
      <c r="A32" s="5" t="str">
        <f>HYPERLINK("#'8.1.1.1-2 Transport fuel'!A1", "8.1.1.1-2 Transport fuel")</f>
        <v>8.1.1.1-2 Transport fuel</v>
      </c>
      <c r="D32" s="113" t="str" cm="1">
        <f t="array" ref="D32:E33">_xlfn.CHOOSECOLS(Fertiliser_Equations_AtmosphericDeposition.VEERG_5_4_1_3__2_MassOfNitrogenVolatilisedFromOrganicFertiliser_Arguments(), 1, 2)</f>
        <v>MNSoil_jf</v>
      </c>
      <c r="E32" s="113" t="str">
        <v>mass of nitrogen in organic fertiliser type f applied to production system j</v>
      </c>
      <c r="F32" s="113"/>
      <c r="G32" s="113" t="str" cm="1">
        <f t="array" ref="G32:H33">_xlfn.CHOOSECOLS(Fertiliser_Equations_AtmosphericDeposition.VEERG_5_4_1_3__2_MassOfNitrogenVolatilisedFromOrganicFertiliser_Arguments(), 3,4)</f>
        <v>kg N</v>
      </c>
      <c r="H32" s="115" t="str">
        <v>Calculated from 5.2.1.1 (2)</v>
      </c>
      <c r="I32" s="113">
        <f>X_Cell_ManureSentOffsite_MassNitrogenManure_Method1</f>
        <v>1000</v>
      </c>
      <c r="N32" s="113" t="str" cm="1">
        <f t="array" ref="N32:O33">_xlfn.CHOOSECOLS(Fertiliser_Equations_AtmosphericDeposition.VEERG_5_4_1_3__2_MassOfNitrogenVolatilisedFromOrganicFertiliser_Arguments(), 1, 2)</f>
        <v>MNSoil_jf</v>
      </c>
      <c r="O32" s="113" t="str">
        <v>mass of nitrogen in organic fertiliser type f applied to production system j</v>
      </c>
      <c r="P32" s="113"/>
      <c r="Q32" s="113" t="str" cm="1">
        <f t="array" ref="Q32:R33">_xlfn.CHOOSECOLS(Fertiliser_Equations_AtmosphericDeposition.VEERG_5_4_1_3__2_MassOfNitrogenVolatilisedFromOrganicFertiliser_Arguments(), 3,4)</f>
        <v>kg N</v>
      </c>
      <c r="R32" s="115" t="str">
        <v>Calculated from 5.2.1.1 (2)</v>
      </c>
      <c r="S32" s="113">
        <f>X_Cell_ManureSentOffsite_MassNitrogenManure_Method2</f>
        <v>2000</v>
      </c>
    </row>
    <row r="33" spans="1:19" ht="20.100000000000001" customHeight="1" x14ac:dyDescent="0.2">
      <c r="A33" s="5" t="str">
        <f>HYPERLINK("#'8.2.1.1-2 Stationary fuel'!A1", "8.2.1.1-2 Stationary fuel")</f>
        <v>8.2.1.1-2 Stationary fuel</v>
      </c>
      <c r="D33" s="113" t="str">
        <v>FracGASM_soil</v>
      </c>
      <c r="E33" s="113" t="str">
        <v>fraction of organic fertiliser N that volatilises</v>
      </c>
      <c r="F33" s="113"/>
      <c r="G33" s="113" t="str">
        <v>(kg NH3-N + NOx-N)/kg N</v>
      </c>
      <c r="H33" s="115" t="str">
        <v>Constant</v>
      </c>
      <c r="I33" s="113">
        <f>Fertiliser_FracGASMSoil_Data</f>
        <v>0.21</v>
      </c>
      <c r="N33" s="113" t="str">
        <v>FracGASM_soil</v>
      </c>
      <c r="O33" s="113" t="str">
        <v>fraction of organic fertiliser N that volatilises</v>
      </c>
      <c r="P33" s="113"/>
      <c r="Q33" s="113" t="str">
        <v>(kg NH3-N + NOx-N)/kg N</v>
      </c>
      <c r="R33" s="115" t="str">
        <v>Constant</v>
      </c>
      <c r="S33" s="113"/>
    </row>
    <row r="34" spans="1:19" ht="20.100000000000001" customHeight="1" x14ac:dyDescent="0.2">
      <c r="A34" s="5" t="str">
        <f>HYPERLINK("#'10.1.1-2 Solid waste treatment'!A1", "10.1.1.1-2 Solid waste")</f>
        <v>10.1.1.1-2 Solid waste</v>
      </c>
    </row>
    <row r="35" spans="1:19" ht="20.100000000000001" customHeight="1" x14ac:dyDescent="0.2">
      <c r="A35" s="5" t="str">
        <f>HYPERLINK("#'14.1.1-2 Purchased electricity'!A1", "14.1.1-2 Purchased electricity")</f>
        <v>14.1.1-2 Purchased electricity</v>
      </c>
      <c r="D35" s="88" t="s">
        <v>1155</v>
      </c>
      <c r="E35" s="83" cm="1">
        <f t="array" ref="E35">Fertiliser_Equations_AtmosphericDeposition.VEERG_5_4_1_3__2_MassOfNitrogenVolatilisedFromOrganicFertiliser(I32,I33)</f>
        <v>210</v>
      </c>
      <c r="F35" s="89" t="str">
        <f>E30</f>
        <v>kg N</v>
      </c>
      <c r="N35" s="88" t="s">
        <v>1155</v>
      </c>
      <c r="O35" s="83" cm="1">
        <f t="array" ref="O35">Fertiliser_Equations_AtmosphericDeposition.VEERG_5_4_1_3__2_MassOfNitrogenVolatilisedFromOrganicFertiliser(S32,I33)</f>
        <v>420</v>
      </c>
      <c r="P35" s="89" t="str">
        <f>O30</f>
        <v>kg N</v>
      </c>
    </row>
    <row r="36" spans="1:19" ht="20.100000000000001" customHeight="1" x14ac:dyDescent="0.2">
      <c r="A36" s="5" t="str">
        <f>HYPERLINK("#'15 Scope 3'!A1", "15 Scope 3")</f>
        <v>15 Scope 3</v>
      </c>
    </row>
    <row r="37" spans="1:19" ht="20.100000000000001" customHeight="1" x14ac:dyDescent="0.2">
      <c r="A37" s="117" t="str">
        <f>HYPERLINK("#'Calcs - Manure sent off-site'!A1", "Calcs - Manure sent off-site")</f>
        <v>Calcs - Manure sent off-site</v>
      </c>
    </row>
    <row r="38" spans="1:19" ht="20.100000000000001" customHeight="1" x14ac:dyDescent="0.2">
      <c r="A38" s="5" t="str">
        <f>HYPERLINK("#'5.1.1.1-2 Inorganic fert N2O'!A1", "5.1.1.1-2 Inorganic fert N2O")</f>
        <v>5.1.1.1-2 Inorganic fert N2O</v>
      </c>
    </row>
    <row r="39" spans="1:19" ht="20.100000000000001" customHeight="1" x14ac:dyDescent="0.2">
      <c r="A39" s="5" t="str">
        <f>HYPERLINK("#'5.1.1.3-4 Inorganic fert CO2'!A1", "5.1.1.3-4 Inorganic fert CO2")</f>
        <v>5.1.1.3-4 Inorganic fert CO2</v>
      </c>
    </row>
    <row r="40" spans="1:19" ht="20.100000000000001" customHeight="1" x14ac:dyDescent="0.2">
      <c r="A40" s="5" t="str">
        <f>HYPERLINK("#'5.2.1.1-2 Organic Fert N2O'!A1", "5.2.1.1-2 Organic Fert N2O")</f>
        <v>5.2.1.1-2 Organic Fert N2O</v>
      </c>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
      <c r="A41" s="5" t="str">
        <f>HYPERLINK("#'5.3.1.1-2 Lime CO2'!A1", "5.3.1.1-2 Lime CO2")</f>
        <v>5.3.1.1-2 Lime CO2</v>
      </c>
      <c r="D41" s="17" t="str" cm="1">
        <f t="array" ref="D41">Fertiliser_Equations_AtmosphericDeposition.VEERG_5_4_1_3__1_OrganicFertiliserAtmosphericDepositionN2OEmissions_Source()</f>
        <v>VEERG 2026: 5.4.1.3, Equation (1)</v>
      </c>
      <c r="N41" s="17" t="str" cm="1">
        <f t="array" ref="N41">Fertiliser_Equations_AtmosphericDeposition.VEERG_5_4_1_3__1_OrganicFertiliserAtmosphericDepositionN2OEmissions_Source()</f>
        <v>VEERG 2026: 5.4.1.3, Equation (1)</v>
      </c>
    </row>
    <row r="42" spans="1:19" ht="20.100000000000001" customHeight="1" x14ac:dyDescent="0.2">
      <c r="A42" s="5" t="str">
        <f>HYPERLINK("#'5.4.1.1-4 Atmos deposition'!A1", "5.4.1.1-4 Atmos deposition")</f>
        <v>5.4.1.1-4 Atmos deposition</v>
      </c>
      <c r="D42" s="112" t="s">
        <v>321</v>
      </c>
      <c r="E42" s="112" t="str">
        <f ca="1">Common_InputFunctions.Utility_DisplayFunctionName(VEERG_5_4_1_3__1_OrganicFertiliserAtmosphericDepositionN2OEmissions_Result_Method1)</f>
        <v>=SUM</v>
      </c>
      <c r="N42" s="112" t="s">
        <v>321</v>
      </c>
      <c r="O42" s="112"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
      <c r="A43" s="5" t="str">
        <f>HYPERLINK("#'5.5.1.1-2 Leaching and runoff'!A1", "5.5.1.1-2 Leaching and runoff")</f>
        <v>5.5.1.1-2 Leaching and runoff</v>
      </c>
    </row>
    <row r="45" spans="1:19" ht="20.100000000000001" customHeight="1" x14ac:dyDescent="0.2">
      <c r="D45" s="75" t="s">
        <v>322</v>
      </c>
      <c r="E45" s="1" t="str" cm="1">
        <f t="array" ref="E45">Fertiliser_Equations_AtmosphericDeposition.VEERG_5_4_1_3__1_OrganicFertiliserAtmosphericDepositionN2OEmissions_Variable()</f>
        <v>E_adorganic</v>
      </c>
      <c r="N45" s="75" t="s">
        <v>322</v>
      </c>
      <c r="O45" s="1" t="str" cm="1">
        <f t="array" ref="O45">Fertiliser_Equations_AtmosphericDeposition.VEERG_5_4_1_3__1_OrganicFertiliserAtmosphericDepositionN2OEmissions_Variable()</f>
        <v>E_adorganic</v>
      </c>
    </row>
    <row r="46" spans="1:19" ht="20.100000000000001" customHeight="1" x14ac:dyDescent="0.2">
      <c r="A46" s="80" t="s">
        <v>1</v>
      </c>
      <c r="D46" s="75" t="s">
        <v>118</v>
      </c>
      <c r="E46" s="9" t="str" cm="1">
        <f t="array" ref="E46">Fertiliser_Equations_AtmosphericDeposition.VEERG_5_4_1_3__1_OrganicFertiliserAtmosphericDepositionN2OEmissions_Unit()</f>
        <v>t N2O</v>
      </c>
      <c r="N46" s="75" t="s">
        <v>118</v>
      </c>
      <c r="O46" s="9" t="str" cm="1">
        <f t="array" ref="O46">Fertiliser_Equations_AtmosphericDeposition.VEERG_5_4_1_3__1_OrganicFertiliserAtmosphericDepositionN2OEmissions_Unit()</f>
        <v>t N2O</v>
      </c>
    </row>
    <row r="47" spans="1:19" ht="20.100000000000001" customHeight="1" x14ac:dyDescent="0.2">
      <c r="A47" s="5" t="str">
        <f>HYPERLINK("#'Constants - Feedlot'!A1", "Constants - Feedlot")</f>
        <v>Constants - Feedlot</v>
      </c>
    </row>
    <row r="48" spans="1:19" ht="20.100000000000001" customHeight="1" x14ac:dyDescent="0.2">
      <c r="A48" s="5" t="str">
        <f>HYPERLINK("#'Constants - Common livestock'!A1", "Constants - Common Livestock")</f>
        <v>Constants - Common Livestock</v>
      </c>
      <c r="D48" s="113" t="str" cm="1">
        <f t="array" ref="D48:E53">_xlfn.CHOOSECOLS(Fertiliser_Equations_AtmosphericDeposition.VEERG_5_4_1_3__1_OrganicFertiliserAtmosphericDepositionN2OEmissions_Arguments(), 1, 2)</f>
        <v>M_volorganicjf</v>
      </c>
      <c r="E48" s="121" t="str">
        <v>mass of nitrogen volatilised from organic fertiliser applied to production system</v>
      </c>
      <c r="F48" s="122"/>
      <c r="G48" s="113" t="str" cm="1">
        <f t="array" ref="G48:H53">_xlfn.CHOOSECOLS(Fertiliser_Equations_AtmosphericDeposition.VEERG_5_4_1_3__1_OrganicFertiliserAtmosphericDepositionN2OEmissions_Arguments(), 3,4)</f>
        <v>kg N</v>
      </c>
      <c r="H48" s="115" t="str">
        <v>Calculated from 5.4.1.3 (2)</v>
      </c>
      <c r="I48" s="113">
        <f>E35</f>
        <v>210</v>
      </c>
      <c r="N48" s="113" t="str" cm="1">
        <f t="array" ref="N48:O53">_xlfn.CHOOSECOLS(Fertiliser_Equations_AtmosphericDeposition.VEERG_5_4_1_3__1_OrganicFertiliserAtmosphericDepositionN2OEmissions_Arguments(), 1, 2)</f>
        <v>M_volorganicjf</v>
      </c>
      <c r="O48" s="121" t="str">
        <v>mass of nitrogen volatilised from organic fertiliser applied to production system</v>
      </c>
      <c r="P48" s="122"/>
      <c r="Q48" s="113" t="str" cm="1">
        <f t="array" ref="Q48:R53">_xlfn.CHOOSECOLS(Fertiliser_Equations_AtmosphericDeposition.VEERG_5_4_1_3__1_OrganicFertiliserAtmosphericDepositionN2OEmissions_Arguments(), 3,4)</f>
        <v>kg N</v>
      </c>
      <c r="R48" s="115" t="str">
        <v>Calculated from 5.4.1.3 (2)</v>
      </c>
      <c r="S48" s="113">
        <f>O35</f>
        <v>420</v>
      </c>
    </row>
    <row r="49" spans="1:19" ht="20.100000000000001" customHeight="1" x14ac:dyDescent="0.2">
      <c r="A49" s="5" t="str">
        <f>HYPERLINK("#'Constants - Electricity'!A1", "Constants - Electricity")</f>
        <v>Constants - Electricity</v>
      </c>
      <c r="D49" s="113" t="str">
        <v>EF_N2Oj</v>
      </c>
      <c r="E49" s="121" t="str">
        <v>emission factor for atmospheric deposition in production system j</v>
      </c>
      <c r="F49" s="122"/>
      <c r="G49" s="113" t="str">
        <v>kg N2O-N/kg N</v>
      </c>
      <c r="H49" s="115" t="str">
        <v>Constant</v>
      </c>
      <c r="I49" s="113">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13" t="str">
        <v>EF_N2Oj</v>
      </c>
      <c r="O49" s="121" t="str">
        <v>emission factor for atmospheric deposition in production system j</v>
      </c>
      <c r="P49" s="122"/>
      <c r="Q49" s="113" t="str">
        <v>kg N2O-N/kg N</v>
      </c>
      <c r="R49" s="115" t="str">
        <v>Constant</v>
      </c>
      <c r="S49" s="113"/>
    </row>
    <row r="50" spans="1:19" ht="20.100000000000001" customHeight="1" x14ac:dyDescent="0.2">
      <c r="A50" s="5" t="str">
        <f>HYPERLINK("#'Constants - Fertiliser'!A1", "Constants - Fertiliser")</f>
        <v>Constants - Fertiliser</v>
      </c>
      <c r="D50" s="113" t="str">
        <v>C_N2O</v>
      </c>
      <c r="E50" s="121" t="str">
        <v>factor to convert elemental mass of nitrous oxide to molecular mass</v>
      </c>
      <c r="F50" s="122"/>
      <c r="G50" s="113" t="str">
        <v/>
      </c>
      <c r="H50" s="115" t="str">
        <v>Constant</v>
      </c>
      <c r="I50" s="124">
        <f>Common_InputFunctions.Utility_LookupValueInTableNumber("N2O",Table_GasToMolecularConversionFactor[Gas],Table_GasToMolecularConversionFactor[Conversion factor combined])</f>
        <v>1.5714285714285714</v>
      </c>
      <c r="N50" s="113" t="str">
        <v>C_N2O</v>
      </c>
      <c r="O50" s="121" t="str">
        <v>factor to convert elemental mass of nitrous oxide to molecular mass</v>
      </c>
      <c r="P50" s="122"/>
      <c r="Q50" s="113" t="str">
        <v/>
      </c>
      <c r="R50" s="115" t="str">
        <v>Constant</v>
      </c>
      <c r="S50" s="124"/>
    </row>
    <row r="51" spans="1:19" ht="20.100000000000001" customHeight="1" x14ac:dyDescent="0.2">
      <c r="A51" s="5" t="str">
        <f>HYPERLINK("#'Constants - Fuel'!A1", "Constants - Fuel")</f>
        <v>Constants - Fuel</v>
      </c>
      <c r="D51" s="113" t="str">
        <v>j</v>
      </c>
      <c r="E51" s="121" t="str">
        <v>Production system</v>
      </c>
      <c r="F51" s="122"/>
      <c r="G51" s="113" t="str">
        <v/>
      </c>
      <c r="H51" s="247" t="str">
        <v>Input</v>
      </c>
      <c r="I51" s="113" t="str">
        <f>IF(ISBLANK(X_Cell_ManureSentOffsite_ManureProductionSystem), "Pasture", X_Cell_ManureSentOffsite_ManureProductionSystem)</f>
        <v>Crop</v>
      </c>
      <c r="N51" s="113" t="str">
        <v>j</v>
      </c>
      <c r="O51" s="121" t="str">
        <v>Production system</v>
      </c>
      <c r="P51" s="122"/>
      <c r="Q51" s="113" t="str">
        <v/>
      </c>
      <c r="R51" s="247" t="str">
        <v>Input</v>
      </c>
      <c r="S51" s="113"/>
    </row>
    <row r="52" spans="1:19" ht="20.100000000000001" customHeight="1" x14ac:dyDescent="0.2">
      <c r="A52" s="5" t="str">
        <f>HYPERLINK("#'Constants - Scope 3'!A1", "Constants - Scope 3")</f>
        <v>Constants - Scope 3</v>
      </c>
      <c r="D52" s="113" t="str">
        <v>ir</v>
      </c>
      <c r="E52" s="121" t="str">
        <v>irrigation method</v>
      </c>
      <c r="F52" s="122"/>
      <c r="G52" s="113" t="str">
        <v/>
      </c>
      <c r="H52" s="247" t="str">
        <v>Input</v>
      </c>
      <c r="I52" s="113" t="str">
        <f>IF(ISBLANK(X_Cell_ManureSentOffsite_ManureIrrigationMethod), "Not irrigated", X_Cell_ManureSentOffsite_ManureIrrigationMethod)</f>
        <v>Sprinkler irrigation</v>
      </c>
      <c r="N52" s="113" t="str">
        <v>ir</v>
      </c>
      <c r="O52" s="121" t="str">
        <v>irrigation method</v>
      </c>
      <c r="P52" s="122"/>
      <c r="Q52" s="113" t="str">
        <v/>
      </c>
      <c r="R52" s="247" t="str">
        <v>Input</v>
      </c>
      <c r="S52" s="113"/>
    </row>
    <row r="53" spans="1:19" ht="20.100000000000001" customHeight="1" x14ac:dyDescent="0.2">
      <c r="A53" s="5" t="str">
        <f>HYPERLINK("#'Constants - Solid Waste'!A1", "Constants - Solid Waste")</f>
        <v>Constants - Solid Waste</v>
      </c>
      <c r="D53" s="113" t="str">
        <v>r</v>
      </c>
      <c r="E53" s="121" t="str">
        <v>rainfall region</v>
      </c>
      <c r="F53" s="122"/>
      <c r="G53" s="113" t="str">
        <v/>
      </c>
      <c r="H53" s="247" t="str">
        <v>Input</v>
      </c>
      <c r="I53" s="113" t="str">
        <f>IF(ISBLANK(X_Cell_Site_RainfallZone), "Low rainfall", X_Cell_Site_RainfallZone)</f>
        <v>High rainfall</v>
      </c>
      <c r="N53" s="113" t="str">
        <v>r</v>
      </c>
      <c r="O53" s="121" t="str">
        <v>rainfall region</v>
      </c>
      <c r="P53" s="122"/>
      <c r="Q53" s="113" t="str">
        <v/>
      </c>
      <c r="R53" s="247" t="str">
        <v>Input</v>
      </c>
      <c r="S53" s="113"/>
    </row>
    <row r="54" spans="1:19" ht="20.100000000000001" customHeight="1" x14ac:dyDescent="0.2">
      <c r="A54" s="5" t="str">
        <f>HYPERLINK("#'Constants - Common'!A1", "Constants - Common")</f>
        <v>Constants - Common</v>
      </c>
    </row>
    <row r="55" spans="1:19" ht="20.100000000000001" customHeight="1" x14ac:dyDescent="0.2">
      <c r="A55" s="5" t="str">
        <f>HYPERLINK("#'Acknowledgements'!A1", "Acknowledgements")</f>
        <v>Acknowledgements</v>
      </c>
      <c r="D55" s="85" t="s">
        <v>818</v>
      </c>
      <c r="E55" s="86" cm="1">
        <f t="array" ref="E55">Fertiliser_Equations_AtmosphericDeposition.VEERG_5_4_1_3__1_OrganicFertiliserAtmosphericDepositionN2OEmissions(I48,I49,I50)</f>
        <v>2.31E-3</v>
      </c>
      <c r="F55" s="95" t="str">
        <f>$E$46</f>
        <v>t N2O</v>
      </c>
      <c r="N55" s="85" t="s">
        <v>818</v>
      </c>
      <c r="O55" s="86" cm="1">
        <f t="array" ref="O55">Fertiliser_Equations_AtmosphericDeposition.VEERG_5_4_1_3__1_OrganicFertiliserAtmosphericDepositionN2OEmissions(S48,I49,I50)</f>
        <v>4.62E-3</v>
      </c>
      <c r="P55" s="95" t="str">
        <f>$E$46</f>
        <v>t N2O</v>
      </c>
    </row>
    <row r="59" spans="1:19" ht="20.100000000000001" customHeight="1" x14ac:dyDescent="0.2">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
      <c r="D60" s="17" t="str" cm="1">
        <f t="array" ref="D60">Fertiliser_Equations_LeachingAndRunoff.VEERG_5_5_1_1__3_MassOfNitrogenLeachedFromOrganicFertiliser_Source()</f>
        <v>VEERG 2026: 5.5, Equation (3)</v>
      </c>
      <c r="N60" s="17" t="str" cm="1">
        <f t="array" ref="N60">Fertiliser_Equations_LeachingAndRunoff.VEERG_5_5_1_1__3_MassOfNitrogenLeachedFromOrganicFertiliser_Source()</f>
        <v>VEERG 2026: 5.5, Equation (3)</v>
      </c>
    </row>
    <row r="61" spans="1:19" ht="20.100000000000001" customHeight="1" x14ac:dyDescent="0.2">
      <c r="D61" s="112" t="s">
        <v>321</v>
      </c>
      <c r="E61" s="112" t="str" cm="1">
        <f t="array" aca="1" ref="E61" ca="1">Common_InputFunctions.Utility_DisplayFunctionName(E74)</f>
        <v>=Fertiliser_Equations_LeachingAndRunoff.VEERG_5_5_1_1__3_MassOfNitrogenLeachedFromOrganicFertiliser</v>
      </c>
      <c r="N61" s="112" t="s">
        <v>321</v>
      </c>
      <c r="O61" s="112" t="str" cm="1">
        <f t="array" aca="1" ref="O61" ca="1">Common_InputFunctions.Utility_DisplayFunctionName(O74)</f>
        <v>=Fertiliser_Equations_LeachingAndRunoff.VEERG_5_5_1_1__3_MassOfNitrogenLeachedFromOrganicFertiliser</v>
      </c>
    </row>
    <row r="64" spans="1:19" ht="20.100000000000001" customHeight="1" x14ac:dyDescent="0.2">
      <c r="D64" s="75" t="s">
        <v>322</v>
      </c>
      <c r="E64" s="1" t="str" cm="1">
        <f t="array" ref="E64">Fertiliser_Equations_LeachingAndRunoff.VEERG_5_5_1_1__3_MassOfNitrogenLeachedFromOrganicFertiliser_Variable()</f>
        <v>M_leachorganicj</v>
      </c>
      <c r="N64" s="75" t="s">
        <v>322</v>
      </c>
      <c r="O64" s="1" t="str" cm="1">
        <f t="array" ref="O64">Fertiliser_Equations_LeachingAndRunoff.VEERG_5_5_1_1__3_MassOfNitrogenLeachedFromOrganicFertiliser_Variable()</f>
        <v>M_leachorganicj</v>
      </c>
    </row>
    <row r="65" spans="1:19" ht="20.100000000000001" customHeight="1" x14ac:dyDescent="0.2">
      <c r="D65" s="75" t="s">
        <v>118</v>
      </c>
      <c r="E65" s="9" t="str" cm="1">
        <f t="array" ref="E65">Fertiliser_Equations_LeachingAndRunoff.VEERG_5_5_1_1__3_MassOfNitrogenLeachedFromOrganicFertiliser_Unit()</f>
        <v>kg N</v>
      </c>
      <c r="N65" s="75" t="s">
        <v>118</v>
      </c>
      <c r="O65" s="9" t="str" cm="1">
        <f t="array" ref="O65">Fertiliser_Equations_LeachingAndRunoff.VEERG_5_5_1_1__3_MassOfNitrogenLeachedFromOrganicFertiliser_Unit()</f>
        <v>kg N</v>
      </c>
    </row>
    <row r="66" spans="1:19" ht="20.100000000000001" customHeight="1" x14ac:dyDescent="0.2">
      <c r="A66" s="79" t="str">
        <f>HYPERLINK("#A1", "▲ Back to top")</f>
        <v>▲ Back to top</v>
      </c>
    </row>
    <row r="67" spans="1:19" ht="20.100000000000001" customHeight="1" x14ac:dyDescent="0.2">
      <c r="D67" s="113" t="str" cm="1">
        <f t="array" ref="D67:E72">_xlfn.CHOOSECOLS(Fertiliser_Equations_LeachingAndRunoff.VEERG_5_5_1_1__3_MassOfNitrogenLeachedFromOrganicFertiliser_Arguments(), 1, 2)</f>
        <v>MNSoil_jf</v>
      </c>
      <c r="E67" s="121" t="str">
        <v>mass of nitrogen in organic fertiliser</v>
      </c>
      <c r="F67" s="122"/>
      <c r="G67" s="113" t="str" cm="1">
        <f t="array" ref="G67:H72">_xlfn.CHOOSECOLS(Fertiliser_Equations_LeachingAndRunoff.VEERG_5_5_1_1__3_MassOfNitrogenLeachedFromOrganicFertiliser_Arguments(), 3,4)</f>
        <v>kg N</v>
      </c>
      <c r="H67" s="115" t="str">
        <v>Calculated from 5.2.1.1 (2)</v>
      </c>
      <c r="I67" s="113">
        <f>X_Cell_ManureSentOffsite_MassNitrogenManure_Method1</f>
        <v>1000</v>
      </c>
      <c r="N67" s="113" t="str" cm="1">
        <f t="array" ref="N67:O72">_xlfn.CHOOSECOLS(Fertiliser_Equations_LeachingAndRunoff.VEERG_5_5_1_1__3_MassOfNitrogenLeachedFromOrganicFertiliser_Arguments(), 1, 2)</f>
        <v>MNSoil_jf</v>
      </c>
      <c r="O67" s="121" t="str">
        <v>mass of nitrogen in organic fertiliser</v>
      </c>
      <c r="P67" s="122"/>
      <c r="Q67" s="113" t="str" cm="1">
        <f t="array" ref="Q67:R72">_xlfn.CHOOSECOLS(Fertiliser_Equations_LeachingAndRunoff.VEERG_5_5_1_1__3_MassOfNitrogenLeachedFromOrganicFertiliser_Arguments(), 3,4)</f>
        <v>kg N</v>
      </c>
      <c r="R67" s="115" t="str">
        <v>Calculated from 5.2.1.1 (2)</v>
      </c>
      <c r="S67" s="113">
        <f>X_Cell_ManureSentOffsite_MassNitrogenManure_Method2</f>
        <v>2000</v>
      </c>
    </row>
    <row r="68" spans="1:19" ht="20.100000000000001" customHeight="1" x14ac:dyDescent="0.2">
      <c r="D68" s="113" t="str">
        <v>FracWETj</v>
      </c>
      <c r="E68" s="121" t="str">
        <v>fraction of N available for leaching and runoff</v>
      </c>
      <c r="F68" s="122"/>
      <c r="G68" s="113" t="str">
        <v>fraction</v>
      </c>
      <c r="H68" s="115" t="str">
        <v>Constant</v>
      </c>
      <c r="I68" s="113">
        <f>Common_InputFunctions.CommonCropping_GetFracWET(I70,I72,Table_SourceData_FracWET[Is in leaching zone],Table_SourceData_FracWET[FracWET],Table_SourceData_FracWETIrrigation[Irrigation type i],Table_SourceData_FracWETIrrigation[FracWET])</f>
        <v>1</v>
      </c>
      <c r="N68" s="113" t="str">
        <v>FracWETj</v>
      </c>
      <c r="O68" s="121" t="str">
        <v>fraction of N available for leaching and runoff</v>
      </c>
      <c r="P68" s="122"/>
      <c r="Q68" s="113" t="str">
        <v>fraction</v>
      </c>
      <c r="R68" s="115" t="str">
        <v>Constant</v>
      </c>
      <c r="S68" s="113"/>
    </row>
    <row r="69" spans="1:19" ht="20.100000000000001" customHeight="1" x14ac:dyDescent="0.2">
      <c r="D69" s="113" t="str">
        <v>FracLEACH</v>
      </c>
      <c r="E69" s="121" t="str">
        <v>fraction of N that is lost through leaching and runoff</v>
      </c>
      <c r="F69" s="122"/>
      <c r="G69" s="113" t="str">
        <v>fraction</v>
      </c>
      <c r="H69" s="115" t="str">
        <v>Constant</v>
      </c>
      <c r="I69" s="113">
        <f>Fertiliser_FracLEACH_Data</f>
        <v>0.24</v>
      </c>
      <c r="N69" s="113" t="str">
        <v>FracLEACH</v>
      </c>
      <c r="O69" s="121" t="str">
        <v>fraction of N that is lost through leaching and runoff</v>
      </c>
      <c r="P69" s="122"/>
      <c r="Q69" s="113" t="str">
        <v>fraction</v>
      </c>
      <c r="R69" s="115" t="str">
        <v>Constant</v>
      </c>
      <c r="S69" s="113"/>
    </row>
    <row r="70" spans="1:19" ht="20.100000000000001" customHeight="1" x14ac:dyDescent="0.2">
      <c r="D70" s="113" t="str">
        <v>z</v>
      </c>
      <c r="E70" s="121" t="str">
        <v>location in leaching zone</v>
      </c>
      <c r="F70" s="122"/>
      <c r="G70" s="113" t="str">
        <v/>
      </c>
      <c r="H70" s="247" t="str">
        <v>Input</v>
      </c>
      <c r="I70" s="113" t="str">
        <f>X_Cell_Site_LeachingZone</f>
        <v>NO - Not in leaching zone</v>
      </c>
      <c r="N70" s="113" t="str">
        <v>z</v>
      </c>
      <c r="O70" s="121" t="str">
        <v>location in leaching zone</v>
      </c>
      <c r="P70" s="122"/>
      <c r="Q70" s="113" t="str">
        <v/>
      </c>
      <c r="R70" s="247" t="str">
        <v>Input</v>
      </c>
      <c r="S70" s="113"/>
    </row>
    <row r="71" spans="1:19" ht="20.100000000000001" customHeight="1" x14ac:dyDescent="0.2">
      <c r="D71" s="113" t="str">
        <v>j</v>
      </c>
      <c r="E71" s="121" t="str">
        <v>production system</v>
      </c>
      <c r="F71" s="122"/>
      <c r="G71" s="113" t="str">
        <v/>
      </c>
      <c r="H71" s="247" t="str">
        <v>Input</v>
      </c>
      <c r="I71" s="113" t="str">
        <f>IF(ISBLANK(X_Cell_ManureSentOffsite_ManureProductionSystem), "Pasture", X_Cell_ManureSentOffsite_ManureProductionSystem)</f>
        <v>Crop</v>
      </c>
      <c r="N71" s="113" t="str">
        <v>j</v>
      </c>
      <c r="O71" s="121" t="str">
        <v>production system</v>
      </c>
      <c r="P71" s="122"/>
      <c r="Q71" s="113" t="str">
        <v/>
      </c>
      <c r="R71" s="247" t="str">
        <v>Input</v>
      </c>
      <c r="S71" s="113"/>
    </row>
    <row r="72" spans="1:19" ht="20.100000000000001" customHeight="1" x14ac:dyDescent="0.2">
      <c r="D72" s="113" t="str">
        <v>ir</v>
      </c>
      <c r="E72" s="121" t="str">
        <v>irrigation method</v>
      </c>
      <c r="F72" s="122"/>
      <c r="G72" s="113" t="str">
        <v/>
      </c>
      <c r="H72" s="247" t="str">
        <v>Input</v>
      </c>
      <c r="I72" s="113" t="str">
        <f>IF(ISBLANK(X_Cell_ManureSentOffsite_ManureIrrigationMethod), "Not irrigated", X_Cell_ManureSentOffsite_ManureIrrigationMethod)</f>
        <v>Sprinkler irrigation</v>
      </c>
      <c r="N72" s="113" t="str">
        <v>ir</v>
      </c>
      <c r="O72" s="121" t="str">
        <v>irrigation method</v>
      </c>
      <c r="P72" s="122"/>
      <c r="Q72" s="113" t="str">
        <v/>
      </c>
      <c r="R72" s="247" t="str">
        <v>Input</v>
      </c>
      <c r="S72" s="113"/>
    </row>
    <row r="74" spans="1:19" ht="20.100000000000001" customHeight="1" x14ac:dyDescent="0.2">
      <c r="D74" s="88" t="s">
        <v>1156</v>
      </c>
      <c r="E74" s="83" cm="1">
        <f t="array" ref="E74">Fertiliser_Equations_LeachingAndRunoff.VEERG_5_5_1_1__3_MassOfNitrogenLeachedFromOrganicFertiliser(I67,I68,I69)</f>
        <v>240</v>
      </c>
      <c r="F74" s="89" t="str">
        <f>$E$65</f>
        <v>kg N</v>
      </c>
      <c r="N74" s="88" t="s">
        <v>1156</v>
      </c>
      <c r="O74" s="83" cm="1">
        <f t="array" ref="O74">Fertiliser_Equations_LeachingAndRunoff.VEERG_5_5_1_1__3_MassOfNitrogenLeachedFromOrganicFertiliser(S67,I68,I69)</f>
        <v>480</v>
      </c>
      <c r="P74" s="89" t="str">
        <f>$E$65</f>
        <v>kg N</v>
      </c>
    </row>
    <row r="77" spans="1:19" ht="20.100000000000001" customHeight="1" x14ac:dyDescent="0.2">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
      <c r="D78" s="17" t="str" cm="1">
        <f t="array" ref="D78">Fertiliser_Equations_LeachingAndRunoff.VEERG_5_5_1_1__1_FertiliserLeachingAndRunoffN2OEmissions_Source()</f>
        <v>VEERG 2026: 5.5, Equation (1)</v>
      </c>
      <c r="N78" s="17" t="str" cm="1">
        <f t="array" ref="N78">Fertiliser_Equations_LeachingAndRunoff.VEERG_5_5_1_1__1_FertiliserLeachingAndRunoffN2OEmissions_Source()</f>
        <v>VEERG 2026: 5.5, Equation (1)</v>
      </c>
    </row>
    <row r="79" spans="1:19" ht="20.100000000000001" customHeight="1" x14ac:dyDescent="0.2">
      <c r="D79" s="112" t="s">
        <v>321</v>
      </c>
      <c r="E79" s="112" t="str">
        <f ca="1">Common_InputFunctions.Utility_DisplayFunctionName(VEERG_5_5_1_1__1_FertiliserLeachingAndRunoffN2OEmissions_Result_Method1)</f>
        <v>=Fertiliser_Equations_LeachingAndRunoff.VEERG_5_5_1_1__1_FertiliserLeachingAndRunoffN2OEmissions</v>
      </c>
      <c r="N79" s="112" t="s">
        <v>321</v>
      </c>
      <c r="O79" s="112" t="str">
        <f ca="1">Common_InputFunctions.Utility_DisplayFunctionName(VEERG_5_5_1_1__1_FertiliserLeachingAndRunoffN2OEmissions_Result_Method2)</f>
        <v>=Fertiliser_Equations_LeachingAndRunoff.VEERG_5_5_1_1__1_FertiliserLeachingAndRunoffN2OEmissions</v>
      </c>
    </row>
    <row r="82" spans="4:20" ht="20.100000000000001" customHeight="1" x14ac:dyDescent="0.2">
      <c r="D82" s="75" t="s">
        <v>322</v>
      </c>
      <c r="E82" s="1" t="str" cm="1">
        <f t="array" ref="E82">Fertiliser_Equations_LeachingAndRunoff.VEERG_5_5_1_1__1_FertiliserLeachingAndRunoffN2OEmissions_Variable()</f>
        <v>E_fertleach</v>
      </c>
      <c r="N82" s="75" t="s">
        <v>322</v>
      </c>
      <c r="O82" s="1" t="str" cm="1">
        <f t="array" ref="O82">Fertiliser_Equations_LeachingAndRunoff.VEERG_5_5_1_1__1_FertiliserLeachingAndRunoffN2OEmissions_Variable()</f>
        <v>E_fertleach</v>
      </c>
    </row>
    <row r="83" spans="4:20" ht="20.100000000000001" customHeight="1" x14ac:dyDescent="0.2">
      <c r="D83" s="75" t="s">
        <v>118</v>
      </c>
      <c r="E83" s="9" t="str" cm="1">
        <f t="array" ref="E83">Fertiliser_Equations_LeachingAndRunoff.VEERG_5_5_1_1__1_FertiliserLeachingAndRunoffN2OEmissions_Unit()</f>
        <v>t N2O</v>
      </c>
      <c r="N83" s="75" t="s">
        <v>118</v>
      </c>
      <c r="O83" s="9" t="str" cm="1">
        <f t="array" ref="O83">Fertiliser_Equations_LeachingAndRunoff.VEERG_5_5_1_1__1_FertiliserLeachingAndRunoffN2OEmissions_Unit()</f>
        <v>t N2O</v>
      </c>
    </row>
    <row r="85" spans="4:20" ht="20.100000000000001" customHeight="1" x14ac:dyDescent="0.2">
      <c r="D85" s="113" t="str" cm="1">
        <f t="array" ref="D85:E88">_xlfn.CHOOSECOLS(Fertiliser_Equations_LeachingAndRunoff.VEERG_5_5_1_1__1_FertiliserLeachingAndRunoffN2OEmissions_Arguments(), 1, 2)</f>
        <v>M_leachinorganicj</v>
      </c>
      <c r="E85" s="121" t="str">
        <v>mass of nitrogen lost through leaching and runoff from inorganic fertiliser application in production system j</v>
      </c>
      <c r="F85" s="132"/>
      <c r="G85" s="122"/>
      <c r="H85" s="113" t="str" cm="1">
        <f t="array" ref="H85:I88">_xlfn.CHOOSECOLS(Fertiliser_Equations_LeachingAndRunoff.VEERG_5_5_1_1__1_FertiliserLeachingAndRunoffN2OEmissions_Arguments(), 3,4)</f>
        <v>kg N</v>
      </c>
      <c r="I85" s="115" t="str">
        <v>Calculated from 5.5.1.1 (2)</v>
      </c>
      <c r="J85" s="113">
        <v>0</v>
      </c>
      <c r="N85" s="113" t="str" cm="1">
        <f t="array" ref="N85:O88">_xlfn.CHOOSECOLS(Fertiliser_Equations_LeachingAndRunoff.VEERG_5_5_1_1__1_FertiliserLeachingAndRunoffN2OEmissions_Arguments(), 1, 2)</f>
        <v>M_leachinorganicj</v>
      </c>
      <c r="O85" s="121" t="str">
        <v>mass of nitrogen lost through leaching and runoff from inorganic fertiliser application in production system j</v>
      </c>
      <c r="P85" s="132"/>
      <c r="Q85" s="122"/>
      <c r="R85" s="113" t="str" cm="1">
        <f t="array" ref="R85:S88">_xlfn.CHOOSECOLS(Fertiliser_Equations_LeachingAndRunoff.VEERG_5_5_1_1__1_FertiliserLeachingAndRunoffN2OEmissions_Arguments(), 3,4)</f>
        <v>kg N</v>
      </c>
      <c r="S85" s="115" t="str">
        <v>Calculated from 5.5.1.1 (2)</v>
      </c>
      <c r="T85" s="113"/>
    </row>
    <row r="86" spans="4:20" ht="20.100000000000001" customHeight="1" x14ac:dyDescent="0.2">
      <c r="D86" s="113" t="str">
        <v>M_leachorganicj</v>
      </c>
      <c r="E86" s="121" t="str">
        <v>mass of nitrogen lost through leaching and runoff from organic fertiliser application</v>
      </c>
      <c r="F86" s="132"/>
      <c r="G86" s="122"/>
      <c r="H86" s="113" t="str">
        <v>kg N</v>
      </c>
      <c r="I86" s="115" t="str">
        <v>Calculated from 5.5.1.1 (3)</v>
      </c>
      <c r="J86" s="113">
        <f>E74</f>
        <v>240</v>
      </c>
      <c r="N86" s="113" t="str">
        <v>M_leachorganicj</v>
      </c>
      <c r="O86" s="121" t="str">
        <v>mass of nitrogen lost through leaching and runoff from organic fertiliser application</v>
      </c>
      <c r="P86" s="132"/>
      <c r="Q86" s="122"/>
      <c r="R86" s="113" t="str">
        <v>kg N</v>
      </c>
      <c r="S86" s="115" t="str">
        <v>Calculated from 5.5.1.1 (3)</v>
      </c>
      <c r="T86" s="113">
        <f>O74</f>
        <v>480</v>
      </c>
    </row>
    <row r="87" spans="4:20" ht="20.100000000000001" customHeight="1" x14ac:dyDescent="0.2">
      <c r="D87" s="113" t="str">
        <v>EF_leach</v>
      </c>
      <c r="E87" s="121" t="str">
        <v>emission factor for nitrogen leaching and runoff</v>
      </c>
      <c r="F87" s="132"/>
      <c r="G87" s="122"/>
      <c r="H87" s="113" t="str">
        <v>kg N2O-N/kg N</v>
      </c>
      <c r="I87" s="115" t="str">
        <v>Constant</v>
      </c>
      <c r="J87" s="113">
        <f>Fertiliser_EFLeach_Data</f>
        <v>1.0999999999999999E-2</v>
      </c>
      <c r="N87" s="113" t="str">
        <v>EF_leach</v>
      </c>
      <c r="O87" s="121" t="str">
        <v>emission factor for nitrogen leaching and runoff</v>
      </c>
      <c r="P87" s="132"/>
      <c r="Q87" s="122"/>
      <c r="R87" s="113" t="str">
        <v>kg N2O-N/kg N</v>
      </c>
      <c r="S87" s="115" t="str">
        <v>Constant</v>
      </c>
      <c r="T87" s="113"/>
    </row>
    <row r="88" spans="4:20" ht="20.100000000000001" customHeight="1" x14ac:dyDescent="0.2">
      <c r="D88" s="113" t="str">
        <v>C_N2O</v>
      </c>
      <c r="E88" s="121" t="str">
        <v>factor to convert elemental mass of nitrous oxide to molecular mass</v>
      </c>
      <c r="F88" s="132"/>
      <c r="G88" s="122"/>
      <c r="H88" s="113" t="str">
        <v/>
      </c>
      <c r="I88" s="115" t="str">
        <v>Constant</v>
      </c>
      <c r="J88" s="124">
        <f>Common_InputFunctions.Utility_LookupValueInTableNumber("N2O",Table_GasToMolecularConversionFactor[Gas],Table_GasToMolecularConversionFactor[Conversion factor combined])</f>
        <v>1.5714285714285714</v>
      </c>
      <c r="N88" s="113" t="str">
        <v>C_N2O</v>
      </c>
      <c r="O88" s="121" t="str">
        <v>factor to convert elemental mass of nitrous oxide to molecular mass</v>
      </c>
      <c r="P88" s="132"/>
      <c r="Q88" s="122"/>
      <c r="R88" s="113" t="str">
        <v/>
      </c>
      <c r="S88" s="115" t="str">
        <v>Constant</v>
      </c>
      <c r="T88" s="124"/>
    </row>
    <row r="90" spans="4:20" ht="20.100000000000001" customHeight="1" x14ac:dyDescent="0.2">
      <c r="D90" s="85" t="s">
        <v>835</v>
      </c>
      <c r="E90" s="86" cm="1">
        <f t="array" ref="E90">Fertiliser_Equations_LeachingAndRunoff.VEERG_5_5_1_1__1_FertiliserLeachingAndRunoffN2OEmissions(J85,J86,J87,J88)</f>
        <v>4.1485714285714277E-3</v>
      </c>
      <c r="F90" s="95" t="str">
        <f>$E$83</f>
        <v>t N2O</v>
      </c>
      <c r="N90" s="85" t="s">
        <v>835</v>
      </c>
      <c r="O90" s="86" cm="1">
        <f t="array" ref="O90">Fertiliser_Equations_LeachingAndRunoff.VEERG_5_5_1_1__1_FertiliserLeachingAndRunoffN2OEmissions(J85,T86,J87,J88)</f>
        <v>8.2971428571428554E-3</v>
      </c>
      <c r="P90" s="95" t="str">
        <f>$E$83</f>
        <v>t N2O</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2BE2-C99B-46DC-BEE5-1D09532E0F0E}">
  <sheetPr>
    <tabColor theme="2" tint="-0.499984740745262"/>
  </sheetPr>
  <dimension ref="A1:V288"/>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20" customFormat="1" ht="30" customHeight="1" x14ac:dyDescent="0.35">
      <c r="A1" s="10" t="e" vm="1">
        <v>#VALUE!</v>
      </c>
      <c r="C1" s="20" t="s">
        <v>473</v>
      </c>
    </row>
    <row r="2" spans="1:21" s="3" customFormat="1" ht="20.100000000000001" customHeight="1" x14ac:dyDescent="0.2">
      <c r="A2"/>
    </row>
    <row r="3" spans="1:21"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row>
    <row r="4" spans="1:21" ht="20.100000000000001" customHeight="1" x14ac:dyDescent="0.2">
      <c r="A4" s="5" t="str">
        <f>HYPERLINK("#'Results - Activity period'!A1", "Results - Activity period")</f>
        <v>Results - Activity period</v>
      </c>
      <c r="M4" s="8"/>
    </row>
    <row r="5" spans="1:21" ht="20.100000000000001" customHeight="1" x14ac:dyDescent="0.2">
      <c r="A5" s="5" t="str">
        <f>HYPERLINK("#'Results - Product EI'!A1", "Results - Product Emissions Intensity")</f>
        <v>Results - Product Emissions Intensity</v>
      </c>
      <c r="D5" s="2" t="str" cm="1">
        <f t="array" ref="D5">SourceData_Feedlot.SourceData_Feedlot_VSL_Title()</f>
        <v>Feedlot - Fraction of volatile solids lost during storage in the primary system</v>
      </c>
      <c r="M5" s="1"/>
    </row>
    <row r="6" spans="1:21" ht="20.100000000000001" customHeight="1" x14ac:dyDescent="0.2">
      <c r="D6" s="17" t="str" cm="1">
        <f t="array" ref="D6">SourceData_Feedlot.SourceData_Feedlot_VSL_Source()</f>
        <v>VEERG 2026: 4.1.2.3 CONSTANTS</v>
      </c>
      <c r="M6" s="1"/>
    </row>
    <row r="7" spans="1:21" ht="20.100000000000001" customHeight="1" x14ac:dyDescent="0.2">
      <c r="D7" s="75" t="str" cm="1">
        <f t="array" ref="D7">SourceData_Feedlot.SourceData_Feedlot_VSL_Variable()</f>
        <v>VSL</v>
      </c>
      <c r="E7" s="1" cm="1">
        <f t="array" ref="E7">SourceData_Feedlot.SourceData_Feedlot_VSL_Data()</f>
        <v>0.5</v>
      </c>
      <c r="F7" s="9" t="str" cm="1">
        <f t="array" ref="F7">SourceData_Feedlot.SourceData_Feedlot_VSL_Unit()</f>
        <v>Fraction</v>
      </c>
      <c r="M7" s="1"/>
    </row>
    <row r="8" spans="1:21" ht="20.100000000000001" customHeight="1" x14ac:dyDescent="0.2">
      <c r="A8" s="7" t="s">
        <v>0</v>
      </c>
      <c r="M8" s="1"/>
    </row>
    <row r="9" spans="1:21" ht="20.100000000000001" customHeight="1" x14ac:dyDescent="0.2">
      <c r="A9" s="5" t="str">
        <f>HYPERLINK("#'Input - Enterprise'!A1", "Enterprise")</f>
        <v>Enterprise</v>
      </c>
      <c r="M9" s="1"/>
    </row>
    <row r="10" spans="1:21" ht="20.100000000000001" customHeight="1" x14ac:dyDescent="0.2">
      <c r="A10" s="5" t="str">
        <f>HYPERLINK("#'Input - Site'!A1", "Site")</f>
        <v>Site</v>
      </c>
      <c r="D10" s="2" t="str" cm="1">
        <f t="array" ref="D10">SourceData_Feedlot.SourceData_Feedlot_MMSm1T3_Title()</f>
        <v>Fraction of volatile solids to each tertiary system assumed that 2 per cent is run - off from the feed pad.</v>
      </c>
      <c r="M10" s="1"/>
    </row>
    <row r="11" spans="1:21" ht="20.100000000000001" customHeight="1" x14ac:dyDescent="0.2">
      <c r="A11" s="5" t="str">
        <f>HYPERLINK("#'Input - Feedlot'!A1", "Feedlot")</f>
        <v>Feedlot</v>
      </c>
      <c r="D11" s="17" t="str" cm="1">
        <f t="array" ref="D11">SourceData_Feedlot.SourceData_Feedlot_MMSm1T3_Source()</f>
        <v>VEERG 2026: 4.1.2.3 CONSTANTS</v>
      </c>
      <c r="M11" s="1"/>
    </row>
    <row r="12" spans="1:21" ht="20.100000000000001" customHeight="1" x14ac:dyDescent="0.2">
      <c r="A12" s="5" t="str">
        <f>HYPERLINK("#'Input - Livestock sales'!A1", "Livestock sales")</f>
        <v>Livestock sales</v>
      </c>
      <c r="D12" s="75" t="str" cm="1">
        <f t="array" ref="D12">SourceData_Feedlot.SourceData_Feedlot_MMSm1T3_Variable()</f>
        <v>MMSm1T3</v>
      </c>
      <c r="E12" s="1" cm="1">
        <f t="array" ref="E12">SourceData_Feedlot.SourceData_Feedlot_MMSm1T3_Data()</f>
        <v>0.02</v>
      </c>
      <c r="F12" s="9" t="str" cm="1">
        <f t="array" ref="F12">SourceData_Feedlot.SourceData_Feedlot_MMSm1T3_Unit()</f>
        <v>Fraction</v>
      </c>
      <c r="M12" s="1"/>
    </row>
    <row r="13" spans="1:21" ht="20.100000000000001" customHeight="1" x14ac:dyDescent="0.2">
      <c r="A13" s="5" t="str">
        <f>HYPERLINK("#'Input - Beef cattle purchases'!A1", "Beef cattle purchases")</f>
        <v>Beef cattle purchases</v>
      </c>
      <c r="M13" s="1"/>
    </row>
    <row r="14" spans="1:21" ht="20.100000000000001" customHeight="1" x14ac:dyDescent="0.2">
      <c r="A14" s="5" t="str">
        <f>HYPERLINK("#'Input - Fuel'!A1", "Fuel")</f>
        <v>Fuel</v>
      </c>
      <c r="M14" s="1"/>
    </row>
    <row r="15" spans="1:21" ht="20.100000000000001" customHeight="1" x14ac:dyDescent="0.2">
      <c r="A15" s="5" t="str">
        <f>HYPERLINK("#'Input - Electricity'!A1", "Electricity")</f>
        <v>Electricity</v>
      </c>
      <c r="D15" s="2" t="str" cm="1">
        <f t="array" ref="D15">SourceData_Feedlot.SourceData_Feedlot_AshContent_Title()</f>
        <v>Ash content of manure.</v>
      </c>
      <c r="M15" s="1"/>
    </row>
    <row r="16" spans="1:21" ht="20.100000000000001" customHeight="1" x14ac:dyDescent="0.2">
      <c r="A16" s="5" t="str">
        <f>HYPERLINK("#'Input - Common farm inputs'!A1", "Common farm inputs")</f>
        <v>Common farm inputs</v>
      </c>
      <c r="D16" s="17" t="str" cm="1">
        <f t="array" ref="D16">SourceData_Feedlot.SourceData_Feedlot_AshContent_Source()</f>
        <v>VEERG 2026: 4.1.2.3 CONSTANTS</v>
      </c>
      <c r="M16" s="1"/>
    </row>
    <row r="17" spans="1:13" ht="20.100000000000001" customHeight="1" x14ac:dyDescent="0.2">
      <c r="A17" s="5" t="str">
        <f>HYPERLINK("#'Input - Livestock farm Inputs'!A1", "Livestock farm Inputs")</f>
        <v>Livestock farm Inputs</v>
      </c>
      <c r="D17" s="75" t="str" cm="1">
        <f t="array" ref="D17">SourceData_Feedlot.SourceData_Feedlot_AshContent_Variable()</f>
        <v>A</v>
      </c>
      <c r="E17" s="1" cm="1">
        <f t="array" ref="E17">SourceData_Feedlot.SourceData_Feedlot_AshContent_Data()</f>
        <v>0.16</v>
      </c>
      <c r="F17" s="9" t="str" cm="1">
        <f t="array" ref="F17">SourceData_Feedlot.SourceData_Feedlot_AshContent_Unit()</f>
        <v>Fraction</v>
      </c>
      <c r="M17" s="1"/>
    </row>
    <row r="18" spans="1:13" ht="20.100000000000001" customHeight="1" x14ac:dyDescent="0.2">
      <c r="A18" s="5" t="str">
        <f>HYPERLINK("#'Input - Freight'!A1", "Freight")</f>
        <v>Freight</v>
      </c>
      <c r="M18" s="1"/>
    </row>
    <row r="19" spans="1:13" ht="20.100000000000001" customHeight="1" x14ac:dyDescent="0.2">
      <c r="A19" s="5" t="str">
        <f>HYPERLINK("#'Input - Solid waste'!A1", "Solid waste")</f>
        <v>Solid waste</v>
      </c>
      <c r="M19" s="1"/>
    </row>
    <row r="20" spans="1:13" ht="20.100000000000001" customHeight="1" x14ac:dyDescent="0.2">
      <c r="A20" s="5" t="str">
        <f>HYPERLINK("#'Input - Manure sent off-site'!A1", "Manure sent off-site")</f>
        <v>Manure sent off-site</v>
      </c>
      <c r="D20" s="2" t="str" cm="1">
        <f t="array" ref="D20">SourceData_Feedlot.SourceData_Feedlot_MethaneEmissionsPotential_Title()</f>
        <v>Methane emissions potential.</v>
      </c>
      <c r="M20" s="1"/>
    </row>
    <row r="21" spans="1:13" ht="20.100000000000001" customHeight="1" x14ac:dyDescent="0.2">
      <c r="A21" s="5" t="str">
        <f>HYPERLINK("#'Input - Data quality'!A1", "Data quality")</f>
        <v>Data quality</v>
      </c>
      <c r="D21" s="17" t="str" cm="1">
        <f t="array" ref="D21">SourceData_Feedlot.SourceData_Feedlot_MethaneEmissionsPotential_Source()</f>
        <v>VEERG 2026: 4.1.2.3 CONSTANTS</v>
      </c>
      <c r="M21" s="1"/>
    </row>
    <row r="22" spans="1:13" ht="20.100000000000001" customHeight="1" x14ac:dyDescent="0.2">
      <c r="A22" s="5" t="str">
        <f>HYPERLINK("#'Input - Fert Prod System'!A1", "Fert Prod System")</f>
        <v>Fert Prod System</v>
      </c>
      <c r="D22" s="75" t="str" cm="1">
        <f t="array" ref="D22">SourceData_Feedlot.SourceData_Feedlot_MethaneEmissionsPotential_Variable()</f>
        <v>B0</v>
      </c>
      <c r="E22" s="1" cm="1">
        <f t="array" ref="E22">SourceData_Feedlot.SourceData_Feedlot_MethaneEmissionsPotential_Data()</f>
        <v>0.19</v>
      </c>
      <c r="F22" s="9" t="str" cm="1">
        <f t="array" ref="F22">SourceData_Feedlot.SourceData_Feedlot_MethaneEmissionsPotential_Unit()</f>
        <v>m3 CH4 / kg VS</v>
      </c>
      <c r="M22" s="1"/>
    </row>
    <row r="23" spans="1:13" ht="20.100000000000001" customHeight="1" x14ac:dyDescent="0.2">
      <c r="A23" s="5" t="str">
        <f>HYPERLINK("#'Input - Fertiliser'!A1", "Fertiliser")</f>
        <v>Fertiliser</v>
      </c>
      <c r="M23" s="1"/>
    </row>
    <row r="24" spans="1:13" ht="20.100000000000001" customHeight="1" x14ac:dyDescent="0.2">
      <c r="M24" s="1"/>
    </row>
    <row r="25" spans="1:13" ht="20.100000000000001" customHeight="1" x14ac:dyDescent="0.2">
      <c r="D25" s="2" t="s">
        <v>474</v>
      </c>
      <c r="G25" s="2" t="s">
        <v>475</v>
      </c>
      <c r="J25" s="2" t="s">
        <v>476</v>
      </c>
      <c r="L25" s="2" t="s">
        <v>477</v>
      </c>
      <c r="M25" s="1"/>
    </row>
    <row r="26" spans="1:13" ht="20.100000000000001" customHeight="1" x14ac:dyDescent="0.2">
      <c r="A26" s="6" t="s">
        <v>2</v>
      </c>
      <c r="L26" s="1" t="s">
        <v>478</v>
      </c>
      <c r="M26" s="1"/>
    </row>
    <row r="27" spans="1:13" ht="20.100000000000001" customHeight="1" x14ac:dyDescent="0.2">
      <c r="A27" s="5" t="str">
        <f>HYPERLINK("#'3.1.1.1-2 Enteric Methane'!A1", "3.1.1.1-2 Enteric Methane")</f>
        <v>3.1.1.1-2 Enteric Methane</v>
      </c>
      <c r="D27" s="134" t="s">
        <v>368</v>
      </c>
      <c r="E27" s="19" t="s">
        <v>479</v>
      </c>
      <c r="G27" s="19" t="s">
        <v>480</v>
      </c>
      <c r="J27" s="19" t="s">
        <v>63</v>
      </c>
      <c r="L27" s="19" t="s">
        <v>481</v>
      </c>
      <c r="M27" s="1"/>
    </row>
    <row r="28" spans="1:13" ht="20.100000000000001" customHeight="1" x14ac:dyDescent="0.2">
      <c r="A28" s="5" t="str">
        <f>HYPERLINK("#'4.1.1.1-2 Methane'!A1", "4.1.1.1-2 Manure Methane")</f>
        <v>4.1.1.1-2 Manure Methane</v>
      </c>
      <c r="D28" s="19" t="str">
        <f>'Constants - Common livestock'!$E$16</f>
        <v>Drylot (feed pad)</v>
      </c>
      <c r="E28" s="19" t="str">
        <f>'Constants - Common livestock'!$F$16</f>
        <v>Drylot (feed pad) (m=5)</v>
      </c>
      <c r="G28" s="19" t="str">
        <f>'Constants - Common'!$F$188</f>
        <v>Crop</v>
      </c>
      <c r="J28" s="19" t="s">
        <v>320</v>
      </c>
      <c r="L28" s="19" t="s">
        <v>289</v>
      </c>
      <c r="M28" s="1"/>
    </row>
    <row r="29" spans="1:13" ht="20.100000000000001" customHeight="1" x14ac:dyDescent="0.2">
      <c r="A29" s="5" t="str">
        <f>HYPERLINK("#'4.1.1.3-4 Direct N20'!A1", "4.1.1.3-4 Manure Direct N2O")</f>
        <v>4.1.1.3-4 Manure Direct N2O</v>
      </c>
      <c r="D29" s="19" t="str">
        <f>'Constants - Common livestock'!$E$15</f>
        <v>Solid storage</v>
      </c>
      <c r="E29" s="19" t="str">
        <f>'Constants - Common livestock'!$F$15</f>
        <v>Solid storage (m=4)</v>
      </c>
      <c r="G29" s="1" t="str">
        <f>'Constants - Common'!$F$187</f>
        <v>Pasture</v>
      </c>
      <c r="J29" s="19" t="s">
        <v>482</v>
      </c>
      <c r="L29" s="19" t="s">
        <v>290</v>
      </c>
      <c r="M29" s="1"/>
    </row>
    <row r="30" spans="1:13" ht="20.100000000000001" customHeight="1" x14ac:dyDescent="0.2">
      <c r="A30" s="5" t="str">
        <f>HYPERLINK("#'4.1.1.5-6 Atmos Deposition'!A1", "4.1.1.5-6 Manure Atmos Dep")</f>
        <v>4.1.1.5-6 Manure Atmos Dep</v>
      </c>
      <c r="D30" s="19" t="str">
        <f>'Constants - Common livestock'!$E$17</f>
        <v>Composting (passive windrow)</v>
      </c>
      <c r="E30" s="19" t="str">
        <f>'Constants - Common livestock'!$F$17</f>
        <v>Composting (passive windrow) (m=6)</v>
      </c>
      <c r="J30" s="1" t="s">
        <v>483</v>
      </c>
      <c r="L30" s="19" t="s">
        <v>291</v>
      </c>
      <c r="M30" s="1"/>
    </row>
    <row r="31" spans="1:13" ht="20.100000000000001" customHeight="1" x14ac:dyDescent="0.2">
      <c r="A31" s="5" t="str">
        <f>HYPERLINK("#'4.1.1.9 Manure applied to soils'!A1", "4.1.1.9 Manure applied to soils")</f>
        <v>4.1.1.9 Manure applied to soils</v>
      </c>
      <c r="D31" s="19" t="str">
        <f>'Constants - Common livestock'!$E$26</f>
        <v>Direct application</v>
      </c>
      <c r="E31" s="19" t="str">
        <f>'Constants - Common livestock'!$F$26</f>
        <v>Direct application (m=13)</v>
      </c>
      <c r="J31" s="1" t="s">
        <v>484</v>
      </c>
      <c r="M31" s="1"/>
    </row>
    <row r="32" spans="1:13" ht="20.100000000000001" customHeight="1" x14ac:dyDescent="0.2">
      <c r="A32" s="5" t="str">
        <f>HYPERLINK("#'8.1.1.1-2 Transport fuel'!A1", "8.1.1.1-2 Transport fuel")</f>
        <v>8.1.1.1-2 Transport fuel</v>
      </c>
      <c r="D32" s="1" t="str">
        <f>'Constants - Common livestock'!$E$10</f>
        <v>Anaerobic lagoon</v>
      </c>
      <c r="E32" s="1" t="str">
        <f>'Constants - Common livestock'!$F$10</f>
        <v>Anaerobic lagoon (m=1)</v>
      </c>
      <c r="J32" s="1" t="s">
        <v>485</v>
      </c>
      <c r="M32" s="1"/>
    </row>
    <row r="33" spans="1:13" ht="20.100000000000001" customHeight="1" x14ac:dyDescent="0.2">
      <c r="A33" s="5" t="str">
        <f>HYPERLINK("#'8.2.1.1-2 Stationary fuel'!A1", "8.2.1.1-2 Stationary fuel")</f>
        <v>8.2.1.1-2 Stationary fuel</v>
      </c>
      <c r="M33" s="1"/>
    </row>
    <row r="34" spans="1:13" ht="20.100000000000001" customHeight="1" x14ac:dyDescent="0.2">
      <c r="A34" s="5" t="str">
        <f>HYPERLINK("#'10.1.1-2 Solid waste treatment'!A1", "10.1.1.1-2 Solid waste")</f>
        <v>10.1.1.1-2 Solid waste</v>
      </c>
      <c r="M34" s="1"/>
    </row>
    <row r="35" spans="1:13" ht="20.100000000000001" customHeight="1" x14ac:dyDescent="0.2">
      <c r="A35" s="5" t="str">
        <f>HYPERLINK("#'14.1.1-2 Purchased electricity'!A1", "14.1.1-2 Purchased electricity")</f>
        <v>14.1.1-2 Purchased electricity</v>
      </c>
      <c r="M35" s="1"/>
    </row>
    <row r="36" spans="1:13" ht="20.100000000000001" customHeight="1" x14ac:dyDescent="0.2">
      <c r="A36" s="5" t="str">
        <f>HYPERLINK("#'15 Scope 3'!A1", "15 Scope 3")</f>
        <v>15 Scope 3</v>
      </c>
      <c r="D36" s="2" t="str" cm="1">
        <f t="array" ref="D36">SourceData_Feedlot.SourceData_Feedlot_DurationOfStay_Title()</f>
        <v>Beef feedlot cattle - Duration of stay (days)</v>
      </c>
      <c r="M36" s="1"/>
    </row>
    <row r="37" spans="1:13" ht="20.100000000000001" customHeight="1" x14ac:dyDescent="0.2">
      <c r="A37" s="5" t="str">
        <f>HYPERLINK("#'Calcs - Manure sent off-site'!A1", "Calcs - Manure sent off-site")</f>
        <v>Calcs - Manure sent off-site</v>
      </c>
      <c r="D37" s="17" t="str" cm="1">
        <f t="array" ref="D37">SourceData_Feedlot.SourceData_Feedlot_DurationOfStay_Source()</f>
        <v>VEERG 2026: Table A.1.1.1: Beef feedlot cattle - Duration of stay (days)</v>
      </c>
      <c r="M37" s="1"/>
    </row>
    <row r="38" spans="1:13" ht="20.100000000000001" customHeight="1" x14ac:dyDescent="0.2">
      <c r="A38" s="5" t="str">
        <f>HYPERLINK("#'5.1.1.1-2 Inorganic fert N2O'!A1", "5.1.1.1-2 Inorganic fert N2O")</f>
        <v>5.1.1.1-2 Inorganic fert N2O</v>
      </c>
      <c r="D38" s="19" t="s">
        <v>486</v>
      </c>
      <c r="E38" s="19" t="s">
        <v>487</v>
      </c>
      <c r="M38" s="1"/>
    </row>
    <row r="39" spans="1:13" ht="20.100000000000001" customHeight="1" x14ac:dyDescent="0.2">
      <c r="A39" s="5" t="str">
        <f>HYPERLINK("#'5.1.1.3-4 Inorganic fert CO2'!A1", "5.1.1.3-4 Inorganic fert CO2")</f>
        <v>5.1.1.3-4 Inorganic fert CO2</v>
      </c>
      <c r="D39" s="19" t="str" cm="1">
        <f t="array" ref="D39">Common_InputFunctions.Utility_DisplayArrayInTable(SourceData_Feedlot.SourceData_Feedlot_DurationOfStay_Data(), Table_SourceData_Feedlot_LengthOfStay[[#Headers],[Feedlot type]], 0)</f>
        <v>Domestic</v>
      </c>
      <c r="E39" s="19" t="str" cm="1">
        <f t="array" ref="E39">Common_InputFunctions.Utility_DisplayArrayInTable(SourceData_Feedlot.SourceData_Feedlot_DurationOfStay_Data(), Table_SourceData_Feedlot_LengthOfStay[[#Headers],[Feedlot type]], 0)</f>
        <v>1-80 days</v>
      </c>
      <c r="M39" s="8"/>
    </row>
    <row r="40" spans="1:13" ht="20.100000000000001" customHeight="1" x14ac:dyDescent="0.2">
      <c r="A40" s="5" t="str">
        <f>HYPERLINK("#'5.2.1.1-2 Organic Fert N2O'!A1", "5.2.1.1-2 Organic Fert N2O")</f>
        <v>5.2.1.1-2 Organic Fert N2O</v>
      </c>
      <c r="D40" s="1" t="str" cm="1">
        <f t="array" ref="D40">Common_InputFunctions.Utility_DisplayArrayInTable(SourceData_Feedlot.SourceData_Feedlot_DurationOfStay_Data(), Table_SourceData_Feedlot_LengthOfStay[[#Headers],[Feedlot type]], 0)</f>
        <v>Mid-fed</v>
      </c>
      <c r="E40" s="19" t="str" cm="1">
        <f t="array" ref="E40">Common_InputFunctions.Utility_DisplayArrayInTable(SourceData_Feedlot.SourceData_Feedlot_DurationOfStay_Data(), Table_SourceData_Feedlot_LengthOfStay[[#Headers],[Feedlot type]], 0)</f>
        <v>81-200 days</v>
      </c>
      <c r="M40" s="8"/>
    </row>
    <row r="41" spans="1:13" ht="20.100000000000001" customHeight="1" x14ac:dyDescent="0.2">
      <c r="A41" s="5" t="str">
        <f>HYPERLINK("#'5.3.1.1-2 Lime CO2'!A1", "5.3.1.1-2 Lime CO2")</f>
        <v>5.3.1.1-2 Lime CO2</v>
      </c>
      <c r="D41" s="1" t="str" cm="1">
        <f t="array" ref="D41">Common_InputFunctions.Utility_DisplayArrayInTable(SourceData_Feedlot.SourceData_Feedlot_DurationOfStay_Data(), Table_SourceData_Feedlot_LengthOfStay[[#Headers],[Feedlot type]], 0)</f>
        <v>Long-fed</v>
      </c>
      <c r="E41" s="19" t="str" cm="1">
        <f t="array" ref="E41">Common_InputFunctions.Utility_DisplayArrayInTable(SourceData_Feedlot.SourceData_Feedlot_DurationOfStay_Data(), Table_SourceData_Feedlot_LengthOfStay[[#Headers],[Feedlot type]], 0)</f>
        <v>201+ days</v>
      </c>
      <c r="M41" s="8"/>
    </row>
    <row r="42" spans="1:13" ht="20.100000000000001" customHeight="1" x14ac:dyDescent="0.2">
      <c r="A42" s="5" t="str">
        <f>HYPERLINK("#'5.4.1.1-4 Atmos deposition'!A1", "5.4.1.1-4 Atmos deposition")</f>
        <v>5.4.1.1-4 Atmos deposition</v>
      </c>
      <c r="M42" s="8"/>
    </row>
    <row r="43" spans="1:13" ht="20.100000000000001" customHeight="1" x14ac:dyDescent="0.2">
      <c r="A43" s="5" t="str">
        <f>HYPERLINK("#'5.5.1.1-2 Leaching and runoff'!A1", "5.5.1.1-2 Leaching and runoff")</f>
        <v>5.5.1.1-2 Leaching and runoff</v>
      </c>
      <c r="M43" s="8"/>
    </row>
    <row r="44" spans="1:13" ht="20.100000000000001" customHeight="1" x14ac:dyDescent="0.2">
      <c r="D44" s="2" t="str" cm="1">
        <f t="array" ref="D44">SourceData_Feedlot.SourceData_Feedlot_AnimalCharacteristics_Title()</f>
        <v>Beef feedlot cattle - Animal characteristics</v>
      </c>
      <c r="M44" s="8"/>
    </row>
    <row r="45" spans="1:13" ht="20.100000000000001" customHeight="1" x14ac:dyDescent="0.2">
      <c r="D45" s="17" t="str" cm="1">
        <f t="array" ref="D45">SourceData_Feedlot.SourceData_Feedlot_AnimalCharacteristics_Source()</f>
        <v>VEERG 2026: Table A.1.1.2: Beef feedlot cattle - Animal characteristics</v>
      </c>
      <c r="M45" s="8"/>
    </row>
    <row r="46" spans="1:13" ht="20.100000000000001" customHeight="1" x14ac:dyDescent="0.2">
      <c r="A46" s="80" t="s">
        <v>1</v>
      </c>
      <c r="D46" s="25" t="str" cm="1">
        <f t="array" ref="D46:D48">SourceData_Feedlot.SourceData_Feedlot_AnimalCharacteristics_Variation()</f>
        <v>VARIATION ON SOURCE:</v>
      </c>
      <c r="M46" s="8"/>
    </row>
    <row r="47" spans="1:13" ht="20.100000000000001" customHeight="1" x14ac:dyDescent="0.2">
      <c r="A47" s="81" t="str">
        <f>HYPERLINK("#'Constants - Feedlot'!A1", "Constants - Feedlot")</f>
        <v>Constants - Feedlot</v>
      </c>
      <c r="D47" s="25" t="str">
        <v>Moved feedlot types to a separate column to aid lookup.</v>
      </c>
      <c r="M47" s="8"/>
    </row>
    <row r="48" spans="1:13" ht="20.100000000000001" customHeight="1" x14ac:dyDescent="0.2">
      <c r="A48" s="5" t="str">
        <f>HYPERLINK("#'Constants - Common livestock'!A1", "Constants - Common Livestock")</f>
        <v>Constants - Common Livestock</v>
      </c>
      <c r="D48" s="25" t="str">
        <v>Named 'characteristic' column - original has header 'Unit' which covers two columns)</v>
      </c>
      <c r="M48" s="8"/>
    </row>
    <row r="49" spans="1:13" ht="20.100000000000001" customHeight="1" x14ac:dyDescent="0.2">
      <c r="A49" s="5" t="str">
        <f>HYPERLINK("#'Constants - Electricity'!A1", "Constants - Electricity")</f>
        <v>Constants - Electricity</v>
      </c>
      <c r="D49" s="19" t="s">
        <v>486</v>
      </c>
      <c r="E49" s="19" t="s">
        <v>488</v>
      </c>
      <c r="F49" s="19" t="s">
        <v>118</v>
      </c>
      <c r="G49" s="19" t="s">
        <v>489</v>
      </c>
      <c r="H49" s="19" t="s">
        <v>490</v>
      </c>
      <c r="I49" s="19" t="s">
        <v>491</v>
      </c>
      <c r="J49" s="19" t="s">
        <v>492</v>
      </c>
      <c r="M49" s="8"/>
    </row>
    <row r="50" spans="1:13" ht="20.100000000000001" customHeight="1" x14ac:dyDescent="0.2">
      <c r="A50" s="5" t="str">
        <f>HYPERLINK("#'Constants - Fertiliser'!A1", "Constants - Fertiliser")</f>
        <v>Constants - Fertiliser</v>
      </c>
      <c r="D50" s="19" t="str" cm="1">
        <f t="array" ref="D50">Common_InputFunctions.Utility_DisplayArrayInTable(SourceData_Feedlot.SourceData_Feedlot_AnimalCharacteristics_Data(), Table_SourceData_Feedlot_AnimalCharacteristics[[#Headers],[Feedlot type]], 0)</f>
        <v>Domestic</v>
      </c>
      <c r="E50" s="19" t="str" cm="1">
        <f t="array" ref="E50">Common_InputFunctions.Utility_DisplayArrayInTable(SourceData_Feedlot.SourceData_Feedlot_AnimalCharacteristics_Data(), Table_SourceData_Feedlot_AnimalCharacteristics[[#Headers],[Feedlot type]], 0)</f>
        <v>Days on feed</v>
      </c>
      <c r="F50" s="19" t="str" cm="1">
        <f t="array" ref="F50">Common_InputFunctions.Utility_DisplayArrayInTable(SourceData_Feedlot.SourceData_Feedlot_AnimalCharacteristics_Data(), Table_SourceData_Feedlot_AnimalCharacteristics[[#Headers],[Feedlot type]], 0)</f>
        <v>days</v>
      </c>
      <c r="G50" s="19" cm="1">
        <f t="array" ref="G50">Common_InputFunctions.Utility_DisplayArrayInTable(SourceData_Feedlot.SourceData_Feedlot_AnimalCharacteristics_Data(), Table_SourceData_Feedlot_AnimalCharacteristics[[#Headers],[Feedlot type]], 0)</f>
        <v>70</v>
      </c>
      <c r="H50" s="19" cm="1">
        <f t="array" ref="H50">Common_InputFunctions.Utility_DisplayArrayInTable(SourceData_Feedlot.SourceData_Feedlot_AnimalCharacteristics_Data(), Table_SourceData_Feedlot_AnimalCharacteristics[[#Headers],[Feedlot type]], 0)</f>
        <v>70</v>
      </c>
      <c r="I50" s="19" cm="1">
        <f t="array" ref="I50">Common_InputFunctions.Utility_DisplayArrayInTable(SourceData_Feedlot.SourceData_Feedlot_AnimalCharacteristics_Data(), Table_SourceData_Feedlot_AnimalCharacteristics[[#Headers],[Feedlot type]], 0)</f>
        <v>70</v>
      </c>
      <c r="J50" s="19" cm="1">
        <f t="array" ref="J50">Common_InputFunctions.Utility_DisplayArrayInTable(SourceData_Feedlot.SourceData_Feedlot_AnimalCharacteristics_Data(), Table_SourceData_Feedlot_AnimalCharacteristics[[#Headers],[Feedlot type]], 0)</f>
        <v>75</v>
      </c>
      <c r="M50" s="8"/>
    </row>
    <row r="51" spans="1:13" ht="20.100000000000001" customHeight="1" x14ac:dyDescent="0.2">
      <c r="A51" s="5" t="str">
        <f>HYPERLINK("#'Constants - Fuel'!A1", "Constants - Fuel")</f>
        <v>Constants - Fuel</v>
      </c>
      <c r="D51" s="1" t="str" cm="1">
        <f t="array" ref="D51">Common_InputFunctions.Utility_DisplayArrayInTable(SourceData_Feedlot.SourceData_Feedlot_AnimalCharacteristics_Data(), Table_SourceData_Feedlot_AnimalCharacteristics[[#Headers],[Feedlot type]], 0)</f>
        <v>Domestic</v>
      </c>
      <c r="E51" s="19" t="str" cm="1">
        <f t="array" ref="E51">Common_InputFunctions.Utility_DisplayArrayInTable(SourceData_Feedlot.SourceData_Feedlot_AnimalCharacteristics_Data(), Table_SourceData_Feedlot_AnimalCharacteristics[[#Headers],[Feedlot type]], 0)</f>
        <v>Feed intake</v>
      </c>
      <c r="F51" s="19" t="str" cm="1">
        <f t="array" ref="F51">Common_InputFunctions.Utility_DisplayArrayInTable(SourceData_Feedlot.SourceData_Feedlot_AnimalCharacteristics_Data(), Table_SourceData_Feedlot_AnimalCharacteristics[[#Headers],[Feedlot type]], 0)</f>
        <v>kg DM/day</v>
      </c>
      <c r="G51" s="19" cm="1">
        <f t="array" ref="G51">Common_InputFunctions.Utility_DisplayArrayInTable(SourceData_Feedlot.SourceData_Feedlot_AnimalCharacteristics_Data(), Table_SourceData_Feedlot_AnimalCharacteristics[[#Headers],[Feedlot type]], 0)</f>
        <v>10</v>
      </c>
      <c r="H51" s="19" cm="1">
        <f t="array" ref="H51">Common_InputFunctions.Utility_DisplayArrayInTable(SourceData_Feedlot.SourceData_Feedlot_AnimalCharacteristics_Data(), Table_SourceData_Feedlot_AnimalCharacteristics[[#Headers],[Feedlot type]], 0)</f>
        <v>10</v>
      </c>
      <c r="I51" s="19" cm="1">
        <f t="array" ref="I51">Common_InputFunctions.Utility_DisplayArrayInTable(SourceData_Feedlot.SourceData_Feedlot_AnimalCharacteristics_Data(), Table_SourceData_Feedlot_AnimalCharacteristics[[#Headers],[Feedlot type]], 0)</f>
        <v>10.4</v>
      </c>
      <c r="J51" s="19" cm="1">
        <f t="array" ref="J51">Common_InputFunctions.Utility_DisplayArrayInTable(SourceData_Feedlot.SourceData_Feedlot_AnimalCharacteristics_Data(), Table_SourceData_Feedlot_AnimalCharacteristics[[#Headers],[Feedlot type]], 0)</f>
        <v>10.4</v>
      </c>
      <c r="M51" s="8"/>
    </row>
    <row r="52" spans="1:13" ht="20.100000000000001" customHeight="1" x14ac:dyDescent="0.2">
      <c r="A52" s="5" t="str">
        <f>HYPERLINK("#'Constants - Scope 3'!A1", "Constants - Scope 3")</f>
        <v>Constants - Scope 3</v>
      </c>
      <c r="D52" s="1" t="str" cm="1">
        <f t="array" ref="D52">Common_InputFunctions.Utility_DisplayArrayInTable(SourceData_Feedlot.SourceData_Feedlot_AnimalCharacteristics_Data(), Table_SourceData_Feedlot_AnimalCharacteristics[[#Headers],[Feedlot type]], 0)</f>
        <v>Domestic</v>
      </c>
      <c r="E52" s="19" t="str" cm="1">
        <f t="array" ref="E52">Common_InputFunctions.Utility_DisplayArrayInTable(SourceData_Feedlot.SourceData_Feedlot_AnimalCharacteristics_Data(), Table_SourceData_Feedlot_AnimalCharacteristics[[#Headers],[Feedlot type]], 0)</f>
        <v>N retention</v>
      </c>
      <c r="F52" s="19" t="str" cm="1">
        <f t="array" ref="F52">Common_InputFunctions.Utility_DisplayArrayInTable(SourceData_Feedlot.SourceData_Feedlot_AnimalCharacteristics_Data(), Table_SourceData_Feedlot_AnimalCharacteristics[[#Headers],[Feedlot type]], 0)</f>
        <v>per cent of intake</v>
      </c>
      <c r="G52" s="19" cm="1">
        <f t="array" ref="G52">Common_InputFunctions.Utility_DisplayArrayInTable(SourceData_Feedlot.SourceData_Feedlot_AnimalCharacteristics_Data(), Table_SourceData_Feedlot_AnimalCharacteristics[[#Headers],[Feedlot type]], 0)</f>
        <v>21.1</v>
      </c>
      <c r="H52" s="19" cm="1">
        <f t="array" ref="H52">Common_InputFunctions.Utility_DisplayArrayInTable(SourceData_Feedlot.SourceData_Feedlot_AnimalCharacteristics_Data(), Table_SourceData_Feedlot_AnimalCharacteristics[[#Headers],[Feedlot type]], 0)</f>
        <v>20.399999999999999</v>
      </c>
      <c r="I52" s="19" cm="1">
        <f t="array" ref="I52">Common_InputFunctions.Utility_DisplayArrayInTable(SourceData_Feedlot.SourceData_Feedlot_AnimalCharacteristics_Data(), Table_SourceData_Feedlot_AnimalCharacteristics[[#Headers],[Feedlot type]], 0)</f>
        <v>20.399999999999999</v>
      </c>
      <c r="J52" s="19" cm="1">
        <f t="array" ref="J52">Common_InputFunctions.Utility_DisplayArrayInTable(SourceData_Feedlot.SourceData_Feedlot_AnimalCharacteristics_Data(), Table_SourceData_Feedlot_AnimalCharacteristics[[#Headers],[Feedlot type]], 0)</f>
        <v>20.399999999999999</v>
      </c>
      <c r="M52" s="8"/>
    </row>
    <row r="53" spans="1:13" ht="20.100000000000001" customHeight="1" x14ac:dyDescent="0.2">
      <c r="A53" s="5" t="str">
        <f>HYPERLINK("#'Constants - Solid Waste'!A1", "Constants - Solid Waste")</f>
        <v>Constants - Solid Waste</v>
      </c>
      <c r="D53" s="1" t="str" cm="1">
        <f t="array" ref="D53">Common_InputFunctions.Utility_DisplayArrayInTable(SourceData_Feedlot.SourceData_Feedlot_AnimalCharacteristics_Data(), Table_SourceData_Feedlot_AnimalCharacteristics[[#Headers],[Feedlot type]], 0)</f>
        <v>Mid-fed</v>
      </c>
      <c r="E53" s="19" t="str" cm="1">
        <f t="array" ref="E53">Common_InputFunctions.Utility_DisplayArrayInTable(SourceData_Feedlot.SourceData_Feedlot_AnimalCharacteristics_Data(), Table_SourceData_Feedlot_AnimalCharacteristics[[#Headers],[Feedlot type]], 0)</f>
        <v>Days on feed</v>
      </c>
      <c r="F53" s="19" t="str" cm="1">
        <f t="array" ref="F53">Common_InputFunctions.Utility_DisplayArrayInTable(SourceData_Feedlot.SourceData_Feedlot_AnimalCharacteristics_Data(), Table_SourceData_Feedlot_AnimalCharacteristics[[#Headers],[Feedlot type]], 0)</f>
        <v>days</v>
      </c>
      <c r="G53" s="19" cm="1">
        <f t="array" ref="G53">Common_InputFunctions.Utility_DisplayArrayInTable(SourceData_Feedlot.SourceData_Feedlot_AnimalCharacteristics_Data(), Table_SourceData_Feedlot_AnimalCharacteristics[[#Headers],[Feedlot type]], 0)</f>
        <v>115</v>
      </c>
      <c r="H53" s="19" cm="1">
        <f t="array" ref="H53">Common_InputFunctions.Utility_DisplayArrayInTable(SourceData_Feedlot.SourceData_Feedlot_AnimalCharacteristics_Data(), Table_SourceData_Feedlot_AnimalCharacteristics[[#Headers],[Feedlot type]], 0)</f>
        <v>115</v>
      </c>
      <c r="I53" s="19" cm="1">
        <f t="array" ref="I53">Common_InputFunctions.Utility_DisplayArrayInTable(SourceData_Feedlot.SourceData_Feedlot_AnimalCharacteristics_Data(), Table_SourceData_Feedlot_AnimalCharacteristics[[#Headers],[Feedlot type]], 0)</f>
        <v>120</v>
      </c>
      <c r="J53" s="19" cm="1">
        <f t="array" ref="J53">Common_InputFunctions.Utility_DisplayArrayInTable(SourceData_Feedlot.SourceData_Feedlot_AnimalCharacteristics_Data(), Table_SourceData_Feedlot_AnimalCharacteristics[[#Headers],[Feedlot type]], 0)</f>
        <v>150</v>
      </c>
      <c r="M53" s="8"/>
    </row>
    <row r="54" spans="1:13" ht="20.100000000000001" customHeight="1" x14ac:dyDescent="0.2">
      <c r="A54" s="5" t="str">
        <f>HYPERLINK("#'Constants - Common'!A1", "Constants - Common")</f>
        <v>Constants - Common</v>
      </c>
      <c r="D54" s="1" t="str" cm="1">
        <f t="array" ref="D54">Common_InputFunctions.Utility_DisplayArrayInTable(SourceData_Feedlot.SourceData_Feedlot_AnimalCharacteristics_Data(), Table_SourceData_Feedlot_AnimalCharacteristics[[#Headers],[Feedlot type]], 0)</f>
        <v>Mid-fed</v>
      </c>
      <c r="E54" s="19" t="str" cm="1">
        <f t="array" ref="E54">Common_InputFunctions.Utility_DisplayArrayInTable(SourceData_Feedlot.SourceData_Feedlot_AnimalCharacteristics_Data(), Table_SourceData_Feedlot_AnimalCharacteristics[[#Headers],[Feedlot type]], 0)</f>
        <v>Feed intake</v>
      </c>
      <c r="F54" s="19" t="str" cm="1">
        <f t="array" ref="F54">Common_InputFunctions.Utility_DisplayArrayInTable(SourceData_Feedlot.SourceData_Feedlot_AnimalCharacteristics_Data(), Table_SourceData_Feedlot_AnimalCharacteristics[[#Headers],[Feedlot type]], 0)</f>
        <v>kg DM/day</v>
      </c>
      <c r="G54" s="19" cm="1">
        <f t="array" ref="G54">Common_InputFunctions.Utility_DisplayArrayInTable(SourceData_Feedlot.SourceData_Feedlot_AnimalCharacteristics_Data(), Table_SourceData_Feedlot_AnimalCharacteristics[[#Headers],[Feedlot type]], 0)</f>
        <v>11.2</v>
      </c>
      <c r="H54" s="19" cm="1">
        <f t="array" ref="H54">Common_InputFunctions.Utility_DisplayArrayInTable(SourceData_Feedlot.SourceData_Feedlot_AnimalCharacteristics_Data(), Table_SourceData_Feedlot_AnimalCharacteristics[[#Headers],[Feedlot type]], 0)</f>
        <v>10.8</v>
      </c>
      <c r="I54" s="19" cm="1">
        <f t="array" ref="I54">Common_InputFunctions.Utility_DisplayArrayInTable(SourceData_Feedlot.SourceData_Feedlot_AnimalCharacteristics_Data(), Table_SourceData_Feedlot_AnimalCharacteristics[[#Headers],[Feedlot type]], 0)</f>
        <v>10.8</v>
      </c>
      <c r="J54" s="19" cm="1">
        <f t="array" ref="J54">Common_InputFunctions.Utility_DisplayArrayInTable(SourceData_Feedlot.SourceData_Feedlot_AnimalCharacteristics_Data(), Table_SourceData_Feedlot_AnimalCharacteristics[[#Headers],[Feedlot type]], 0)</f>
        <v>10.8</v>
      </c>
      <c r="M54" s="8"/>
    </row>
    <row r="55" spans="1:13" ht="20.100000000000001" customHeight="1" x14ac:dyDescent="0.2">
      <c r="A55" s="5" t="str">
        <f>HYPERLINK("#'Acknowledgements'!A1", "Acknowledgements")</f>
        <v>Acknowledgements</v>
      </c>
      <c r="D55" s="1" t="str" cm="1">
        <f t="array" ref="D55">Common_InputFunctions.Utility_DisplayArrayInTable(SourceData_Feedlot.SourceData_Feedlot_AnimalCharacteristics_Data(), Table_SourceData_Feedlot_AnimalCharacteristics[[#Headers],[Feedlot type]], 0)</f>
        <v>Mid-fed</v>
      </c>
      <c r="E55" s="19" t="str" cm="1">
        <f t="array" ref="E55">Common_InputFunctions.Utility_DisplayArrayInTable(SourceData_Feedlot.SourceData_Feedlot_AnimalCharacteristics_Data(), Table_SourceData_Feedlot_AnimalCharacteristics[[#Headers],[Feedlot type]], 0)</f>
        <v>N retention</v>
      </c>
      <c r="F55" s="19" t="str" cm="1">
        <f t="array" ref="F55">Common_InputFunctions.Utility_DisplayArrayInTable(SourceData_Feedlot.SourceData_Feedlot_AnimalCharacteristics_Data(), Table_SourceData_Feedlot_AnimalCharacteristics[[#Headers],[Feedlot type]], 0)</f>
        <v>per cent of intake</v>
      </c>
      <c r="G55" s="19" cm="1">
        <f t="array" ref="G55">Common_InputFunctions.Utility_DisplayArrayInTable(SourceData_Feedlot.SourceData_Feedlot_AnimalCharacteristics_Data(), Table_SourceData_Feedlot_AnimalCharacteristics[[#Headers],[Feedlot type]], 0)</f>
        <v>12.5</v>
      </c>
      <c r="H55" s="19" cm="1">
        <f t="array" ref="H55">Common_InputFunctions.Utility_DisplayArrayInTable(SourceData_Feedlot.SourceData_Feedlot_AnimalCharacteristics_Data(), Table_SourceData_Feedlot_AnimalCharacteristics[[#Headers],[Feedlot type]], 0)</f>
        <v>12.7</v>
      </c>
      <c r="I55" s="19" cm="1">
        <f t="array" ref="I55">Common_InputFunctions.Utility_DisplayArrayInTable(SourceData_Feedlot.SourceData_Feedlot_AnimalCharacteristics_Data(), Table_SourceData_Feedlot_AnimalCharacteristics[[#Headers],[Feedlot type]], 0)</f>
        <v>12.7</v>
      </c>
      <c r="J55" s="19" cm="1">
        <f t="array" ref="J55">Common_InputFunctions.Utility_DisplayArrayInTable(SourceData_Feedlot.SourceData_Feedlot_AnimalCharacteristics_Data(), Table_SourceData_Feedlot_AnimalCharacteristics[[#Headers],[Feedlot type]], 0)</f>
        <v>12.7</v>
      </c>
      <c r="M55" s="8"/>
    </row>
    <row r="56" spans="1:13" ht="20.100000000000001" customHeight="1" x14ac:dyDescent="0.2">
      <c r="D56" s="1" t="str" cm="1">
        <f t="array" ref="D56">Common_InputFunctions.Utility_DisplayArrayInTable(SourceData_Feedlot.SourceData_Feedlot_AnimalCharacteristics_Data(), Table_SourceData_Feedlot_AnimalCharacteristics[[#Headers],[Feedlot type]], 0)</f>
        <v>Long-fed</v>
      </c>
      <c r="E56" s="19" t="str" cm="1">
        <f t="array" ref="E56">Common_InputFunctions.Utility_DisplayArrayInTable(SourceData_Feedlot.SourceData_Feedlot_AnimalCharacteristics_Data(), Table_SourceData_Feedlot_AnimalCharacteristics[[#Headers],[Feedlot type]], 0)</f>
        <v>Days on feed</v>
      </c>
      <c r="F56" s="19" t="str" cm="1">
        <f t="array" ref="F56">Common_InputFunctions.Utility_DisplayArrayInTable(SourceData_Feedlot.SourceData_Feedlot_AnimalCharacteristics_Data(), Table_SourceData_Feedlot_AnimalCharacteristics[[#Headers],[Feedlot type]], 0)</f>
        <v>days</v>
      </c>
      <c r="G56" s="19" cm="1">
        <f t="array" ref="G56">Common_InputFunctions.Utility_DisplayArrayInTable(SourceData_Feedlot.SourceData_Feedlot_AnimalCharacteristics_Data(), Table_SourceData_Feedlot_AnimalCharacteristics[[#Headers],[Feedlot type]], 0)</f>
        <v>250</v>
      </c>
      <c r="H56" s="19" cm="1">
        <f t="array" ref="H56">Common_InputFunctions.Utility_DisplayArrayInTable(SourceData_Feedlot.SourceData_Feedlot_AnimalCharacteristics_Data(), Table_SourceData_Feedlot_AnimalCharacteristics[[#Headers],[Feedlot type]], 0)</f>
        <v>250</v>
      </c>
      <c r="I56" s="19" cm="1">
        <f t="array" ref="I56">Common_InputFunctions.Utility_DisplayArrayInTable(SourceData_Feedlot.SourceData_Feedlot_AnimalCharacteristics_Data(), Table_SourceData_Feedlot_AnimalCharacteristics[[#Headers],[Feedlot type]], 0)</f>
        <v>250</v>
      </c>
      <c r="J56" s="19" cm="1">
        <f t="array" ref="J56">Common_InputFunctions.Utility_DisplayArrayInTable(SourceData_Feedlot.SourceData_Feedlot_AnimalCharacteristics_Data(), Table_SourceData_Feedlot_AnimalCharacteristics[[#Headers],[Feedlot type]], 0)</f>
        <v>250</v>
      </c>
      <c r="M56" s="8"/>
    </row>
    <row r="57" spans="1:13" ht="20.100000000000001" customHeight="1" x14ac:dyDescent="0.2">
      <c r="D57" s="1" t="str" cm="1">
        <f t="array" ref="D57">Common_InputFunctions.Utility_DisplayArrayInTable(SourceData_Feedlot.SourceData_Feedlot_AnimalCharacteristics_Data(), Table_SourceData_Feedlot_AnimalCharacteristics[[#Headers],[Feedlot type]], 0)</f>
        <v>Long-fed</v>
      </c>
      <c r="E57" s="19" t="str" cm="1">
        <f t="array" ref="E57">Common_InputFunctions.Utility_DisplayArrayInTable(SourceData_Feedlot.SourceData_Feedlot_AnimalCharacteristics_Data(), Table_SourceData_Feedlot_AnimalCharacteristics[[#Headers],[Feedlot type]], 0)</f>
        <v>Feed intake</v>
      </c>
      <c r="F57" s="19" t="str" cm="1">
        <f t="array" ref="F57">Common_InputFunctions.Utility_DisplayArrayInTable(SourceData_Feedlot.SourceData_Feedlot_AnimalCharacteristics_Data(), Table_SourceData_Feedlot_AnimalCharacteristics[[#Headers],[Feedlot type]], 0)</f>
        <v>kg DM/day</v>
      </c>
      <c r="G57" s="19" cm="1">
        <f t="array" ref="G57">Common_InputFunctions.Utility_DisplayArrayInTable(SourceData_Feedlot.SourceData_Feedlot_AnimalCharacteristics_Data(), Table_SourceData_Feedlot_AnimalCharacteristics[[#Headers],[Feedlot type]], 0)</f>
        <v>9</v>
      </c>
      <c r="H57" s="19" cm="1">
        <f t="array" ref="H57">Common_InputFunctions.Utility_DisplayArrayInTable(SourceData_Feedlot.SourceData_Feedlot_AnimalCharacteristics_Data(), Table_SourceData_Feedlot_AnimalCharacteristics[[#Headers],[Feedlot type]], 0)</f>
        <v>8.5</v>
      </c>
      <c r="I57" s="19" cm="1">
        <f t="array" ref="I57">Common_InputFunctions.Utility_DisplayArrayInTable(SourceData_Feedlot.SourceData_Feedlot_AnimalCharacteristics_Data(), Table_SourceData_Feedlot_AnimalCharacteristics[[#Headers],[Feedlot type]], 0)</f>
        <v>8.1999999999999993</v>
      </c>
      <c r="J57" s="19" cm="1">
        <f t="array" ref="J57">Common_InputFunctions.Utility_DisplayArrayInTable(SourceData_Feedlot.SourceData_Feedlot_AnimalCharacteristics_Data(), Table_SourceData_Feedlot_AnimalCharacteristics[[#Headers],[Feedlot type]], 0)</f>
        <v>8.1999999999999993</v>
      </c>
      <c r="M57" s="8"/>
    </row>
    <row r="58" spans="1:13" ht="20.100000000000001" customHeight="1" x14ac:dyDescent="0.2">
      <c r="D58" s="1" t="str" cm="1">
        <f t="array" ref="D58">Common_InputFunctions.Utility_DisplayArrayInTable(SourceData_Feedlot.SourceData_Feedlot_AnimalCharacteristics_Data(), Table_SourceData_Feedlot_AnimalCharacteristics[[#Headers],[Feedlot type]], 0)</f>
        <v>Long-fed</v>
      </c>
      <c r="E58" s="19" t="str" cm="1">
        <f t="array" ref="E58">Common_InputFunctions.Utility_DisplayArrayInTable(SourceData_Feedlot.SourceData_Feedlot_AnimalCharacteristics_Data(), Table_SourceData_Feedlot_AnimalCharacteristics[[#Headers],[Feedlot type]], 0)</f>
        <v>N retention</v>
      </c>
      <c r="F58" s="19" t="str" cm="1">
        <f t="array" ref="F58">Common_InputFunctions.Utility_DisplayArrayInTable(SourceData_Feedlot.SourceData_Feedlot_AnimalCharacteristics_Data(), Table_SourceData_Feedlot_AnimalCharacteristics[[#Headers],[Feedlot type]], 0)</f>
        <v>per cent of intake</v>
      </c>
      <c r="G58" s="19" cm="1">
        <f t="array" ref="G58">Common_InputFunctions.Utility_DisplayArrayInTable(SourceData_Feedlot.SourceData_Feedlot_AnimalCharacteristics_Data(), Table_SourceData_Feedlot_AnimalCharacteristics[[#Headers],[Feedlot type]], 0)</f>
        <v>6.6</v>
      </c>
      <c r="H58" s="19" cm="1">
        <f t="array" ref="H58">Common_InputFunctions.Utility_DisplayArrayInTable(SourceData_Feedlot.SourceData_Feedlot_AnimalCharacteristics_Data(), Table_SourceData_Feedlot_AnimalCharacteristics[[#Headers],[Feedlot type]], 0)</f>
        <v>7</v>
      </c>
      <c r="I58" s="19" cm="1">
        <f t="array" ref="I58">Common_InputFunctions.Utility_DisplayArrayInTable(SourceData_Feedlot.SourceData_Feedlot_AnimalCharacteristics_Data(), Table_SourceData_Feedlot_AnimalCharacteristics[[#Headers],[Feedlot type]], 0)</f>
        <v>7</v>
      </c>
      <c r="J58" s="19" cm="1">
        <f t="array" ref="J58">Common_InputFunctions.Utility_DisplayArrayInTable(SourceData_Feedlot.SourceData_Feedlot_AnimalCharacteristics_Data(), Table_SourceData_Feedlot_AnimalCharacteristics[[#Headers],[Feedlot type]], 0)</f>
        <v>7</v>
      </c>
      <c r="M58" s="8"/>
    </row>
    <row r="59" spans="1:13" ht="20.100000000000001" customHeight="1" x14ac:dyDescent="0.2">
      <c r="M59" s="8"/>
    </row>
    <row r="60" spans="1:13" ht="20.100000000000001" customHeight="1" x14ac:dyDescent="0.2">
      <c r="M60" s="8"/>
    </row>
    <row r="61" spans="1:13" ht="20.100000000000001" customHeight="1" x14ac:dyDescent="0.2">
      <c r="D61" s="2" t="str" cm="1">
        <f t="array" ref="D61">SourceData_Feedlot.SourceData_Feedlot_DietProperties_Title()</f>
        <v>Beef feedlot cattle - Diet properties</v>
      </c>
      <c r="M61" s="8"/>
    </row>
    <row r="62" spans="1:13" ht="20.100000000000001" customHeight="1" x14ac:dyDescent="0.2">
      <c r="D62" s="17" t="str" cm="1">
        <f t="array" ref="D62">SourceData_Feedlot.SourceData_Feedlot_DietProperties_Source()</f>
        <v>VEERG 2026: Table A.1.1.3: Beef feedlot cattle - Diet properties</v>
      </c>
      <c r="M62" s="8"/>
    </row>
    <row r="63" spans="1:13" ht="20.100000000000001" customHeight="1" x14ac:dyDescent="0.2">
      <c r="D63" s="25" t="str" cm="1">
        <f t="array" ref="D63:D65">SourceData_Feedlot.SourceData_Feedlot_DietProperties_Variation()</f>
        <v>VARIATION ON SOURCE:</v>
      </c>
      <c r="M63" s="8"/>
    </row>
    <row r="64" spans="1:13" ht="20.100000000000001" customHeight="1" x14ac:dyDescent="0.2">
      <c r="D64" s="25" t="str">
        <v>Added 'Converted to fraction column and converted NDF and Ether extract values to fractions.</v>
      </c>
      <c r="M64" s="8"/>
    </row>
    <row r="65" spans="1:13" ht="20.100000000000001" customHeight="1" x14ac:dyDescent="0.2">
      <c r="D65" s="25" t="str">
        <v>Moved feedlot types to a separate column to aid lookup.</v>
      </c>
      <c r="M65" s="8"/>
    </row>
    <row r="66" spans="1:13" ht="20.100000000000001" customHeight="1" x14ac:dyDescent="0.2">
      <c r="A66" s="79" t="str">
        <f>HYPERLINK("#A1", "▲ Back to top")</f>
        <v>▲ Back to top</v>
      </c>
      <c r="D66" s="19" t="s">
        <v>486</v>
      </c>
      <c r="E66" s="19" t="s">
        <v>493</v>
      </c>
      <c r="F66" s="19" t="s">
        <v>118</v>
      </c>
      <c r="G66" s="19" t="s">
        <v>490</v>
      </c>
      <c r="H66" s="19" t="s">
        <v>491</v>
      </c>
      <c r="I66" s="19" t="s">
        <v>492</v>
      </c>
      <c r="J66" s="19" t="s">
        <v>494</v>
      </c>
      <c r="M66" s="8"/>
    </row>
    <row r="67" spans="1:13" ht="20.100000000000001" customHeight="1" x14ac:dyDescent="0.2">
      <c r="D67" s="19" t="str" cm="1">
        <f t="array" ref="D67">Common_InputFunctions.Utility_DisplayArrayInTable(SourceData_Feedlot.SourceData_Feedlot_DietProperties_Data(), Table_SourceData_Feedlot_DietProperties[[#Headers],[Feedlot type]], 0)</f>
        <v>Domestic</v>
      </c>
      <c r="E67" s="19" t="str" cm="1">
        <f t="array" ref="E67">Common_InputFunctions.Utility_DisplayArrayInTable(SourceData_Feedlot.SourceData_Feedlot_DietProperties_Data(), Table_SourceData_Feedlot_DietProperties[[#Headers],[Feedlot type]], 0)</f>
        <v>Dry matter digestibility</v>
      </c>
      <c r="F67" s="19" t="str" cm="1">
        <f t="array" ref="F67">Common_InputFunctions.Utility_DisplayArrayInTable(SourceData_Feedlot.SourceData_Feedlot_DietProperties_Data(), Table_SourceData_Feedlot_DietProperties[[#Headers],[Feedlot type]], 0)</f>
        <v>fraction</v>
      </c>
      <c r="G67" s="19" cm="1">
        <f t="array" ref="G67">Common_InputFunctions.Utility_DisplayArrayInTable(SourceData_Feedlot.SourceData_Feedlot_DietProperties_Data(), Table_SourceData_Feedlot_DietProperties[[#Headers],[Feedlot type]], 0)</f>
        <v>0.81</v>
      </c>
      <c r="H67" s="19" cm="1">
        <f t="array" ref="H67">Common_InputFunctions.Utility_DisplayArrayInTable(SourceData_Feedlot.SourceData_Feedlot_DietProperties_Data(), Table_SourceData_Feedlot_DietProperties[[#Headers],[Feedlot type]], 0)</f>
        <v>0.81</v>
      </c>
      <c r="I67" s="19" cm="1">
        <f t="array" ref="I67">Common_InputFunctions.Utility_DisplayArrayInTable(SourceData_Feedlot.SourceData_Feedlot_DietProperties_Data(), Table_SourceData_Feedlot_DietProperties[[#Headers],[Feedlot type]], 0)</f>
        <v>0.81</v>
      </c>
      <c r="J67" s="19" cm="1">
        <f t="array" ref="J67">Common_InputFunctions.Utility_DisplayArrayInTable(SourceData_Feedlot.SourceData_Feedlot_DietProperties_Data(), Table_SourceData_Feedlot_DietProperties[[#Headers],[Feedlot type]], 0)</f>
        <v>0.81</v>
      </c>
      <c r="M67" s="8"/>
    </row>
    <row r="68" spans="1:13" ht="20.100000000000001" customHeight="1" x14ac:dyDescent="0.2">
      <c r="D68" s="1" t="str" cm="1">
        <f t="array" ref="D68">Common_InputFunctions.Utility_DisplayArrayInTable(SourceData_Feedlot.SourceData_Feedlot_DietProperties_Data(), Table_SourceData_Feedlot_DietProperties[[#Headers],[Feedlot type]], 0)</f>
        <v>Domestic</v>
      </c>
      <c r="E68" s="19" t="str" cm="1">
        <f t="array" ref="E68">Common_InputFunctions.Utility_DisplayArrayInTable(SourceData_Feedlot.SourceData_Feedlot_DietProperties_Data(), Table_SourceData_Feedlot_DietProperties[[#Headers],[Feedlot type]], 0)</f>
        <v>Crude protein</v>
      </c>
      <c r="F68" s="19" t="str" cm="1">
        <f t="array" ref="F68">Common_InputFunctions.Utility_DisplayArrayInTable(SourceData_Feedlot.SourceData_Feedlot_DietProperties_Data(), Table_SourceData_Feedlot_DietProperties[[#Headers],[Feedlot type]], 0)</f>
        <v>fraction</v>
      </c>
      <c r="G68" s="19" cm="1">
        <f t="array" ref="G68">Common_InputFunctions.Utility_DisplayArrayInTable(SourceData_Feedlot.SourceData_Feedlot_DietProperties_Data(), Table_SourceData_Feedlot_DietProperties[[#Headers],[Feedlot type]], 0)</f>
        <v>0.14000000000000001</v>
      </c>
      <c r="H68" s="19" cm="1">
        <f t="array" ref="H68">Common_InputFunctions.Utility_DisplayArrayInTable(SourceData_Feedlot.SourceData_Feedlot_DietProperties_Data(), Table_SourceData_Feedlot_DietProperties[[#Headers],[Feedlot type]], 0)</f>
        <v>0.14000000000000001</v>
      </c>
      <c r="I68" s="19" cm="1">
        <f t="array" ref="I68">Common_InputFunctions.Utility_DisplayArrayInTable(SourceData_Feedlot.SourceData_Feedlot_DietProperties_Data(), Table_SourceData_Feedlot_DietProperties[[#Headers],[Feedlot type]], 0)</f>
        <v>0.14000000000000001</v>
      </c>
      <c r="J68" s="19" cm="1">
        <f t="array" ref="J68">Common_InputFunctions.Utility_DisplayArrayInTable(SourceData_Feedlot.SourceData_Feedlot_DietProperties_Data(), Table_SourceData_Feedlot_DietProperties[[#Headers],[Feedlot type]], 0)</f>
        <v>0.14000000000000001</v>
      </c>
      <c r="M68" s="8"/>
    </row>
    <row r="69" spans="1:13" ht="20.100000000000001" customHeight="1" x14ac:dyDescent="0.2">
      <c r="D69" s="1" t="str" cm="1">
        <f t="array" ref="D69">Common_InputFunctions.Utility_DisplayArrayInTable(SourceData_Feedlot.SourceData_Feedlot_DietProperties_Data(), Table_SourceData_Feedlot_DietProperties[[#Headers],[Feedlot type]], 0)</f>
        <v>Domestic</v>
      </c>
      <c r="E69" s="19" t="str" cm="1">
        <f t="array" ref="E69">Common_InputFunctions.Utility_DisplayArrayInTable(SourceData_Feedlot.SourceData_Feedlot_DietProperties_Data(), Table_SourceData_Feedlot_DietProperties[[#Headers],[Feedlot type]], 0)</f>
        <v>NDF</v>
      </c>
      <c r="F69" s="19" t="str" cm="1">
        <f t="array" ref="F69">Common_InputFunctions.Utility_DisplayArrayInTable(SourceData_Feedlot.SourceData_Feedlot_DietProperties_Data(), Table_SourceData_Feedlot_DietProperties[[#Headers],[Feedlot type]], 0)</f>
        <v>per cent</v>
      </c>
      <c r="G69" s="19" cm="1">
        <f t="array" ref="G69">Common_InputFunctions.Utility_DisplayArrayInTable(SourceData_Feedlot.SourceData_Feedlot_DietProperties_Data(), Table_SourceData_Feedlot_DietProperties[[#Headers],[Feedlot type]], 0)</f>
        <v>23</v>
      </c>
      <c r="H69" s="19" cm="1">
        <f t="array" ref="H69">Common_InputFunctions.Utility_DisplayArrayInTable(SourceData_Feedlot.SourceData_Feedlot_DietProperties_Data(), Table_SourceData_Feedlot_DietProperties[[#Headers],[Feedlot type]], 0)</f>
        <v>22</v>
      </c>
      <c r="I69" s="19" cm="1">
        <f t="array" ref="I69">Common_InputFunctions.Utility_DisplayArrayInTable(SourceData_Feedlot.SourceData_Feedlot_DietProperties_Data(), Table_SourceData_Feedlot_DietProperties[[#Headers],[Feedlot type]], 0)</f>
        <v>22</v>
      </c>
      <c r="J69" s="19" cm="1">
        <f t="array" ref="J69">Common_InputFunctions.Utility_DisplayArrayInTable(SourceData_Feedlot.SourceData_Feedlot_DietProperties_Data(), Table_SourceData_Feedlot_DietProperties[[#Headers],[Feedlot type]], 0)</f>
        <v>22</v>
      </c>
      <c r="M69" s="8"/>
    </row>
    <row r="70" spans="1:13" ht="20.100000000000001" customHeight="1" x14ac:dyDescent="0.2">
      <c r="D70" s="1" t="str" cm="1">
        <f t="array" ref="D70">Common_InputFunctions.Utility_DisplayArrayInTable(SourceData_Feedlot.SourceData_Feedlot_DietProperties_Data(), Table_SourceData_Feedlot_DietProperties[[#Headers],[Feedlot type]], 0)</f>
        <v>Domestic</v>
      </c>
      <c r="E70" s="19" t="str" cm="1">
        <f t="array" ref="E70">Common_InputFunctions.Utility_DisplayArrayInTable(SourceData_Feedlot.SourceData_Feedlot_DietProperties_Data(), Table_SourceData_Feedlot_DietProperties[[#Headers],[Feedlot type]], 0)</f>
        <v>Ether Extract</v>
      </c>
      <c r="F70" s="19" t="str" cm="1">
        <f t="array" ref="F70">Common_InputFunctions.Utility_DisplayArrayInTable(SourceData_Feedlot.SourceData_Feedlot_DietProperties_Data(), Table_SourceData_Feedlot_DietProperties[[#Headers],[Feedlot type]], 0)</f>
        <v>per cent</v>
      </c>
      <c r="G70" s="19" cm="1">
        <f t="array" ref="G70">Common_InputFunctions.Utility_DisplayArrayInTable(SourceData_Feedlot.SourceData_Feedlot_DietProperties_Data(), Table_SourceData_Feedlot_DietProperties[[#Headers],[Feedlot type]], 0)</f>
        <v>4.5</v>
      </c>
      <c r="H70" s="19" cm="1">
        <f t="array" ref="H70">Common_InputFunctions.Utility_DisplayArrayInTable(SourceData_Feedlot.SourceData_Feedlot_DietProperties_Data(), Table_SourceData_Feedlot_DietProperties[[#Headers],[Feedlot type]], 0)</f>
        <v>4.5</v>
      </c>
      <c r="I70" s="19" cm="1">
        <f t="array" ref="I70">Common_InputFunctions.Utility_DisplayArrayInTable(SourceData_Feedlot.SourceData_Feedlot_DietProperties_Data(), Table_SourceData_Feedlot_DietProperties[[#Headers],[Feedlot type]], 0)</f>
        <v>4.8</v>
      </c>
      <c r="J70" s="19" cm="1">
        <f t="array" ref="J70">Common_InputFunctions.Utility_DisplayArrayInTable(SourceData_Feedlot.SourceData_Feedlot_DietProperties_Data(), Table_SourceData_Feedlot_DietProperties[[#Headers],[Feedlot type]], 0)</f>
        <v>4.8</v>
      </c>
      <c r="M70" s="8"/>
    </row>
    <row r="71" spans="1:13" ht="20.100000000000001" customHeight="1" x14ac:dyDescent="0.2">
      <c r="D71" s="1" t="str" cm="1">
        <f t="array" ref="D71">Common_InputFunctions.Utility_DisplayArrayInTable(SourceData_Feedlot.SourceData_Feedlot_DietProperties_Data(), Table_SourceData_Feedlot_DietProperties[[#Headers],[Feedlot type]], 0)</f>
        <v>Mid-fed</v>
      </c>
      <c r="E71" s="19" t="str" cm="1">
        <f t="array" ref="E71">Common_InputFunctions.Utility_DisplayArrayInTable(SourceData_Feedlot.SourceData_Feedlot_DietProperties_Data(), Table_SourceData_Feedlot_DietProperties[[#Headers],[Feedlot type]], 0)</f>
        <v>Dry matter digestibility</v>
      </c>
      <c r="F71" s="19" t="str" cm="1">
        <f t="array" ref="F71">Common_InputFunctions.Utility_DisplayArrayInTable(SourceData_Feedlot.SourceData_Feedlot_DietProperties_Data(), Table_SourceData_Feedlot_DietProperties[[#Headers],[Feedlot type]], 0)</f>
        <v>fraction</v>
      </c>
      <c r="G71" s="19" cm="1">
        <f t="array" ref="G71">Common_InputFunctions.Utility_DisplayArrayInTable(SourceData_Feedlot.SourceData_Feedlot_DietProperties_Data(), Table_SourceData_Feedlot_DietProperties[[#Headers],[Feedlot type]], 0)</f>
        <v>0.81</v>
      </c>
      <c r="H71" s="19" cm="1">
        <f t="array" ref="H71">Common_InputFunctions.Utility_DisplayArrayInTable(SourceData_Feedlot.SourceData_Feedlot_DietProperties_Data(), Table_SourceData_Feedlot_DietProperties[[#Headers],[Feedlot type]], 0)</f>
        <v>0.81</v>
      </c>
      <c r="I71" s="19" cm="1">
        <f t="array" ref="I71">Common_InputFunctions.Utility_DisplayArrayInTable(SourceData_Feedlot.SourceData_Feedlot_DietProperties_Data(), Table_SourceData_Feedlot_DietProperties[[#Headers],[Feedlot type]], 0)</f>
        <v>0.81</v>
      </c>
      <c r="J71" s="19" cm="1">
        <f t="array" ref="J71">Common_InputFunctions.Utility_DisplayArrayInTable(SourceData_Feedlot.SourceData_Feedlot_DietProperties_Data(), Table_SourceData_Feedlot_DietProperties[[#Headers],[Feedlot type]], 0)</f>
        <v>0.81</v>
      </c>
      <c r="M71" s="8"/>
    </row>
    <row r="72" spans="1:13" ht="20.100000000000001" customHeight="1" x14ac:dyDescent="0.2">
      <c r="D72" s="1" t="str" cm="1">
        <f t="array" ref="D72">Common_InputFunctions.Utility_DisplayArrayInTable(SourceData_Feedlot.SourceData_Feedlot_DietProperties_Data(), Table_SourceData_Feedlot_DietProperties[[#Headers],[Feedlot type]], 0)</f>
        <v>Mid-fed</v>
      </c>
      <c r="E72" s="19" t="str" cm="1">
        <f t="array" ref="E72">Common_InputFunctions.Utility_DisplayArrayInTable(SourceData_Feedlot.SourceData_Feedlot_DietProperties_Data(), Table_SourceData_Feedlot_DietProperties[[#Headers],[Feedlot type]], 0)</f>
        <v>Crude protein</v>
      </c>
      <c r="F72" s="19" t="str" cm="1">
        <f t="array" ref="F72">Common_InputFunctions.Utility_DisplayArrayInTable(SourceData_Feedlot.SourceData_Feedlot_DietProperties_Data(), Table_SourceData_Feedlot_DietProperties[[#Headers],[Feedlot type]], 0)</f>
        <v>fraction</v>
      </c>
      <c r="G72" s="19" cm="1">
        <f t="array" ref="G72">Common_InputFunctions.Utility_DisplayArrayInTable(SourceData_Feedlot.SourceData_Feedlot_DietProperties_Data(), Table_SourceData_Feedlot_DietProperties[[#Headers],[Feedlot type]], 0)</f>
        <v>0.13</v>
      </c>
      <c r="H72" s="19" cm="1">
        <f t="array" ref="H72">Common_InputFunctions.Utility_DisplayArrayInTable(SourceData_Feedlot.SourceData_Feedlot_DietProperties_Data(), Table_SourceData_Feedlot_DietProperties[[#Headers],[Feedlot type]], 0)</f>
        <v>0.125</v>
      </c>
      <c r="I72" s="19" cm="1">
        <f t="array" ref="I72">Common_InputFunctions.Utility_DisplayArrayInTable(SourceData_Feedlot.SourceData_Feedlot_DietProperties_Data(), Table_SourceData_Feedlot_DietProperties[[#Headers],[Feedlot type]], 0)</f>
        <v>0.12</v>
      </c>
      <c r="J72" s="19" cm="1">
        <f t="array" ref="J72">Common_InputFunctions.Utility_DisplayArrayInTable(SourceData_Feedlot.SourceData_Feedlot_DietProperties_Data(), Table_SourceData_Feedlot_DietProperties[[#Headers],[Feedlot type]], 0)</f>
        <v>0.12</v>
      </c>
      <c r="M72" s="8"/>
    </row>
    <row r="73" spans="1:13" ht="20.100000000000001" customHeight="1" x14ac:dyDescent="0.2">
      <c r="D73" s="1" t="str" cm="1">
        <f t="array" ref="D73">Common_InputFunctions.Utility_DisplayArrayInTable(SourceData_Feedlot.SourceData_Feedlot_DietProperties_Data(), Table_SourceData_Feedlot_DietProperties[[#Headers],[Feedlot type]], 0)</f>
        <v>Mid-fed</v>
      </c>
      <c r="E73" s="19" t="str" cm="1">
        <f t="array" ref="E73">Common_InputFunctions.Utility_DisplayArrayInTable(SourceData_Feedlot.SourceData_Feedlot_DietProperties_Data(), Table_SourceData_Feedlot_DietProperties[[#Headers],[Feedlot type]], 0)</f>
        <v>NDF</v>
      </c>
      <c r="F73" s="19" t="str" cm="1">
        <f t="array" ref="F73">Common_InputFunctions.Utility_DisplayArrayInTable(SourceData_Feedlot.SourceData_Feedlot_DietProperties_Data(), Table_SourceData_Feedlot_DietProperties[[#Headers],[Feedlot type]], 0)</f>
        <v>per cent</v>
      </c>
      <c r="G73" s="19" cm="1">
        <f t="array" ref="G73">Common_InputFunctions.Utility_DisplayArrayInTable(SourceData_Feedlot.SourceData_Feedlot_DietProperties_Data(), Table_SourceData_Feedlot_DietProperties[[#Headers],[Feedlot type]], 0)</f>
        <v>24</v>
      </c>
      <c r="H73" s="19" cm="1">
        <f t="array" ref="H73">Common_InputFunctions.Utility_DisplayArrayInTable(SourceData_Feedlot.SourceData_Feedlot_DietProperties_Data(), Table_SourceData_Feedlot_DietProperties[[#Headers],[Feedlot type]], 0)</f>
        <v>22</v>
      </c>
      <c r="I73" s="19" cm="1">
        <f t="array" ref="I73">Common_InputFunctions.Utility_DisplayArrayInTable(SourceData_Feedlot.SourceData_Feedlot_DietProperties_Data(), Table_SourceData_Feedlot_DietProperties[[#Headers],[Feedlot type]], 0)</f>
        <v>22</v>
      </c>
      <c r="J73" s="19" cm="1">
        <f t="array" ref="J73">Common_InputFunctions.Utility_DisplayArrayInTable(SourceData_Feedlot.SourceData_Feedlot_DietProperties_Data(), Table_SourceData_Feedlot_DietProperties[[#Headers],[Feedlot type]], 0)</f>
        <v>22</v>
      </c>
      <c r="M73" s="8"/>
    </row>
    <row r="74" spans="1:13" ht="20.100000000000001" customHeight="1" x14ac:dyDescent="0.2">
      <c r="D74" s="1" t="str" cm="1">
        <f t="array" ref="D74">Common_InputFunctions.Utility_DisplayArrayInTable(SourceData_Feedlot.SourceData_Feedlot_DietProperties_Data(), Table_SourceData_Feedlot_DietProperties[[#Headers],[Feedlot type]], 0)</f>
        <v>Mid-fed</v>
      </c>
      <c r="E74" s="19" t="str" cm="1">
        <f t="array" ref="E74">Common_InputFunctions.Utility_DisplayArrayInTable(SourceData_Feedlot.SourceData_Feedlot_DietProperties_Data(), Table_SourceData_Feedlot_DietProperties[[#Headers],[Feedlot type]], 0)</f>
        <v>Ether Extract</v>
      </c>
      <c r="F74" s="19" t="str" cm="1">
        <f t="array" ref="F74">Common_InputFunctions.Utility_DisplayArrayInTable(SourceData_Feedlot.SourceData_Feedlot_DietProperties_Data(), Table_SourceData_Feedlot_DietProperties[[#Headers],[Feedlot type]], 0)</f>
        <v>per cent</v>
      </c>
      <c r="G74" s="19" cm="1">
        <f t="array" ref="G74">Common_InputFunctions.Utility_DisplayArrayInTable(SourceData_Feedlot.SourceData_Feedlot_DietProperties_Data(), Table_SourceData_Feedlot_DietProperties[[#Headers],[Feedlot type]], 0)</f>
        <v>5</v>
      </c>
      <c r="H74" s="19" cm="1">
        <f t="array" ref="H74">Common_InputFunctions.Utility_DisplayArrayInTable(SourceData_Feedlot.SourceData_Feedlot_DietProperties_Data(), Table_SourceData_Feedlot_DietProperties[[#Headers],[Feedlot type]], 0)</f>
        <v>5</v>
      </c>
      <c r="I74" s="19" cm="1">
        <f t="array" ref="I74">Common_InputFunctions.Utility_DisplayArrayInTable(SourceData_Feedlot.SourceData_Feedlot_DietProperties_Data(), Table_SourceData_Feedlot_DietProperties[[#Headers],[Feedlot type]], 0)</f>
        <v>5</v>
      </c>
      <c r="J74" s="19" cm="1">
        <f t="array" ref="J74">Common_InputFunctions.Utility_DisplayArrayInTable(SourceData_Feedlot.SourceData_Feedlot_DietProperties_Data(), Table_SourceData_Feedlot_DietProperties[[#Headers],[Feedlot type]], 0)</f>
        <v>5</v>
      </c>
      <c r="M74" s="8"/>
    </row>
    <row r="75" spans="1:13" ht="20.100000000000001" customHeight="1" x14ac:dyDescent="0.2">
      <c r="D75" s="1" t="str" cm="1">
        <f t="array" ref="D75">Common_InputFunctions.Utility_DisplayArrayInTable(SourceData_Feedlot.SourceData_Feedlot_DietProperties_Data(), Table_SourceData_Feedlot_DietProperties[[#Headers],[Feedlot type]], 0)</f>
        <v>Long-Fed</v>
      </c>
      <c r="E75" s="19" t="str" cm="1">
        <f t="array" ref="E75">Common_InputFunctions.Utility_DisplayArrayInTable(SourceData_Feedlot.SourceData_Feedlot_DietProperties_Data(), Table_SourceData_Feedlot_DietProperties[[#Headers],[Feedlot type]], 0)</f>
        <v>Dry matter digestibility</v>
      </c>
      <c r="F75" s="19" t="str" cm="1">
        <f t="array" ref="F75">Common_InputFunctions.Utility_DisplayArrayInTable(SourceData_Feedlot.SourceData_Feedlot_DietProperties_Data(), Table_SourceData_Feedlot_DietProperties[[#Headers],[Feedlot type]], 0)</f>
        <v>fraction</v>
      </c>
      <c r="G75" s="19" cm="1">
        <f t="array" ref="G75">Common_InputFunctions.Utility_DisplayArrayInTable(SourceData_Feedlot.SourceData_Feedlot_DietProperties_Data(), Table_SourceData_Feedlot_DietProperties[[#Headers],[Feedlot type]], 0)</f>
        <v>0.81</v>
      </c>
      <c r="H75" s="19" cm="1">
        <f t="array" ref="H75">Common_InputFunctions.Utility_DisplayArrayInTable(SourceData_Feedlot.SourceData_Feedlot_DietProperties_Data(), Table_SourceData_Feedlot_DietProperties[[#Headers],[Feedlot type]], 0)</f>
        <v>0.81</v>
      </c>
      <c r="I75" s="19" cm="1">
        <f t="array" ref="I75">Common_InputFunctions.Utility_DisplayArrayInTable(SourceData_Feedlot.SourceData_Feedlot_DietProperties_Data(), Table_SourceData_Feedlot_DietProperties[[#Headers],[Feedlot type]], 0)</f>
        <v>0.81</v>
      </c>
      <c r="J75" s="19" cm="1">
        <f t="array" ref="J75">Common_InputFunctions.Utility_DisplayArrayInTable(SourceData_Feedlot.SourceData_Feedlot_DietProperties_Data(), Table_SourceData_Feedlot_DietProperties[[#Headers],[Feedlot type]], 0)</f>
        <v>0.81</v>
      </c>
      <c r="M75" s="8"/>
    </row>
    <row r="76" spans="1:13" ht="20.100000000000001" customHeight="1" x14ac:dyDescent="0.2">
      <c r="D76" s="1" t="str" cm="1">
        <f t="array" ref="D76">Common_InputFunctions.Utility_DisplayArrayInTable(SourceData_Feedlot.SourceData_Feedlot_DietProperties_Data(), Table_SourceData_Feedlot_DietProperties[[#Headers],[Feedlot type]], 0)</f>
        <v>Long-Fed</v>
      </c>
      <c r="E76" s="19" t="str" cm="1">
        <f t="array" ref="E76">Common_InputFunctions.Utility_DisplayArrayInTable(SourceData_Feedlot.SourceData_Feedlot_DietProperties_Data(), Table_SourceData_Feedlot_DietProperties[[#Headers],[Feedlot type]], 0)</f>
        <v>Crude protein</v>
      </c>
      <c r="F76" s="19" t="str" cm="1">
        <f t="array" ref="F76">Common_InputFunctions.Utility_DisplayArrayInTable(SourceData_Feedlot.SourceData_Feedlot_DietProperties_Data(), Table_SourceData_Feedlot_DietProperties[[#Headers],[Feedlot type]], 0)</f>
        <v>fraction</v>
      </c>
      <c r="G76" s="19" cm="1">
        <f t="array" ref="G76">Common_InputFunctions.Utility_DisplayArrayInTable(SourceData_Feedlot.SourceData_Feedlot_DietProperties_Data(), Table_SourceData_Feedlot_DietProperties[[#Headers],[Feedlot type]], 0)</f>
        <v>0.13</v>
      </c>
      <c r="H76" s="19" cm="1">
        <f t="array" ref="H76">Common_InputFunctions.Utility_DisplayArrayInTable(SourceData_Feedlot.SourceData_Feedlot_DietProperties_Data(), Table_SourceData_Feedlot_DietProperties[[#Headers],[Feedlot type]], 0)</f>
        <v>0.125</v>
      </c>
      <c r="I76" s="19" cm="1">
        <f t="array" ref="I76">Common_InputFunctions.Utility_DisplayArrayInTable(SourceData_Feedlot.SourceData_Feedlot_DietProperties_Data(), Table_SourceData_Feedlot_DietProperties[[#Headers],[Feedlot type]], 0)</f>
        <v>0.12</v>
      </c>
      <c r="J76" s="19" cm="1">
        <f t="array" ref="J76">Common_InputFunctions.Utility_DisplayArrayInTable(SourceData_Feedlot.SourceData_Feedlot_DietProperties_Data(), Table_SourceData_Feedlot_DietProperties[[#Headers],[Feedlot type]], 0)</f>
        <v>0.12</v>
      </c>
      <c r="M76" s="8"/>
    </row>
    <row r="77" spans="1:13" ht="20.100000000000001" customHeight="1" x14ac:dyDescent="0.2">
      <c r="D77" s="1" t="str" cm="1">
        <f t="array" ref="D77">Common_InputFunctions.Utility_DisplayArrayInTable(SourceData_Feedlot.SourceData_Feedlot_DietProperties_Data(), Table_SourceData_Feedlot_DietProperties[[#Headers],[Feedlot type]], 0)</f>
        <v>Long-Fed</v>
      </c>
      <c r="E77" s="19" t="str" cm="1">
        <f t="array" ref="E77">Common_InputFunctions.Utility_DisplayArrayInTable(SourceData_Feedlot.SourceData_Feedlot_DietProperties_Data(), Table_SourceData_Feedlot_DietProperties[[#Headers],[Feedlot type]], 0)</f>
        <v>NDF</v>
      </c>
      <c r="F77" s="19" t="str" cm="1">
        <f t="array" ref="F77">Common_InputFunctions.Utility_DisplayArrayInTable(SourceData_Feedlot.SourceData_Feedlot_DietProperties_Data(), Table_SourceData_Feedlot_DietProperties[[#Headers],[Feedlot type]], 0)</f>
        <v>per cent</v>
      </c>
      <c r="G77" s="19" cm="1">
        <f t="array" ref="G77">Common_InputFunctions.Utility_DisplayArrayInTable(SourceData_Feedlot.SourceData_Feedlot_DietProperties_Data(), Table_SourceData_Feedlot_DietProperties[[#Headers],[Feedlot type]], 0)</f>
        <v>24</v>
      </c>
      <c r="H77" s="19" cm="1">
        <f t="array" ref="H77">Common_InputFunctions.Utility_DisplayArrayInTable(SourceData_Feedlot.SourceData_Feedlot_DietProperties_Data(), Table_SourceData_Feedlot_DietProperties[[#Headers],[Feedlot type]], 0)</f>
        <v>24</v>
      </c>
      <c r="I77" s="19" cm="1">
        <f t="array" ref="I77">Common_InputFunctions.Utility_DisplayArrayInTable(SourceData_Feedlot.SourceData_Feedlot_DietProperties_Data(), Table_SourceData_Feedlot_DietProperties[[#Headers],[Feedlot type]], 0)</f>
        <v>24</v>
      </c>
      <c r="J77" s="19" cm="1">
        <f t="array" ref="J77">Common_InputFunctions.Utility_DisplayArrayInTable(SourceData_Feedlot.SourceData_Feedlot_DietProperties_Data(), Table_SourceData_Feedlot_DietProperties[[#Headers],[Feedlot type]], 0)</f>
        <v>24</v>
      </c>
      <c r="M77" s="8"/>
    </row>
    <row r="78" spans="1:13" ht="20.100000000000001" customHeight="1" x14ac:dyDescent="0.2">
      <c r="D78" s="1" t="str" cm="1">
        <f t="array" ref="D78">Common_InputFunctions.Utility_DisplayArrayInTable(SourceData_Feedlot.SourceData_Feedlot_DietProperties_Data(), Table_SourceData_Feedlot_DietProperties[[#Headers],[Feedlot type]], 0)</f>
        <v>Long-Fed</v>
      </c>
      <c r="E78" s="19" t="str" cm="1">
        <f t="array" ref="E78">Common_InputFunctions.Utility_DisplayArrayInTable(SourceData_Feedlot.SourceData_Feedlot_DietProperties_Data(), Table_SourceData_Feedlot_DietProperties[[#Headers],[Feedlot type]], 0)</f>
        <v>Ether Extract</v>
      </c>
      <c r="F78" s="19" t="str" cm="1">
        <f t="array" ref="F78">Common_InputFunctions.Utility_DisplayArrayInTable(SourceData_Feedlot.SourceData_Feedlot_DietProperties_Data(), Table_SourceData_Feedlot_DietProperties[[#Headers],[Feedlot type]], 0)</f>
        <v>per cent</v>
      </c>
      <c r="G78" s="19" cm="1">
        <f t="array" ref="G78">Common_InputFunctions.Utility_DisplayArrayInTable(SourceData_Feedlot.SourceData_Feedlot_DietProperties_Data(), Table_SourceData_Feedlot_DietProperties[[#Headers],[Feedlot type]], 0)</f>
        <v>5</v>
      </c>
      <c r="H78" s="19" cm="1">
        <f t="array" ref="H78">Common_InputFunctions.Utility_DisplayArrayInTable(SourceData_Feedlot.SourceData_Feedlot_DietProperties_Data(), Table_SourceData_Feedlot_DietProperties[[#Headers],[Feedlot type]], 0)</f>
        <v>5</v>
      </c>
      <c r="I78" s="19" cm="1">
        <f t="array" ref="I78">Common_InputFunctions.Utility_DisplayArrayInTable(SourceData_Feedlot.SourceData_Feedlot_DietProperties_Data(), Table_SourceData_Feedlot_DietProperties[[#Headers],[Feedlot type]], 0)</f>
        <v>5.5</v>
      </c>
      <c r="J78" s="19" cm="1">
        <f t="array" ref="J78">Common_InputFunctions.Utility_DisplayArrayInTable(SourceData_Feedlot.SourceData_Feedlot_DietProperties_Data(), Table_SourceData_Feedlot_DietProperties[[#Headers],[Feedlot type]], 0)</f>
        <v>5.5</v>
      </c>
      <c r="M78" s="8"/>
    </row>
    <row r="79" spans="1:13" ht="20.100000000000001" customHeight="1" x14ac:dyDescent="0.2">
      <c r="M79" s="8"/>
    </row>
    <row r="80" spans="1:13" ht="20.100000000000001" customHeight="1" x14ac:dyDescent="0.2">
      <c r="M80" s="8"/>
    </row>
    <row r="81" spans="1:14" ht="20.100000000000001" customHeight="1" x14ac:dyDescent="0.2">
      <c r="D81" s="2" t="str" cm="1">
        <f t="array" ref="D81">SourceData_Feedlot.SourceData_Feedlot_MCF_Title()</f>
        <v>Feedlot - MCFs</v>
      </c>
      <c r="M81" s="1"/>
    </row>
    <row r="82" spans="1:14" ht="20.100000000000001" customHeight="1" x14ac:dyDescent="0.2">
      <c r="D82" s="17" t="str" cm="1">
        <f t="array" ref="D82">SourceData_Feedlot.SourceData_Feedlot_MCF_Source()</f>
        <v>VEERG 2026: Table A.1.1.4: Beef feedlot cattle - MCFs (fraction) (MCFimT)</v>
      </c>
      <c r="M82" s="1"/>
    </row>
    <row r="83" spans="1:14" ht="20.100000000000001" customHeight="1" x14ac:dyDescent="0.2">
      <c r="D83" s="25" t="str" cm="1">
        <f t="array" ref="D83:D86">SourceData_Feedlot.SourceData_Feedlot_MCF_Variation()</f>
        <v>VARIATION ON SOURCE:</v>
      </c>
      <c r="M83" s="1"/>
    </row>
    <row r="84" spans="1:14" ht="20.100000000000001" customHeight="1" x14ac:dyDescent="0.2">
      <c r="D84" s="25" t="str">
        <v>Duplicated NSW values for ACT</v>
      </c>
      <c r="M84" s="1"/>
    </row>
    <row r="85" spans="1:14" ht="20.100000000000001" customHeight="1" x14ac:dyDescent="0.2">
      <c r="D85" s="25" t="str">
        <v>Added NT column that duplicates QLD values as per advice from source data provider.</v>
      </c>
      <c r="M85" s="1"/>
    </row>
    <row r="86" spans="1:14" ht="20.100000000000001" customHeight="1" x14ac:dyDescent="0.2">
      <c r="D86" s="25" t="str">
        <v>Added TAS column that duplicates VIC values as per advice from source data provider.</v>
      </c>
      <c r="M86" s="1"/>
    </row>
    <row r="87" spans="1:14" ht="20.100000000000001" customHeight="1" x14ac:dyDescent="0.2">
      <c r="M87" s="1"/>
    </row>
    <row r="88" spans="1:14" ht="20.100000000000001" customHeight="1" x14ac:dyDescent="0.2">
      <c r="D88" s="19" t="s">
        <v>495</v>
      </c>
      <c r="E88" s="19" t="s">
        <v>496</v>
      </c>
      <c r="F88" s="19" t="s">
        <v>497</v>
      </c>
      <c r="G88" s="19" t="s">
        <v>498</v>
      </c>
      <c r="H88" s="19" t="s">
        <v>499</v>
      </c>
      <c r="I88" s="19" t="s">
        <v>500</v>
      </c>
      <c r="J88" s="19" t="s">
        <v>501</v>
      </c>
      <c r="K88" s="19" t="s">
        <v>502</v>
      </c>
      <c r="L88" s="19" t="s">
        <v>503</v>
      </c>
      <c r="M88" s="19" t="s">
        <v>504</v>
      </c>
      <c r="N88" s="19" t="s">
        <v>505</v>
      </c>
    </row>
    <row r="89" spans="1:14" ht="20.100000000000001" customHeight="1" x14ac:dyDescent="0.2">
      <c r="D89" s="19" t="str" cm="1">
        <f t="array" ref="D89">Common_InputFunctions.Utility_DisplayArrayInTable(SourceData_Feedlot.SourceData_Feedlot_MCF_Data(), Table_SourceData_Feedlot_MCF[[#Headers],[Treatment stage T]], 0)</f>
        <v>Primary</v>
      </c>
      <c r="E89" s="19" t="str" cm="1">
        <f t="array" ref="E89">Common_InputFunctions.Utility_DisplayArrayInTable(SourceData_Feedlot.SourceData_Feedlot_MCF_Data(), Table_SourceData_Feedlot_MCF[[#Headers],[Treatment stage T]], 0)</f>
        <v>Dry lot (Feedpad)</v>
      </c>
      <c r="F89" s="19" cm="1">
        <f t="array" ref="F89">Common_InputFunctions.Utility_DisplayArrayInTable(SourceData_Feedlot.SourceData_Feedlot_MCF_Data(), Table_SourceData_Feedlot_MCF[[#Headers],[Treatment stage T]], 0)</f>
        <v>0.01</v>
      </c>
      <c r="G89" s="19" cm="1">
        <f t="array" ref="G89">Common_InputFunctions.Utility_DisplayArrayInTable(SourceData_Feedlot.SourceData_Feedlot_MCF_Data(), Table_SourceData_Feedlot_MCF[[#Headers],[Treatment stage T]], 0)</f>
        <v>0.01</v>
      </c>
      <c r="H89" s="19" cm="1">
        <f t="array" ref="H89">Common_InputFunctions.Utility_DisplayArrayInTable(SourceData_Feedlot.SourceData_Feedlot_MCF_Data(), Table_SourceData_Feedlot_MCF[[#Headers],[Treatment stage T]], 0)</f>
        <v>0.03</v>
      </c>
      <c r="I89" s="19" cm="1">
        <f t="array" ref="I89">Common_InputFunctions.Utility_DisplayArrayInTable(SourceData_Feedlot.SourceData_Feedlot_MCF_Data(), Table_SourceData_Feedlot_MCF[[#Headers],[Treatment stage T]], 0)</f>
        <v>0.03</v>
      </c>
      <c r="J89" s="19" cm="1">
        <f t="array" ref="J89">Common_InputFunctions.Utility_DisplayArrayInTable(SourceData_Feedlot.SourceData_Feedlot_MCF_Data(), Table_SourceData_Feedlot_MCF[[#Headers],[Treatment stage T]], 0)</f>
        <v>0.01</v>
      </c>
      <c r="K89" s="19" cm="1">
        <f t="array" ref="K89">Common_InputFunctions.Utility_DisplayArrayInTable(SourceData_Feedlot.SourceData_Feedlot_MCF_Data(), Table_SourceData_Feedlot_MCF[[#Headers],[Treatment stage T]], 0)</f>
        <v>0.01</v>
      </c>
      <c r="L89" s="19" cm="1">
        <f t="array" ref="L89">Common_InputFunctions.Utility_DisplayArrayInTable(SourceData_Feedlot.SourceData_Feedlot_MCF_Data(), Table_SourceData_Feedlot_MCF[[#Headers],[Treatment stage T]], 0)</f>
        <v>0.01</v>
      </c>
      <c r="M89" s="19" cm="1">
        <f t="array" ref="M89">Common_InputFunctions.Utility_DisplayArrayInTable(SourceData_Feedlot.SourceData_Feedlot_MCF_Data(), Table_SourceData_Feedlot_MCF[[#Headers],[Treatment stage T]], 0)</f>
        <v>0.01</v>
      </c>
      <c r="N89" s="19" t="str" cm="1">
        <f t="array" ref="N89">Common_InputFunctions.Utility_DisplayArrayInTable(SourceData_Feedlot.SourceData_Feedlot_MCF_Data(), Table_SourceData_Feedlot_MCF[[#Headers],[Treatment stage T]], 0)</f>
        <v>Drylot (feed pad)</v>
      </c>
    </row>
    <row r="90" spans="1:14" ht="20.100000000000001" customHeight="1" x14ac:dyDescent="0.2">
      <c r="D90" s="1" t="str" cm="1">
        <f t="array" ref="D90">Common_InputFunctions.Utility_DisplayArrayInTable(SourceData_Feedlot.SourceData_Feedlot_MCF_Data(), Table_SourceData_Feedlot_MCF[[#Headers],[Treatment stage T]], 0)</f>
        <v>Secondary</v>
      </c>
      <c r="E90" s="19" t="str" cm="1">
        <f t="array" ref="E90">Common_InputFunctions.Utility_DisplayArrayInTable(SourceData_Feedlot.SourceData_Feedlot_MCF_Data(), Table_SourceData_Feedlot_MCF[[#Headers],[Treatment stage T]], 0)</f>
        <v>Solid Storage (Stockpile)</v>
      </c>
      <c r="F90" s="19" cm="1">
        <f t="array" ref="F90">Common_InputFunctions.Utility_DisplayArrayInTable(SourceData_Feedlot.SourceData_Feedlot_MCF_Data(), Table_SourceData_Feedlot_MCF[[#Headers],[Treatment stage T]], 0)</f>
        <v>0.02</v>
      </c>
      <c r="G90" s="19" cm="1">
        <f t="array" ref="G90">Common_InputFunctions.Utility_DisplayArrayInTable(SourceData_Feedlot.SourceData_Feedlot_MCF_Data(), Table_SourceData_Feedlot_MCF[[#Headers],[Treatment stage T]], 0)</f>
        <v>0.02</v>
      </c>
      <c r="H90" s="19" cm="1">
        <f t="array" ref="H90">Common_InputFunctions.Utility_DisplayArrayInTable(SourceData_Feedlot.SourceData_Feedlot_MCF_Data(), Table_SourceData_Feedlot_MCF[[#Headers],[Treatment stage T]], 0)</f>
        <v>0.02</v>
      </c>
      <c r="I90" s="19" cm="1">
        <f t="array" ref="I90">Common_InputFunctions.Utility_DisplayArrayInTable(SourceData_Feedlot.SourceData_Feedlot_MCF_Data(), Table_SourceData_Feedlot_MCF[[#Headers],[Treatment stage T]], 0)</f>
        <v>0.02</v>
      </c>
      <c r="J90" s="19" cm="1">
        <f t="array" ref="J90">Common_InputFunctions.Utility_DisplayArrayInTable(SourceData_Feedlot.SourceData_Feedlot_MCF_Data(), Table_SourceData_Feedlot_MCF[[#Headers],[Treatment stage T]], 0)</f>
        <v>0.02</v>
      </c>
      <c r="K90" s="19" cm="1">
        <f t="array" ref="K90">Common_InputFunctions.Utility_DisplayArrayInTable(SourceData_Feedlot.SourceData_Feedlot_MCF_Data(), Table_SourceData_Feedlot_MCF[[#Headers],[Treatment stage T]], 0)</f>
        <v>0.02</v>
      </c>
      <c r="L90" s="19" cm="1">
        <f t="array" ref="L90">Common_InputFunctions.Utility_DisplayArrayInTable(SourceData_Feedlot.SourceData_Feedlot_MCF_Data(), Table_SourceData_Feedlot_MCF[[#Headers],[Treatment stage T]], 0)</f>
        <v>0.02</v>
      </c>
      <c r="M90" s="19" cm="1">
        <f t="array" ref="M90">Common_InputFunctions.Utility_DisplayArrayInTable(SourceData_Feedlot.SourceData_Feedlot_MCF_Data(), Table_SourceData_Feedlot_MCF[[#Headers],[Treatment stage T]], 0)</f>
        <v>0.02</v>
      </c>
      <c r="N90" s="19" t="str" cm="1">
        <f t="array" ref="N90">Common_InputFunctions.Utility_DisplayArrayInTable(SourceData_Feedlot.SourceData_Feedlot_MCF_Data(), Table_SourceData_Feedlot_MCF[[#Headers],[Treatment stage T]], 0)</f>
        <v>Solid storage</v>
      </c>
    </row>
    <row r="91" spans="1:14" ht="20.100000000000001" customHeight="1" x14ac:dyDescent="0.2">
      <c r="D91" s="1" t="str" cm="1">
        <f t="array" ref="D91">Common_InputFunctions.Utility_DisplayArrayInTable(SourceData_Feedlot.SourceData_Feedlot_MCF_Data(), Table_SourceData_Feedlot_MCF[[#Headers],[Treatment stage T]], 0)</f>
        <v>Secondary</v>
      </c>
      <c r="E91" s="19" t="str" cm="1">
        <f t="array" ref="E91">Common_InputFunctions.Utility_DisplayArrayInTable(SourceData_Feedlot.SourceData_Feedlot_MCF_Data(), Table_SourceData_Feedlot_MCF[[#Headers],[Treatment stage T]], 0)</f>
        <v>Composting (Passive Windrow)</v>
      </c>
      <c r="F91" s="19" cm="1">
        <f t="array" ref="F91">Common_InputFunctions.Utility_DisplayArrayInTable(SourceData_Feedlot.SourceData_Feedlot_MCF_Data(), Table_SourceData_Feedlot_MCF[[#Headers],[Treatment stage T]], 0)</f>
        <v>0.01</v>
      </c>
      <c r="G91" s="19" cm="1">
        <f t="array" ref="G91">Common_InputFunctions.Utility_DisplayArrayInTable(SourceData_Feedlot.SourceData_Feedlot_MCF_Data(), Table_SourceData_Feedlot_MCF[[#Headers],[Treatment stage T]], 0)</f>
        <v>0.01</v>
      </c>
      <c r="H91" s="19" cm="1">
        <f t="array" ref="H91">Common_InputFunctions.Utility_DisplayArrayInTable(SourceData_Feedlot.SourceData_Feedlot_MCF_Data(), Table_SourceData_Feedlot_MCF[[#Headers],[Treatment stage T]], 0)</f>
        <v>0.01</v>
      </c>
      <c r="I91" s="19" cm="1">
        <f t="array" ref="I91">Common_InputFunctions.Utility_DisplayArrayInTable(SourceData_Feedlot.SourceData_Feedlot_MCF_Data(), Table_SourceData_Feedlot_MCF[[#Headers],[Treatment stage T]], 0)</f>
        <v>0.01</v>
      </c>
      <c r="J91" s="19" cm="1">
        <f t="array" ref="J91">Common_InputFunctions.Utility_DisplayArrayInTable(SourceData_Feedlot.SourceData_Feedlot_MCF_Data(), Table_SourceData_Feedlot_MCF[[#Headers],[Treatment stage T]], 0)</f>
        <v>0.01</v>
      </c>
      <c r="K91" s="19" cm="1">
        <f t="array" ref="K91">Common_InputFunctions.Utility_DisplayArrayInTable(SourceData_Feedlot.SourceData_Feedlot_MCF_Data(), Table_SourceData_Feedlot_MCF[[#Headers],[Treatment stage T]], 0)</f>
        <v>0.01</v>
      </c>
      <c r="L91" s="19" cm="1">
        <f t="array" ref="L91">Common_InputFunctions.Utility_DisplayArrayInTable(SourceData_Feedlot.SourceData_Feedlot_MCF_Data(), Table_SourceData_Feedlot_MCF[[#Headers],[Treatment stage T]], 0)</f>
        <v>0.01</v>
      </c>
      <c r="M91" s="19" cm="1">
        <f t="array" ref="M91">Common_InputFunctions.Utility_DisplayArrayInTable(SourceData_Feedlot.SourceData_Feedlot_MCF_Data(), Table_SourceData_Feedlot_MCF[[#Headers],[Treatment stage T]], 0)</f>
        <v>0.01</v>
      </c>
      <c r="N91" s="19" t="str" cm="1">
        <f t="array" ref="N91">Common_InputFunctions.Utility_DisplayArrayInTable(SourceData_Feedlot.SourceData_Feedlot_MCF_Data(), Table_SourceData_Feedlot_MCF[[#Headers],[Treatment stage T]], 0)</f>
        <v>Composting (passive windrow)</v>
      </c>
    </row>
    <row r="92" spans="1:14" ht="20.100000000000001" customHeight="1" x14ac:dyDescent="0.2">
      <c r="D92" s="1" t="str" cm="1">
        <f t="array" ref="D92">Common_InputFunctions.Utility_DisplayArrayInTable(SourceData_Feedlot.SourceData_Feedlot_MCF_Data(), Table_SourceData_Feedlot_MCF[[#Headers],[Treatment stage T]], 0)</f>
        <v>Secondary</v>
      </c>
      <c r="E92" s="19" t="str" cm="1">
        <f t="array" ref="E92">Common_InputFunctions.Utility_DisplayArrayInTable(SourceData_Feedlot.SourceData_Feedlot_MCF_Data(), Table_SourceData_Feedlot_MCF[[#Headers],[Treatment stage T]], 0)</f>
        <v>Direct Application to soil</v>
      </c>
      <c r="F92" s="19" cm="1">
        <f t="array" ref="F92">Common_InputFunctions.Utility_DisplayArrayInTable(SourceData_Feedlot.SourceData_Feedlot_MCF_Data(), Table_SourceData_Feedlot_MCF[[#Headers],[Treatment stage T]], 0)</f>
        <v>0</v>
      </c>
      <c r="G92" s="19" cm="1">
        <f t="array" ref="G92">Common_InputFunctions.Utility_DisplayArrayInTable(SourceData_Feedlot.SourceData_Feedlot_MCF_Data(), Table_SourceData_Feedlot_MCF[[#Headers],[Treatment stage T]], 0)</f>
        <v>0</v>
      </c>
      <c r="H92" s="19" cm="1">
        <f t="array" ref="H92">Common_InputFunctions.Utility_DisplayArrayInTable(SourceData_Feedlot.SourceData_Feedlot_MCF_Data(), Table_SourceData_Feedlot_MCF[[#Headers],[Treatment stage T]], 0)</f>
        <v>0</v>
      </c>
      <c r="I92" s="19" cm="1">
        <f t="array" ref="I92">Common_InputFunctions.Utility_DisplayArrayInTable(SourceData_Feedlot.SourceData_Feedlot_MCF_Data(), Table_SourceData_Feedlot_MCF[[#Headers],[Treatment stage T]], 0)</f>
        <v>0</v>
      </c>
      <c r="J92" s="19" cm="1">
        <f t="array" ref="J92">Common_InputFunctions.Utility_DisplayArrayInTable(SourceData_Feedlot.SourceData_Feedlot_MCF_Data(), Table_SourceData_Feedlot_MCF[[#Headers],[Treatment stage T]], 0)</f>
        <v>0</v>
      </c>
      <c r="K92" s="19" cm="1">
        <f t="array" ref="K92">Common_InputFunctions.Utility_DisplayArrayInTable(SourceData_Feedlot.SourceData_Feedlot_MCF_Data(), Table_SourceData_Feedlot_MCF[[#Headers],[Treatment stage T]], 0)</f>
        <v>0</v>
      </c>
      <c r="L92" s="19" cm="1">
        <f t="array" ref="L92">Common_InputFunctions.Utility_DisplayArrayInTable(SourceData_Feedlot.SourceData_Feedlot_MCF_Data(), Table_SourceData_Feedlot_MCF[[#Headers],[Treatment stage T]], 0)</f>
        <v>0</v>
      </c>
      <c r="M92" s="19" cm="1">
        <f t="array" ref="M92">Common_InputFunctions.Utility_DisplayArrayInTable(SourceData_Feedlot.SourceData_Feedlot_MCF_Data(), Table_SourceData_Feedlot_MCF[[#Headers],[Treatment stage T]], 0)</f>
        <v>0</v>
      </c>
      <c r="N92" s="19" t="str" cm="1">
        <f t="array" ref="N92">Common_InputFunctions.Utility_DisplayArrayInTable(SourceData_Feedlot.SourceData_Feedlot_MCF_Data(), Table_SourceData_Feedlot_MCF[[#Headers],[Treatment stage T]], 0)</f>
        <v>Direct application</v>
      </c>
    </row>
    <row r="93" spans="1:14" ht="20.100000000000001" customHeight="1" x14ac:dyDescent="0.2">
      <c r="D93" s="1" t="str" cm="1">
        <f t="array" ref="D93">Common_InputFunctions.Utility_DisplayArrayInTable(SourceData_Feedlot.SourceData_Feedlot_MCF_Data(), Table_SourceData_Feedlot_MCF[[#Headers],[Treatment stage T]], 0)</f>
        <v>Tertiary</v>
      </c>
      <c r="E93" s="19" t="str" cm="1">
        <f t="array" ref="E93">Common_InputFunctions.Utility_DisplayArrayInTable(SourceData_Feedlot.SourceData_Feedlot_MCF_Data(), Table_SourceData_Feedlot_MCF[[#Headers],[Treatment stage T]], 0)</f>
        <v>Uncovered anaerobic lagoon (Effluent pond)</v>
      </c>
      <c r="F93" s="19" cm="1">
        <f t="array" ref="F93">Common_InputFunctions.Utility_DisplayArrayInTable(SourceData_Feedlot.SourceData_Feedlot_MCF_Data(), Table_SourceData_Feedlot_MCF[[#Headers],[Treatment stage T]], 0)</f>
        <v>0.75</v>
      </c>
      <c r="G93" s="19" cm="1">
        <f t="array" ref="G93">Common_InputFunctions.Utility_DisplayArrayInTable(SourceData_Feedlot.SourceData_Feedlot_MCF_Data(), Table_SourceData_Feedlot_MCF[[#Headers],[Treatment stage T]], 0)</f>
        <v>0.75</v>
      </c>
      <c r="H93" s="19" cm="1">
        <f t="array" ref="H93">Common_InputFunctions.Utility_DisplayArrayInTable(SourceData_Feedlot.SourceData_Feedlot_MCF_Data(), Table_SourceData_Feedlot_MCF[[#Headers],[Treatment stage T]], 0)</f>
        <v>0.77</v>
      </c>
      <c r="I93" s="19" cm="1">
        <f t="array" ref="I93">Common_InputFunctions.Utility_DisplayArrayInTable(SourceData_Feedlot.SourceData_Feedlot_MCF_Data(), Table_SourceData_Feedlot_MCF[[#Headers],[Treatment stage T]], 0)</f>
        <v>0.77</v>
      </c>
      <c r="J93" s="19" cm="1">
        <f t="array" ref="J93">Common_InputFunctions.Utility_DisplayArrayInTable(SourceData_Feedlot.SourceData_Feedlot_MCF_Data(), Table_SourceData_Feedlot_MCF[[#Headers],[Treatment stage T]], 0)</f>
        <v>0.75</v>
      </c>
      <c r="K93" s="19" cm="1">
        <f t="array" ref="K93">Common_InputFunctions.Utility_DisplayArrayInTable(SourceData_Feedlot.SourceData_Feedlot_MCF_Data(), Table_SourceData_Feedlot_MCF[[#Headers],[Treatment stage T]], 0)</f>
        <v>0.75</v>
      </c>
      <c r="L93" s="19" cm="1">
        <f t="array" ref="L93">Common_InputFunctions.Utility_DisplayArrayInTable(SourceData_Feedlot.SourceData_Feedlot_MCF_Data(), Table_SourceData_Feedlot_MCF[[#Headers],[Treatment stage T]], 0)</f>
        <v>0.77</v>
      </c>
      <c r="M93" s="19" cm="1">
        <f t="array" ref="M93">Common_InputFunctions.Utility_DisplayArrayInTable(SourceData_Feedlot.SourceData_Feedlot_MCF_Data(), Table_SourceData_Feedlot_MCF[[#Headers],[Treatment stage T]], 0)</f>
        <v>0.75</v>
      </c>
      <c r="N93" s="19" t="str" cm="1">
        <f t="array" ref="N93">Common_InputFunctions.Utility_DisplayArrayInTable(SourceData_Feedlot.SourceData_Feedlot_MCF_Data(), Table_SourceData_Feedlot_MCF[[#Headers],[Treatment stage T]], 0)</f>
        <v>Anaerobic lagoon</v>
      </c>
    </row>
    <row r="94" spans="1:14" ht="20.100000000000001" customHeight="1" x14ac:dyDescent="0.2">
      <c r="M94" s="8"/>
    </row>
    <row r="95" spans="1:14" ht="20.100000000000001" customHeight="1" x14ac:dyDescent="0.2">
      <c r="M95" s="8"/>
    </row>
    <row r="96" spans="1:14" ht="20.100000000000001" customHeight="1" x14ac:dyDescent="0.2">
      <c r="A96" s="79" t="str">
        <f>HYPERLINK("#A1", "▲ Back to top")</f>
        <v>▲ Back to top</v>
      </c>
      <c r="D96" s="2" t="str" cm="1">
        <f t="array" ref="D96">SourceData_Feedlot.SourceData_Feedlot_NitrousOxideEFs_Title()</f>
        <v>Feedlot - Nitrous oxide EFs</v>
      </c>
      <c r="M96" s="8"/>
    </row>
    <row r="97" spans="4:14" ht="20.100000000000001" customHeight="1" x14ac:dyDescent="0.2">
      <c r="D97" s="17" t="str" cm="1">
        <f t="array" ref="D97">SourceData_Feedlot.SourceData_Feedlot_NitrousOxideEFs_Source()</f>
        <v>VEERG 2026: Table A.1.1.5: Beef feedlot cattle - Nitrous oxide EFs (EFmT)</v>
      </c>
      <c r="M97" s="8"/>
    </row>
    <row r="98" spans="4:14" ht="20.100000000000001" customHeight="1" x14ac:dyDescent="0.2">
      <c r="D98" s="25" t="str" cm="1">
        <f t="array" ref="D98:D99">SourceData_Feedlot.SourceData_Feedlot_NitrousOxideEFs_Variation()</f>
        <v>VARIATION ON SOURCE:</v>
      </c>
      <c r="M98" s="8"/>
    </row>
    <row r="99" spans="4:14" ht="20.100000000000001" customHeight="1" x14ac:dyDescent="0.2">
      <c r="D99" s="25" t="str">
        <v>Added 'NIR definition' column with MMS names that match NIR definitions.</v>
      </c>
      <c r="M99" s="8"/>
    </row>
    <row r="100" spans="4:14" ht="20.100000000000001" customHeight="1" x14ac:dyDescent="0.2">
      <c r="D100" s="19" t="s">
        <v>495</v>
      </c>
      <c r="E100" s="19" t="s">
        <v>496</v>
      </c>
      <c r="F100" s="19" t="s">
        <v>506</v>
      </c>
      <c r="G100" s="19" t="s">
        <v>505</v>
      </c>
      <c r="M100" s="1"/>
      <c r="N100" s="8"/>
    </row>
    <row r="101" spans="4:14" ht="20.100000000000001" customHeight="1" x14ac:dyDescent="0.2">
      <c r="D101" s="19" t="str" cm="1">
        <f t="array" ref="D101">Common_InputFunctions.Utility_DisplayArrayInTable(SourceData_Feedlot.SourceData_Feedlot_NitrousOxideEFs_Data(), Table_SourceData_Feedlot_NO2EFs[[#Headers],[Treatment stage T]], 0)</f>
        <v>Primary</v>
      </c>
      <c r="E101" s="19" t="str" cm="1">
        <f t="array" ref="E101">Common_InputFunctions.Utility_DisplayArrayInTable(SourceData_Feedlot.SourceData_Feedlot_NitrousOxideEFs_Data(), Table_SourceData_Feedlot_NO2EFs[[#Headers],[Treatment stage T]], 0)</f>
        <v>Dry lot (Feedpad)</v>
      </c>
      <c r="F101" s="19" cm="1">
        <f t="array" ref="F101">Common_InputFunctions.Utility_DisplayArrayInTable(SourceData_Feedlot.SourceData_Feedlot_NitrousOxideEFs_Data(), Table_SourceData_Feedlot_NO2EFs[[#Headers],[Treatment stage T]], 0)</f>
        <v>5.4000000000000003E-3</v>
      </c>
      <c r="G101" s="19" t="str" cm="1">
        <f t="array" ref="G101">Common_InputFunctions.Utility_DisplayArrayInTable(SourceData_Feedlot.SourceData_Feedlot_NitrousOxideEFs_Data(), Table_SourceData_Feedlot_NO2EFs[[#Headers],[Treatment stage T]], 0)</f>
        <v>Drylot (feed pad)</v>
      </c>
      <c r="M101" s="1"/>
      <c r="N101" s="8"/>
    </row>
    <row r="102" spans="4:14" ht="20.100000000000001" customHeight="1" x14ac:dyDescent="0.2">
      <c r="D102" s="1" t="str" cm="1">
        <f t="array" ref="D102">Common_InputFunctions.Utility_DisplayArrayInTable(SourceData_Feedlot.SourceData_Feedlot_NitrousOxideEFs_Data(), Table_SourceData_Feedlot_NO2EFs[[#Headers],[Treatment stage T]], 0)</f>
        <v>Secondary</v>
      </c>
      <c r="E102" s="19" t="str" cm="1">
        <f t="array" ref="E102">Common_InputFunctions.Utility_DisplayArrayInTable(SourceData_Feedlot.SourceData_Feedlot_NitrousOxideEFs_Data(), Table_SourceData_Feedlot_NO2EFs[[#Headers],[Treatment stage T]], 0)</f>
        <v>Solid Storage (Stockpile)</v>
      </c>
      <c r="F102" s="19" cm="1">
        <f t="array" ref="F102">Common_InputFunctions.Utility_DisplayArrayInTable(SourceData_Feedlot.SourceData_Feedlot_NitrousOxideEFs_Data(), Table_SourceData_Feedlot_NO2EFs[[#Headers],[Treatment stage T]], 0)</f>
        <v>5.0000000000000001E-3</v>
      </c>
      <c r="G102" s="19" t="str" cm="1">
        <f t="array" ref="G102">Common_InputFunctions.Utility_DisplayArrayInTable(SourceData_Feedlot.SourceData_Feedlot_NitrousOxideEFs_Data(), Table_SourceData_Feedlot_NO2EFs[[#Headers],[Treatment stage T]], 0)</f>
        <v>Solid storage</v>
      </c>
      <c r="M102" s="1"/>
      <c r="N102" s="8"/>
    </row>
    <row r="103" spans="4:14" ht="20.100000000000001" customHeight="1" x14ac:dyDescent="0.2">
      <c r="D103" s="1" t="str" cm="1">
        <f t="array" ref="D103">Common_InputFunctions.Utility_DisplayArrayInTable(SourceData_Feedlot.SourceData_Feedlot_NitrousOxideEFs_Data(), Table_SourceData_Feedlot_NO2EFs[[#Headers],[Treatment stage T]], 0)</f>
        <v>Secondary</v>
      </c>
      <c r="E103" s="19" t="str" cm="1">
        <f t="array" ref="E103">Common_InputFunctions.Utility_DisplayArrayInTable(SourceData_Feedlot.SourceData_Feedlot_NitrousOxideEFs_Data(), Table_SourceData_Feedlot_NO2EFs[[#Headers],[Treatment stage T]], 0)</f>
        <v>Composting (Passive Windrow)</v>
      </c>
      <c r="F103" s="19" cm="1">
        <f t="array" ref="F103">Common_InputFunctions.Utility_DisplayArrayInTable(SourceData_Feedlot.SourceData_Feedlot_NitrousOxideEFs_Data(), Table_SourceData_Feedlot_NO2EFs[[#Headers],[Treatment stage T]], 0)</f>
        <v>0.01</v>
      </c>
      <c r="G103" s="19" t="str" cm="1">
        <f t="array" ref="G103">Common_InputFunctions.Utility_DisplayArrayInTable(SourceData_Feedlot.SourceData_Feedlot_NitrousOxideEFs_Data(), Table_SourceData_Feedlot_NO2EFs[[#Headers],[Treatment stage T]], 0)</f>
        <v>Composting (passive windrow)</v>
      </c>
      <c r="M103" s="8"/>
    </row>
    <row r="104" spans="4:14" ht="20.100000000000001" customHeight="1" x14ac:dyDescent="0.2">
      <c r="D104" s="1" t="str" cm="1">
        <f t="array" ref="D104">Common_InputFunctions.Utility_DisplayArrayInTable(SourceData_Feedlot.SourceData_Feedlot_NitrousOxideEFs_Data(), Table_SourceData_Feedlot_NO2EFs[[#Headers],[Treatment stage T]], 0)</f>
        <v>Secondary</v>
      </c>
      <c r="E104" s="19" t="str" cm="1">
        <f t="array" ref="E104">Common_InputFunctions.Utility_DisplayArrayInTable(SourceData_Feedlot.SourceData_Feedlot_NitrousOxideEFs_Data(), Table_SourceData_Feedlot_NO2EFs[[#Headers],[Treatment stage T]], 0)</f>
        <v>Direct Application to soil</v>
      </c>
      <c r="F104" s="19" cm="1">
        <f t="array" ref="F104">Common_InputFunctions.Utility_DisplayArrayInTable(SourceData_Feedlot.SourceData_Feedlot_NitrousOxideEFs_Data(), Table_SourceData_Feedlot_NO2EFs[[#Headers],[Treatment stage T]], 0)</f>
        <v>0</v>
      </c>
      <c r="G104" s="19" t="str" cm="1">
        <f t="array" ref="G104">Common_InputFunctions.Utility_DisplayArrayInTable(SourceData_Feedlot.SourceData_Feedlot_NitrousOxideEFs_Data(), Table_SourceData_Feedlot_NO2EFs[[#Headers],[Treatment stage T]], 0)</f>
        <v>Direct application</v>
      </c>
      <c r="M104" s="8"/>
    </row>
    <row r="105" spans="4:14" ht="20.100000000000001" customHeight="1" x14ac:dyDescent="0.2">
      <c r="D105" s="1" t="str" cm="1">
        <f t="array" ref="D105">Common_InputFunctions.Utility_DisplayArrayInTable(SourceData_Feedlot.SourceData_Feedlot_NitrousOxideEFs_Data(), Table_SourceData_Feedlot_NO2EFs[[#Headers],[Treatment stage T]], 0)</f>
        <v>Tertiary</v>
      </c>
      <c r="E105" s="19" t="str" cm="1">
        <f t="array" ref="E105">Common_InputFunctions.Utility_DisplayArrayInTable(SourceData_Feedlot.SourceData_Feedlot_NitrousOxideEFs_Data(), Table_SourceData_Feedlot_NO2EFs[[#Headers],[Treatment stage T]], 0)</f>
        <v>Uncovered anaerobic lagoon (Effluent Pond)</v>
      </c>
      <c r="F105" s="19" cm="1">
        <f t="array" ref="F105">Common_InputFunctions.Utility_DisplayArrayInTable(SourceData_Feedlot.SourceData_Feedlot_NitrousOxideEFs_Data(), Table_SourceData_Feedlot_NO2EFs[[#Headers],[Treatment stage T]], 0)</f>
        <v>0</v>
      </c>
      <c r="G105" s="19" t="str" cm="1">
        <f t="array" ref="G105">Common_InputFunctions.Utility_DisplayArrayInTable(SourceData_Feedlot.SourceData_Feedlot_NitrousOxideEFs_Data(), Table_SourceData_Feedlot_NO2EFs[[#Headers],[Treatment stage T]], 0)</f>
        <v>Anaerobic lagoon</v>
      </c>
      <c r="M105" s="8"/>
    </row>
    <row r="106" spans="4:14" ht="20.100000000000001" customHeight="1" x14ac:dyDescent="0.2">
      <c r="M106" s="8"/>
    </row>
    <row r="107" spans="4:14" ht="20.100000000000001" customHeight="1" x14ac:dyDescent="0.2">
      <c r="M107" s="8"/>
    </row>
    <row r="108" spans="4:14" ht="20.100000000000001" customHeight="1" x14ac:dyDescent="0.2">
      <c r="D108" s="2" t="str" cm="1">
        <f t="array" ref="D108">SourceData_Feedlot.SourceData_Feedlot_FracNVolatilised_Title()</f>
        <v>Feedlot - Fraction of N volatilised by MMS (FracGASMmT)</v>
      </c>
      <c r="M108" s="8"/>
    </row>
    <row r="109" spans="4:14" ht="20.100000000000001" customHeight="1" x14ac:dyDescent="0.2">
      <c r="D109" s="17" t="str" cm="1">
        <f t="array" ref="D109">SourceData_Feedlot.SourceData_Feedlot_FracNVolatilised_Source()</f>
        <v>VEERG 2026: Table A.1.1.6: Beef feedlot cattle - Fraction of N volatilised by MMS (FracGASMmT)</v>
      </c>
      <c r="M109" s="8"/>
    </row>
    <row r="110" spans="4:14" ht="20.100000000000001" customHeight="1" x14ac:dyDescent="0.2">
      <c r="D110" s="25" t="str" cm="1">
        <f t="array" ref="D110:D111">SourceData_Feedlot.SourceData_Feedlot_FracNVolatilised_Variation()</f>
        <v>VARIATION ON SOURCE:</v>
      </c>
      <c r="M110" s="8"/>
    </row>
    <row r="111" spans="4:14" ht="20.100000000000001" customHeight="1" x14ac:dyDescent="0.2">
      <c r="D111" s="25" t="str">
        <v>Added 'NIR definition' column with MMS names that match NIR definitions.</v>
      </c>
      <c r="M111" s="8"/>
    </row>
    <row r="112" spans="4:14" ht="20.100000000000001" customHeight="1" x14ac:dyDescent="0.2">
      <c r="D112" s="135" t="s">
        <v>495</v>
      </c>
      <c r="E112" s="135" t="s">
        <v>496</v>
      </c>
      <c r="F112" s="135" t="s">
        <v>507</v>
      </c>
      <c r="G112" s="135" t="s">
        <v>505</v>
      </c>
      <c r="M112" s="8"/>
    </row>
    <row r="113" spans="4:22" ht="20.100000000000001" customHeight="1" x14ac:dyDescent="0.2">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8"/>
    </row>
    <row r="114" spans="4:22" ht="20.100000000000001" customHeight="1" x14ac:dyDescent="0.2">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8"/>
    </row>
    <row r="115" spans="4:22" ht="20.100000000000001" customHeight="1" x14ac:dyDescent="0.2">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8"/>
      <c r="V115" s="1"/>
    </row>
    <row r="116" spans="4:22" ht="20.100000000000001" customHeight="1" x14ac:dyDescent="0.2">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8"/>
      <c r="V116" s="1"/>
    </row>
    <row r="117" spans="4:22" ht="20.100000000000001" customHeight="1" x14ac:dyDescent="0.2">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8"/>
      <c r="V117" s="1"/>
    </row>
    <row r="118" spans="4:22" ht="20.100000000000001" customHeight="1" x14ac:dyDescent="0.2">
      <c r="M118" s="8"/>
    </row>
    <row r="119" spans="4:22" ht="20.100000000000001" customHeight="1" x14ac:dyDescent="0.2">
      <c r="M119" s="8"/>
    </row>
    <row r="120" spans="4:22" ht="20.100000000000001" customHeight="1" x14ac:dyDescent="0.2">
      <c r="M120" s="8"/>
    </row>
    <row r="121" spans="4:22" ht="20.100000000000001" customHeight="1" x14ac:dyDescent="0.2">
      <c r="M121" s="8"/>
    </row>
    <row r="122" spans="4:22" ht="20.100000000000001" customHeight="1" x14ac:dyDescent="0.2">
      <c r="M122" s="8"/>
    </row>
    <row r="123" spans="4:22" ht="20.100000000000001" customHeight="1" x14ac:dyDescent="0.2">
      <c r="M123" s="8"/>
    </row>
    <row r="124" spans="4:22" ht="20.100000000000001" customHeight="1" x14ac:dyDescent="0.2">
      <c r="M124" s="8"/>
    </row>
    <row r="125" spans="4:22" ht="20.100000000000001" customHeight="1" x14ac:dyDescent="0.2">
      <c r="M125" s="8"/>
    </row>
    <row r="126" spans="4:22" ht="20.100000000000001" customHeight="1" x14ac:dyDescent="0.2">
      <c r="M126" s="8"/>
    </row>
    <row r="127" spans="4:22" ht="20.100000000000001" customHeight="1" x14ac:dyDescent="0.2">
      <c r="M127" s="8"/>
    </row>
    <row r="128" spans="4:22" ht="20.100000000000001" customHeight="1" x14ac:dyDescent="0.2">
      <c r="M128" s="8"/>
    </row>
    <row r="129" spans="13:13" ht="20.100000000000001" customHeight="1" x14ac:dyDescent="0.2">
      <c r="M129" s="8"/>
    </row>
    <row r="130" spans="13:13" ht="20.100000000000001" customHeight="1" x14ac:dyDescent="0.2">
      <c r="M130" s="8"/>
    </row>
    <row r="131" spans="13:13" ht="20.100000000000001" customHeight="1" x14ac:dyDescent="0.2">
      <c r="M131" s="8"/>
    </row>
    <row r="132" spans="13:13" ht="20.100000000000001" customHeight="1" x14ac:dyDescent="0.2">
      <c r="M132" s="8"/>
    </row>
    <row r="133" spans="13:13" ht="20.100000000000001" customHeight="1" x14ac:dyDescent="0.2">
      <c r="M133" s="8"/>
    </row>
    <row r="134" spans="13:13" ht="20.100000000000001" customHeight="1" x14ac:dyDescent="0.2">
      <c r="M134" s="8"/>
    </row>
    <row r="135" spans="13:13" ht="20.100000000000001" customHeight="1" x14ac:dyDescent="0.2">
      <c r="M135" s="8"/>
    </row>
    <row r="136" spans="13:13" ht="20.100000000000001" customHeight="1" x14ac:dyDescent="0.2">
      <c r="M136" s="8"/>
    </row>
    <row r="137" spans="13:13" ht="20.100000000000001" customHeight="1" x14ac:dyDescent="0.2">
      <c r="M137" s="8"/>
    </row>
    <row r="138" spans="13:13" ht="20.100000000000001" customHeight="1" x14ac:dyDescent="0.2">
      <c r="M138" s="8"/>
    </row>
    <row r="139" spans="13:13" ht="20.100000000000001" customHeight="1" x14ac:dyDescent="0.2">
      <c r="M139" s="8"/>
    </row>
    <row r="140" spans="13:13" ht="20.100000000000001" customHeight="1" x14ac:dyDescent="0.2">
      <c r="M140" s="8"/>
    </row>
    <row r="141" spans="13:13" ht="20.100000000000001" customHeight="1" x14ac:dyDescent="0.2">
      <c r="M141" s="8"/>
    </row>
    <row r="142" spans="13:13" ht="20.100000000000001" customHeight="1" x14ac:dyDescent="0.2">
      <c r="M142" s="8"/>
    </row>
    <row r="143" spans="13:13" ht="20.100000000000001" customHeight="1" x14ac:dyDescent="0.2">
      <c r="M143" s="8"/>
    </row>
    <row r="144" spans="13:13" ht="20.100000000000001" customHeight="1" x14ac:dyDescent="0.2">
      <c r="M144" s="8"/>
    </row>
    <row r="145" spans="13:13" ht="20.100000000000001" customHeight="1" x14ac:dyDescent="0.2">
      <c r="M145" s="8"/>
    </row>
    <row r="146" spans="13:13" ht="20.100000000000001" customHeight="1" x14ac:dyDescent="0.2">
      <c r="M146" s="8"/>
    </row>
    <row r="147" spans="13:13" ht="20.100000000000001" customHeight="1" x14ac:dyDescent="0.2">
      <c r="M147" s="8"/>
    </row>
    <row r="148" spans="13:13" ht="20.100000000000001" customHeight="1" x14ac:dyDescent="0.2">
      <c r="M148" s="8"/>
    </row>
    <row r="149" spans="13:13" ht="20.100000000000001" customHeight="1" x14ac:dyDescent="0.2">
      <c r="M149" s="8"/>
    </row>
    <row r="150" spans="13:13" ht="20.100000000000001" customHeight="1" x14ac:dyDescent="0.2">
      <c r="M150" s="8"/>
    </row>
    <row r="151" spans="13:13" ht="20.100000000000001" customHeight="1" x14ac:dyDescent="0.2">
      <c r="M151" s="8"/>
    </row>
    <row r="152" spans="13:13" ht="20.100000000000001" customHeight="1" x14ac:dyDescent="0.2">
      <c r="M152" s="8"/>
    </row>
    <row r="153" spans="13:13" ht="20.100000000000001" customHeight="1" x14ac:dyDescent="0.2">
      <c r="M153" s="8"/>
    </row>
    <row r="154" spans="13:13" ht="20.100000000000001" customHeight="1" x14ac:dyDescent="0.2">
      <c r="M154" s="8"/>
    </row>
    <row r="155" spans="13:13" ht="20.100000000000001" customHeight="1" x14ac:dyDescent="0.2">
      <c r="M155" s="8"/>
    </row>
    <row r="156" spans="13:13" ht="20.100000000000001" customHeight="1" x14ac:dyDescent="0.2">
      <c r="M156" s="8"/>
    </row>
    <row r="157" spans="13:13" ht="20.100000000000001" customHeight="1" x14ac:dyDescent="0.2">
      <c r="M157" s="8"/>
    </row>
    <row r="158" spans="13:13" ht="20.100000000000001" customHeight="1" x14ac:dyDescent="0.2">
      <c r="M158" s="8"/>
    </row>
    <row r="159" spans="13:13" ht="20.100000000000001" customHeight="1" x14ac:dyDescent="0.2">
      <c r="M159" s="8"/>
    </row>
    <row r="160" spans="13:13" ht="20.100000000000001" customHeight="1" x14ac:dyDescent="0.2">
      <c r="M160" s="8"/>
    </row>
    <row r="161" spans="13:13" ht="20.100000000000001" customHeight="1" x14ac:dyDescent="0.2">
      <c r="M161" s="8"/>
    </row>
    <row r="162" spans="13:13" ht="20.100000000000001" customHeight="1" x14ac:dyDescent="0.2">
      <c r="M162" s="8"/>
    </row>
    <row r="163" spans="13:13" ht="20.100000000000001" customHeight="1" x14ac:dyDescent="0.2">
      <c r="M163" s="8"/>
    </row>
    <row r="164" spans="13:13" ht="20.100000000000001" customHeight="1" x14ac:dyDescent="0.2">
      <c r="M164" s="8"/>
    </row>
    <row r="165" spans="13:13" ht="20.100000000000001" customHeight="1" x14ac:dyDescent="0.2">
      <c r="M165" s="8"/>
    </row>
    <row r="166" spans="13:13" ht="20.100000000000001" customHeight="1" x14ac:dyDescent="0.2">
      <c r="M166" s="8"/>
    </row>
    <row r="167" spans="13:13" ht="20.100000000000001" customHeight="1" x14ac:dyDescent="0.2">
      <c r="M167" s="8"/>
    </row>
    <row r="168" spans="13:13" ht="20.100000000000001" customHeight="1" x14ac:dyDescent="0.2">
      <c r="M168" s="8"/>
    </row>
    <row r="169" spans="13:13" ht="20.100000000000001" customHeight="1" x14ac:dyDescent="0.2">
      <c r="M169" s="8"/>
    </row>
    <row r="170" spans="13:13" ht="20.100000000000001" customHeight="1" x14ac:dyDescent="0.2">
      <c r="M170" s="8"/>
    </row>
    <row r="171" spans="13:13" ht="20.100000000000001" customHeight="1" x14ac:dyDescent="0.2">
      <c r="M171" s="8"/>
    </row>
    <row r="172" spans="13:13" ht="20.100000000000001" customHeight="1" x14ac:dyDescent="0.2">
      <c r="M172" s="8"/>
    </row>
    <row r="173" spans="13:13" ht="20.100000000000001" customHeight="1" x14ac:dyDescent="0.2">
      <c r="M173" s="8"/>
    </row>
    <row r="174" spans="13:13" ht="20.100000000000001" customHeight="1" x14ac:dyDescent="0.2">
      <c r="M174" s="8"/>
    </row>
    <row r="175" spans="13:13" ht="20.100000000000001" customHeight="1" x14ac:dyDescent="0.2">
      <c r="M175" s="8"/>
    </row>
    <row r="176" spans="13:13" ht="20.100000000000001" customHeight="1" x14ac:dyDescent="0.2">
      <c r="M176" s="8"/>
    </row>
    <row r="177" spans="13:13" ht="20.100000000000001" customHeight="1" x14ac:dyDescent="0.2">
      <c r="M177" s="8"/>
    </row>
    <row r="178" spans="13:13" ht="20.100000000000001" customHeight="1" x14ac:dyDescent="0.2">
      <c r="M178" s="8"/>
    </row>
    <row r="179" spans="13:13" ht="20.100000000000001" customHeight="1" x14ac:dyDescent="0.2">
      <c r="M179" s="8"/>
    </row>
    <row r="180" spans="13:13" ht="20.100000000000001" customHeight="1" x14ac:dyDescent="0.2">
      <c r="M180" s="8"/>
    </row>
    <row r="181" spans="13:13" ht="20.100000000000001" customHeight="1" x14ac:dyDescent="0.2">
      <c r="M181" s="8"/>
    </row>
    <row r="182" spans="13:13" ht="20.100000000000001" customHeight="1" x14ac:dyDescent="0.2">
      <c r="M182" s="8"/>
    </row>
    <row r="183" spans="13:13" ht="20.100000000000001" customHeight="1" x14ac:dyDescent="0.2">
      <c r="M183" s="8"/>
    </row>
    <row r="184" spans="13:13" ht="20.100000000000001" customHeight="1" x14ac:dyDescent="0.2">
      <c r="M184" s="8"/>
    </row>
    <row r="185" spans="13:13" ht="20.100000000000001" customHeight="1" x14ac:dyDescent="0.2">
      <c r="M185" s="8"/>
    </row>
    <row r="186" spans="13:13" ht="20.100000000000001" customHeight="1" x14ac:dyDescent="0.2">
      <c r="M186" s="8"/>
    </row>
    <row r="187" spans="13:13" ht="20.100000000000001" customHeight="1" x14ac:dyDescent="0.2">
      <c r="M187" s="8"/>
    </row>
    <row r="188" spans="13:13" ht="20.100000000000001" customHeight="1" x14ac:dyDescent="0.2">
      <c r="M188" s="8"/>
    </row>
    <row r="189" spans="13:13" ht="20.100000000000001" customHeight="1" x14ac:dyDescent="0.2">
      <c r="M189" s="8"/>
    </row>
    <row r="190" spans="13:13" ht="20.100000000000001" customHeight="1" x14ac:dyDescent="0.2">
      <c r="M190" s="8"/>
    </row>
    <row r="191" spans="13:13" ht="20.100000000000001" customHeight="1" x14ac:dyDescent="0.2">
      <c r="M191" s="8"/>
    </row>
    <row r="192" spans="13:13" ht="20.100000000000001" customHeight="1" x14ac:dyDescent="0.2">
      <c r="M192" s="8"/>
    </row>
    <row r="193" spans="13:13" ht="20.100000000000001" customHeight="1" x14ac:dyDescent="0.2">
      <c r="M193" s="8"/>
    </row>
    <row r="194" spans="13:13" ht="20.100000000000001" customHeight="1" x14ac:dyDescent="0.2">
      <c r="M194" s="8"/>
    </row>
    <row r="195" spans="13:13" ht="20.100000000000001" customHeight="1" x14ac:dyDescent="0.2">
      <c r="M195" s="8"/>
    </row>
    <row r="196" spans="13:13" ht="20.100000000000001" customHeight="1" x14ac:dyDescent="0.2">
      <c r="M196" s="8"/>
    </row>
    <row r="197" spans="13:13" ht="20.100000000000001" customHeight="1" x14ac:dyDescent="0.2">
      <c r="M197" s="8"/>
    </row>
    <row r="198" spans="13:13" ht="20.100000000000001" customHeight="1" x14ac:dyDescent="0.2">
      <c r="M198" s="8"/>
    </row>
    <row r="199" spans="13:13" ht="20.100000000000001" customHeight="1" x14ac:dyDescent="0.2">
      <c r="M199" s="8"/>
    </row>
    <row r="200" spans="13:13" ht="20.100000000000001" customHeight="1" x14ac:dyDescent="0.2">
      <c r="M200" s="8"/>
    </row>
    <row r="201" spans="13:13" ht="20.100000000000001" customHeight="1" x14ac:dyDescent="0.2">
      <c r="M201" s="8"/>
    </row>
    <row r="202" spans="13:13" ht="20.100000000000001" customHeight="1" x14ac:dyDescent="0.2">
      <c r="M202" s="8"/>
    </row>
    <row r="203" spans="13:13" ht="20.100000000000001" customHeight="1" x14ac:dyDescent="0.2">
      <c r="M203" s="8"/>
    </row>
    <row r="204" spans="13:13" ht="20.100000000000001" customHeight="1" x14ac:dyDescent="0.2">
      <c r="M204" s="8"/>
    </row>
    <row r="205" spans="13:13" ht="20.100000000000001" customHeight="1" x14ac:dyDescent="0.2">
      <c r="M205" s="8"/>
    </row>
    <row r="206" spans="13:13" ht="20.100000000000001" customHeight="1" x14ac:dyDescent="0.2">
      <c r="M206" s="8"/>
    </row>
    <row r="207" spans="13:13" ht="20.100000000000001" customHeight="1" x14ac:dyDescent="0.2">
      <c r="M207" s="8"/>
    </row>
    <row r="208" spans="13:13" ht="20.100000000000001" customHeight="1" x14ac:dyDescent="0.2">
      <c r="M208" s="8"/>
    </row>
    <row r="209" spans="13:13" ht="20.100000000000001" customHeight="1" x14ac:dyDescent="0.2">
      <c r="M209" s="8"/>
    </row>
    <row r="210" spans="13:13" ht="20.100000000000001" customHeight="1" x14ac:dyDescent="0.2">
      <c r="M210" s="8"/>
    </row>
    <row r="211" spans="13:13" ht="20.100000000000001" customHeight="1" x14ac:dyDescent="0.2">
      <c r="M211" s="8"/>
    </row>
    <row r="212" spans="13:13" ht="20.100000000000001" customHeight="1" x14ac:dyDescent="0.2">
      <c r="M212" s="8"/>
    </row>
    <row r="213" spans="13:13" ht="20.100000000000001" customHeight="1" x14ac:dyDescent="0.2">
      <c r="M213" s="8"/>
    </row>
    <row r="214" spans="13:13" ht="20.100000000000001" customHeight="1" x14ac:dyDescent="0.2">
      <c r="M214" s="8"/>
    </row>
    <row r="215" spans="13:13" ht="20.100000000000001" customHeight="1" x14ac:dyDescent="0.2">
      <c r="M215" s="8"/>
    </row>
    <row r="216" spans="13:13" ht="20.100000000000001" customHeight="1" x14ac:dyDescent="0.2">
      <c r="M216" s="8"/>
    </row>
    <row r="217" spans="13:13" ht="20.100000000000001" customHeight="1" x14ac:dyDescent="0.2">
      <c r="M217" s="8"/>
    </row>
    <row r="218" spans="13:13" ht="20.100000000000001" customHeight="1" x14ac:dyDescent="0.2">
      <c r="M218" s="8"/>
    </row>
    <row r="219" spans="13:13" ht="20.100000000000001" customHeight="1" x14ac:dyDescent="0.2">
      <c r="M219" s="8"/>
    </row>
    <row r="220" spans="13:13" ht="20.100000000000001" customHeight="1" x14ac:dyDescent="0.2">
      <c r="M220" s="8"/>
    </row>
    <row r="221" spans="13:13" ht="20.100000000000001" customHeight="1" x14ac:dyDescent="0.2">
      <c r="M221" s="8"/>
    </row>
    <row r="222" spans="13:13" ht="20.100000000000001" customHeight="1" x14ac:dyDescent="0.2">
      <c r="M222" s="8"/>
    </row>
    <row r="223" spans="13:13" ht="20.100000000000001" customHeight="1" x14ac:dyDescent="0.2">
      <c r="M223" s="8"/>
    </row>
    <row r="224" spans="13:13" ht="20.100000000000001" customHeight="1" x14ac:dyDescent="0.2">
      <c r="M224" s="8"/>
    </row>
    <row r="225" spans="13:13" ht="20.100000000000001" customHeight="1" x14ac:dyDescent="0.2">
      <c r="M225" s="8"/>
    </row>
    <row r="226" spans="13:13" ht="20.100000000000001" customHeight="1" x14ac:dyDescent="0.2">
      <c r="M226" s="8"/>
    </row>
    <row r="227" spans="13:13" ht="20.100000000000001" customHeight="1" x14ac:dyDescent="0.2">
      <c r="M227" s="8"/>
    </row>
    <row r="228" spans="13:13" ht="20.100000000000001" customHeight="1" x14ac:dyDescent="0.2">
      <c r="M228" s="8"/>
    </row>
    <row r="229" spans="13:13" ht="20.100000000000001" customHeight="1" x14ac:dyDescent="0.2">
      <c r="M229" s="8"/>
    </row>
    <row r="230" spans="13:13" ht="20.100000000000001" customHeight="1" x14ac:dyDescent="0.2">
      <c r="M230" s="8"/>
    </row>
    <row r="231" spans="13:13" ht="20.100000000000001" customHeight="1" x14ac:dyDescent="0.2">
      <c r="M231" s="8"/>
    </row>
    <row r="232" spans="13:13" ht="20.100000000000001" customHeight="1" x14ac:dyDescent="0.2">
      <c r="M232" s="8"/>
    </row>
    <row r="233" spans="13:13" ht="20.100000000000001" customHeight="1" x14ac:dyDescent="0.2">
      <c r="M233" s="8"/>
    </row>
    <row r="234" spans="13:13" ht="20.100000000000001" customHeight="1" x14ac:dyDescent="0.2">
      <c r="M234" s="8"/>
    </row>
    <row r="235" spans="13:13" ht="20.100000000000001" customHeight="1" x14ac:dyDescent="0.2">
      <c r="M235" s="8"/>
    </row>
    <row r="236" spans="13:13" ht="20.100000000000001" customHeight="1" x14ac:dyDescent="0.2">
      <c r="M236" s="8"/>
    </row>
    <row r="237" spans="13:13" ht="20.100000000000001" customHeight="1" x14ac:dyDescent="0.2">
      <c r="M237" s="8"/>
    </row>
    <row r="238" spans="13:13" ht="20.100000000000001" customHeight="1" x14ac:dyDescent="0.2">
      <c r="M238" s="8"/>
    </row>
    <row r="239" spans="13:13" ht="20.100000000000001" customHeight="1" x14ac:dyDescent="0.2">
      <c r="M239" s="8"/>
    </row>
    <row r="240" spans="13:13" ht="20.100000000000001" customHeight="1" x14ac:dyDescent="0.2">
      <c r="M240" s="8"/>
    </row>
    <row r="241" spans="13:13" ht="20.100000000000001" customHeight="1" x14ac:dyDescent="0.2">
      <c r="M241" s="8"/>
    </row>
    <row r="242" spans="13:13" ht="20.100000000000001" customHeight="1" x14ac:dyDescent="0.2">
      <c r="M242" s="8"/>
    </row>
    <row r="243" spans="13:13" ht="20.100000000000001" customHeight="1" x14ac:dyDescent="0.2">
      <c r="M243" s="8"/>
    </row>
    <row r="244" spans="13:13" ht="20.100000000000001" customHeight="1" x14ac:dyDescent="0.2">
      <c r="M244" s="8"/>
    </row>
    <row r="245" spans="13:13" ht="20.100000000000001" customHeight="1" x14ac:dyDescent="0.2">
      <c r="M245" s="8"/>
    </row>
    <row r="246" spans="13:13" ht="20.100000000000001" customHeight="1" x14ac:dyDescent="0.2">
      <c r="M246" s="8"/>
    </row>
    <row r="247" spans="13:13" ht="20.100000000000001" customHeight="1" x14ac:dyDescent="0.2">
      <c r="M247" s="8"/>
    </row>
    <row r="248" spans="13:13" ht="20.100000000000001" customHeight="1" x14ac:dyDescent="0.2">
      <c r="M248" s="8"/>
    </row>
    <row r="249" spans="13:13" ht="20.100000000000001" customHeight="1" x14ac:dyDescent="0.2">
      <c r="M249" s="8"/>
    </row>
    <row r="250" spans="13:13" ht="20.100000000000001" customHeight="1" x14ac:dyDescent="0.2">
      <c r="M250" s="8"/>
    </row>
    <row r="251" spans="13:13" ht="20.100000000000001" customHeight="1" x14ac:dyDescent="0.2">
      <c r="M251" s="8"/>
    </row>
    <row r="252" spans="13:13" ht="20.100000000000001" customHeight="1" x14ac:dyDescent="0.2">
      <c r="M252" s="8"/>
    </row>
    <row r="253" spans="13:13" ht="20.100000000000001" customHeight="1" x14ac:dyDescent="0.2">
      <c r="M253" s="8"/>
    </row>
    <row r="254" spans="13:13" ht="20.100000000000001" customHeight="1" x14ac:dyDescent="0.2">
      <c r="M254" s="8"/>
    </row>
    <row r="255" spans="13:13" ht="20.100000000000001" customHeight="1" x14ac:dyDescent="0.2">
      <c r="M255" s="8"/>
    </row>
    <row r="256" spans="13:13" ht="20.100000000000001" customHeight="1" x14ac:dyDescent="0.2">
      <c r="M256" s="8"/>
    </row>
    <row r="257" spans="13:13" ht="20.100000000000001" customHeight="1" x14ac:dyDescent="0.2">
      <c r="M257" s="8"/>
    </row>
    <row r="258" spans="13:13" ht="20.100000000000001" customHeight="1" x14ac:dyDescent="0.2">
      <c r="M258" s="8"/>
    </row>
    <row r="259" spans="13:13" ht="20.100000000000001" customHeight="1" x14ac:dyDescent="0.2">
      <c r="M259" s="8"/>
    </row>
    <row r="260" spans="13:13" ht="20.100000000000001" customHeight="1" x14ac:dyDescent="0.2">
      <c r="M260" s="8"/>
    </row>
    <row r="261" spans="13:13" ht="20.100000000000001" customHeight="1" x14ac:dyDescent="0.2">
      <c r="M261" s="8"/>
    </row>
    <row r="262" spans="13:13" ht="20.100000000000001" customHeight="1" x14ac:dyDescent="0.2">
      <c r="M262" s="8"/>
    </row>
    <row r="263" spans="13:13" ht="20.100000000000001" customHeight="1" x14ac:dyDescent="0.2">
      <c r="M263" s="8"/>
    </row>
    <row r="264" spans="13:13" ht="20.100000000000001" customHeight="1" x14ac:dyDescent="0.2">
      <c r="M264" s="8"/>
    </row>
    <row r="265" spans="13:13" ht="20.100000000000001" customHeight="1" x14ac:dyDescent="0.2">
      <c r="M265" s="8"/>
    </row>
    <row r="266" spans="13:13" ht="20.100000000000001" customHeight="1" x14ac:dyDescent="0.2">
      <c r="M266" s="8"/>
    </row>
    <row r="267" spans="13:13" ht="20.100000000000001" customHeight="1" x14ac:dyDescent="0.2">
      <c r="M267" s="8"/>
    </row>
    <row r="268" spans="13:13" ht="20.100000000000001" customHeight="1" x14ac:dyDescent="0.2">
      <c r="M268" s="8"/>
    </row>
    <row r="269" spans="13:13" ht="20.100000000000001" customHeight="1" x14ac:dyDescent="0.2">
      <c r="M269" s="8"/>
    </row>
    <row r="270" spans="13:13" ht="20.100000000000001" customHeight="1" x14ac:dyDescent="0.2">
      <c r="M270" s="8"/>
    </row>
    <row r="271" spans="13:13" ht="20.100000000000001" customHeight="1" x14ac:dyDescent="0.2">
      <c r="M271" s="8"/>
    </row>
    <row r="272" spans="13:13" ht="20.100000000000001" customHeight="1" x14ac:dyDescent="0.2">
      <c r="M272" s="8"/>
    </row>
    <row r="273" spans="13:13" ht="20.100000000000001" customHeight="1" x14ac:dyDescent="0.2">
      <c r="M273" s="8"/>
    </row>
    <row r="274" spans="13:13" ht="20.100000000000001" customHeight="1" x14ac:dyDescent="0.2">
      <c r="M274" s="8"/>
    </row>
    <row r="275" spans="13:13" ht="20.100000000000001" customHeight="1" x14ac:dyDescent="0.2">
      <c r="M275" s="8"/>
    </row>
    <row r="276" spans="13:13" ht="20.100000000000001" customHeight="1" x14ac:dyDescent="0.2">
      <c r="M276" s="8"/>
    </row>
    <row r="277" spans="13:13" ht="20.100000000000001" customHeight="1" x14ac:dyDescent="0.2">
      <c r="M277" s="8"/>
    </row>
    <row r="278" spans="13:13" ht="20.100000000000001" customHeight="1" x14ac:dyDescent="0.2">
      <c r="M278" s="8"/>
    </row>
    <row r="279" spans="13:13" ht="20.100000000000001" customHeight="1" x14ac:dyDescent="0.2">
      <c r="M279" s="8"/>
    </row>
    <row r="280" spans="13:13" ht="20.100000000000001" customHeight="1" x14ac:dyDescent="0.2">
      <c r="M280" s="8"/>
    </row>
    <row r="281" spans="13:13" ht="20.100000000000001" customHeight="1" x14ac:dyDescent="0.2">
      <c r="M281" s="8"/>
    </row>
    <row r="282" spans="13:13" ht="20.100000000000001" customHeight="1" x14ac:dyDescent="0.2">
      <c r="M282" s="8"/>
    </row>
    <row r="283" spans="13:13" ht="20.100000000000001" customHeight="1" x14ac:dyDescent="0.2">
      <c r="M283" s="8"/>
    </row>
    <row r="284" spans="13:13" ht="20.100000000000001" customHeight="1" x14ac:dyDescent="0.2">
      <c r="M284" s="8"/>
    </row>
    <row r="285" spans="13:13" ht="20.100000000000001" customHeight="1" x14ac:dyDescent="0.2">
      <c r="M285" s="8"/>
    </row>
    <row r="286" spans="13:13" ht="20.100000000000001" customHeight="1" x14ac:dyDescent="0.2">
      <c r="M286" s="8"/>
    </row>
    <row r="287" spans="13:13" ht="20.100000000000001" customHeight="1" x14ac:dyDescent="0.2">
      <c r="M287" s="8"/>
    </row>
    <row r="288" spans="13:13" ht="20.100000000000001" customHeight="1" x14ac:dyDescent="0.2">
      <c r="M288" s="8"/>
    </row>
  </sheetData>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B4E59-5593-4D55-BB13-89B87571A2CD}">
  <sheetPr>
    <tabColor theme="2" tint="-0.499984740745262"/>
  </sheetPr>
  <dimension ref="A1:M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0" t="s">
        <v>1184</v>
      </c>
      <c r="D1" s="20"/>
      <c r="E1" s="20"/>
      <c r="F1" s="20"/>
      <c r="G1" s="20"/>
      <c r="H1" s="20"/>
      <c r="I1" s="20"/>
      <c r="J1" s="20"/>
      <c r="K1" s="20"/>
      <c r="L1" s="20"/>
      <c r="M1" s="20"/>
    </row>
    <row r="2" spans="1:13" ht="20.100000000000001" customHeight="1" x14ac:dyDescent="0.2">
      <c r="C2" s="3"/>
      <c r="D2" s="3"/>
      <c r="E2" s="3"/>
      <c r="F2" s="3"/>
      <c r="G2" s="3"/>
      <c r="H2" s="3"/>
      <c r="I2" s="3"/>
      <c r="J2" s="3"/>
      <c r="K2" s="3"/>
      <c r="L2" s="3"/>
      <c r="M2" s="3"/>
    </row>
    <row r="3" spans="1:13" ht="20.100000000000001" customHeight="1" x14ac:dyDescent="0.2">
      <c r="A3" s="5" t="str">
        <f>HYPERLINK("#'Home'!A1", "Home")</f>
        <v>Home</v>
      </c>
      <c r="C3" s="22"/>
      <c r="D3" s="22"/>
      <c r="E3" s="22"/>
      <c r="F3" s="22"/>
      <c r="G3" s="22"/>
      <c r="H3" s="22"/>
      <c r="I3" s="22"/>
      <c r="J3" s="22"/>
      <c r="K3" s="22"/>
      <c r="L3" s="22"/>
      <c r="M3" s="22"/>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row>
    <row r="6" spans="1:13" ht="20.100000000000001" customHeight="1" x14ac:dyDescent="0.2">
      <c r="D6" s="2" t="str" cm="1">
        <f t="array" ref="D6">CommonLivestock_SourceData.SourceData_Livestock_Common_SymbolsMMS_Title()</f>
        <v>Table 5.12 Additional symbols used in algorithms for manure related emissions</v>
      </c>
      <c r="E6" s="24"/>
      <c r="F6" s="24"/>
      <c r="G6" s="24"/>
      <c r="H6" s="24"/>
    </row>
    <row r="7" spans="1:13" ht="20.100000000000001" customHeight="1" x14ac:dyDescent="0.2">
      <c r="D7" s="24" t="str" cm="1">
        <f t="array" ref="D7">CommonLivestock_SourceData.SourceData_Livestock_Common_SymbolsMMS_Vairable()</f>
        <v>MMS</v>
      </c>
      <c r="E7" s="24"/>
      <c r="F7" s="24"/>
      <c r="G7" s="24"/>
      <c r="H7" s="24"/>
    </row>
    <row r="8" spans="1:13" ht="20.100000000000001" customHeight="1" x14ac:dyDescent="0.2">
      <c r="A8" s="7" t="s">
        <v>0</v>
      </c>
      <c r="D8" s="17" t="str" cm="1">
        <f t="array" ref="D8">CommonLivestock_SourceData.SourceData_Livestock_Common_SymbolsMMS_Source()</f>
        <v>National Inventory Report 2023 Volume 1: Table 5.12</v>
      </c>
      <c r="E8" s="24"/>
      <c r="F8" s="24"/>
      <c r="G8" s="24"/>
      <c r="H8" s="24"/>
    </row>
    <row r="9" spans="1:13" ht="20.100000000000001" customHeight="1" x14ac:dyDescent="0.2">
      <c r="A9" s="5" t="str">
        <f>HYPERLINK("#'Input - Enterprise'!A1", "Enterprise")</f>
        <v>Enterprise</v>
      </c>
      <c r="D9" s="26" t="s">
        <v>1185</v>
      </c>
      <c r="E9" s="19" t="s">
        <v>1186</v>
      </c>
      <c r="F9" s="19" t="s">
        <v>479</v>
      </c>
      <c r="G9" s="24"/>
    </row>
    <row r="10" spans="1:13" ht="20.100000000000001" customHeight="1" x14ac:dyDescent="0.2">
      <c r="A10" s="5" t="str">
        <f>HYPERLINK("#'Input - Site'!A1", "Site")</f>
        <v>Site</v>
      </c>
      <c r="D10" s="26" t="str" cm="1">
        <f t="array" ref="D10">Common_InputFunctions.Utility_DisplayArrayInTable(CommonLivestock_SourceData.SourceData_Livestock_Common_SymbolsMMS_Data(), Table_Data_MMSSymbols[[#Headers],[Symbol]], 0)</f>
        <v>1</v>
      </c>
      <c r="E10" s="26" t="str" cm="1">
        <f t="array" ref="E10">Common_InputFunctions.Utility_DisplayArrayInTable(CommonLivestock_SourceData.SourceData_Livestock_Common_SymbolsMMS_Data(), Table_Data_MMSSymbols[[#Headers],[Symbol]], 0)</f>
        <v>Anaerobic lagoon</v>
      </c>
      <c r="F10" s="26" t="str" cm="1">
        <f t="array" ref="F10">Common_InputFunctions.Utility_DisplayArrayInTable(CommonLivestock_SourceData.SourceData_Livestock_Common_SymbolsMMS_Data(), Table_Data_MMSSymbols[[#Headers],[Symbol]], 0)</f>
        <v>Anaerobic lagoon (m=1)</v>
      </c>
      <c r="G10" s="24"/>
    </row>
    <row r="11" spans="1:13" ht="20.100000000000001" customHeight="1" x14ac:dyDescent="0.2">
      <c r="A11" s="5" t="str">
        <f>HYPERLINK("#'Input - Feedlot'!A1", "Feedlot")</f>
        <v>Feedlot</v>
      </c>
      <c r="D11" s="26" t="str" cm="1">
        <f t="array" ref="D11">Common_InputFunctions.Utility_DisplayArrayInTable(CommonLivestock_SourceData.SourceData_Livestock_Common_SymbolsMMS_Data(), Table_Data_MMSSymbols[[#Headers],[Symbol]], 0)</f>
        <v>2</v>
      </c>
      <c r="E11" s="26" t="str" cm="1">
        <f t="array" ref="E11">Common_InputFunctions.Utility_DisplayArrayInTable(CommonLivestock_SourceData.SourceData_Livestock_Common_SymbolsMMS_Data(), Table_Data_MMSSymbols[[#Headers],[Symbol]], 0)</f>
        <v>Liquid systems</v>
      </c>
      <c r="F11" s="26" t="str" cm="1">
        <f t="array" ref="F11">Common_InputFunctions.Utility_DisplayArrayInTable(CommonLivestock_SourceData.SourceData_Livestock_Common_SymbolsMMS_Data(), Table_Data_MMSSymbols[[#Headers],[Symbol]], 0)</f>
        <v>Liquid systems (m=2)</v>
      </c>
      <c r="G11" s="24"/>
    </row>
    <row r="12" spans="1:13" ht="20.100000000000001" customHeight="1" x14ac:dyDescent="0.2">
      <c r="A12" s="5" t="str">
        <f>HYPERLINK("#'Input - Livestock sales'!A1", "Livestock sales")</f>
        <v>Livestock sales</v>
      </c>
      <c r="D12" s="19" t="str" cm="1">
        <f t="array" ref="D12">Common_InputFunctions.Utility_DisplayArrayInTable(CommonLivestock_SourceData.SourceData_Livestock_Common_SymbolsMMS_Data(), Table_Data_MMSSymbols[[#Headers],[Symbol]], 0)</f>
        <v>3</v>
      </c>
      <c r="E12" s="19" t="str" cm="1">
        <f t="array" ref="E12">Common_InputFunctions.Utility_DisplayArrayInTable(CommonLivestock_SourceData.SourceData_Livestock_Common_SymbolsMMS_Data(), Table_Data_MMSSymbols[[#Headers],[Symbol]], 0)</f>
        <v>Daily spread</v>
      </c>
      <c r="F12" s="19" t="str" cm="1">
        <f t="array" ref="F12">Common_InputFunctions.Utility_DisplayArrayInTable(CommonLivestock_SourceData.SourceData_Livestock_Common_SymbolsMMS_Data(), Table_Data_MMSSymbols[[#Headers],[Symbol]], 0)</f>
        <v>Daily spread (m=3)</v>
      </c>
      <c r="G12" s="24"/>
    </row>
    <row r="13" spans="1:13" ht="20.100000000000001" customHeight="1" x14ac:dyDescent="0.2">
      <c r="A13" s="5" t="str">
        <f>HYPERLINK("#'Input - Beef cattle purchases'!A1", "Beef cattle purchases")</f>
        <v>Beef cattle purchases</v>
      </c>
      <c r="D13" s="19" t="str" cm="1">
        <f t="array" ref="D13">Common_InputFunctions.Utility_DisplayArrayInTable(CommonLivestock_SourceData.SourceData_Livestock_Common_SymbolsMMS_Data(), Table_Data_MMSSymbols[[#Headers],[Symbol]], 0)</f>
        <v>3a</v>
      </c>
      <c r="E13" s="19" t="str" cm="1">
        <f t="array" ref="E13">Common_InputFunctions.Utility_DisplayArrayInTable(CommonLivestock_SourceData.SourceData_Livestock_Common_SymbolsMMS_Data(), Table_Data_MMSSymbols[[#Headers],[Symbol]], 0)</f>
        <v>Sump and dispersal system</v>
      </c>
      <c r="F13" s="19" t="str" cm="1">
        <f t="array" ref="F13">Common_InputFunctions.Utility_DisplayArrayInTable(CommonLivestock_SourceData.SourceData_Livestock_Common_SymbolsMMS_Data(), Table_Data_MMSSymbols[[#Headers],[Symbol]], 0)</f>
        <v>Sump and dispersal system (m=3a)</v>
      </c>
      <c r="G13" s="24"/>
    </row>
    <row r="14" spans="1:13" ht="20.100000000000001" customHeight="1" x14ac:dyDescent="0.2">
      <c r="A14" s="5" t="str">
        <f>HYPERLINK("#'Input - Fuel'!A1", "Fuel")</f>
        <v>Fuel</v>
      </c>
      <c r="D14" s="19" t="str" cm="1">
        <f t="array" ref="D14">Common_InputFunctions.Utility_DisplayArrayInTable(CommonLivestock_SourceData.SourceData_Livestock_Common_SymbolsMMS_Data(), Table_Data_MMSSymbols[[#Headers],[Symbol]], 0)</f>
        <v>3b</v>
      </c>
      <c r="E14" s="19" t="str" cm="1">
        <f t="array" ref="E14">Common_InputFunctions.Utility_DisplayArrayInTable(CommonLivestock_SourceData.SourceData_Livestock_Common_SymbolsMMS_Data(), Table_Data_MMSSymbols[[#Headers],[Symbol]], 0)</f>
        <v>Drains to paddock</v>
      </c>
      <c r="F14" s="19" t="str" cm="1">
        <f t="array" ref="F14">Common_InputFunctions.Utility_DisplayArrayInTable(CommonLivestock_SourceData.SourceData_Livestock_Common_SymbolsMMS_Data(), Table_Data_MMSSymbols[[#Headers],[Symbol]], 0)</f>
        <v>Drains to paddock (m=3b)</v>
      </c>
      <c r="G14" s="24"/>
    </row>
    <row r="15" spans="1:13" ht="20.100000000000001" customHeight="1" x14ac:dyDescent="0.2">
      <c r="A15" s="5" t="str">
        <f>HYPERLINK("#'Input - Electricity'!A1", "Electricity")</f>
        <v>Electricity</v>
      </c>
      <c r="D15" s="19" t="str" cm="1">
        <f t="array" ref="D15">Common_InputFunctions.Utility_DisplayArrayInTable(CommonLivestock_SourceData.SourceData_Livestock_Common_SymbolsMMS_Data(), Table_Data_MMSSymbols[[#Headers],[Symbol]], 0)</f>
        <v>4</v>
      </c>
      <c r="E15" s="19" t="str" cm="1">
        <f t="array" ref="E15">Common_InputFunctions.Utility_DisplayArrayInTable(CommonLivestock_SourceData.SourceData_Livestock_Common_SymbolsMMS_Data(), Table_Data_MMSSymbols[[#Headers],[Symbol]], 0)</f>
        <v>Solid storage</v>
      </c>
      <c r="F15" s="19" t="str" cm="1">
        <f t="array" ref="F15">Common_InputFunctions.Utility_DisplayArrayInTable(CommonLivestock_SourceData.SourceData_Livestock_Common_SymbolsMMS_Data(), Table_Data_MMSSymbols[[#Headers],[Symbol]], 0)</f>
        <v>Solid storage (m=4)</v>
      </c>
      <c r="G15" s="24"/>
    </row>
    <row r="16" spans="1:13" ht="20.100000000000001" customHeight="1" x14ac:dyDescent="0.2">
      <c r="A16" s="5" t="str">
        <f>HYPERLINK("#'Input - Common farm inputs'!A1", "Common farm inputs")</f>
        <v>Common farm inputs</v>
      </c>
      <c r="D16" s="19" t="str" cm="1">
        <f t="array" ref="D16">Common_InputFunctions.Utility_DisplayArrayInTable(CommonLivestock_SourceData.SourceData_Livestock_Common_SymbolsMMS_Data(), Table_Data_MMSSymbols[[#Headers],[Symbol]], 0)</f>
        <v>5</v>
      </c>
      <c r="E16" s="19" t="str" cm="1">
        <f t="array" ref="E16">Common_InputFunctions.Utility_DisplayArrayInTable(CommonLivestock_SourceData.SourceData_Livestock_Common_SymbolsMMS_Data(), Table_Data_MMSSymbols[[#Headers],[Symbol]], 0)</f>
        <v>Drylot (feed pad)</v>
      </c>
      <c r="F16" s="19" t="str" cm="1">
        <f t="array" ref="F16">Common_InputFunctions.Utility_DisplayArrayInTable(CommonLivestock_SourceData.SourceData_Livestock_Common_SymbolsMMS_Data(), Table_Data_MMSSymbols[[#Headers],[Symbol]], 0)</f>
        <v>Drylot (feed pad) (m=5)</v>
      </c>
      <c r="G16" s="24"/>
    </row>
    <row r="17" spans="1:8" ht="20.100000000000001" customHeight="1" x14ac:dyDescent="0.2">
      <c r="A17" s="5" t="str">
        <f>HYPERLINK("#'Input - Livestock farm Inputs'!A1", "Livestock farm Inputs")</f>
        <v>Livestock farm Inputs</v>
      </c>
      <c r="D17" s="19" t="str" cm="1">
        <f t="array" ref="D17">Common_InputFunctions.Utility_DisplayArrayInTable(CommonLivestock_SourceData.SourceData_Livestock_Common_SymbolsMMS_Data(), Table_Data_MMSSymbols[[#Headers],[Symbol]], 0)</f>
        <v>6</v>
      </c>
      <c r="E17" s="19" t="str" cm="1">
        <f t="array" ref="E17">Common_InputFunctions.Utility_DisplayArrayInTable(CommonLivestock_SourceData.SourceData_Livestock_Common_SymbolsMMS_Data(), Table_Data_MMSSymbols[[#Headers],[Symbol]], 0)</f>
        <v>Composting (passive windrow)</v>
      </c>
      <c r="F17" s="19" t="str" cm="1">
        <f t="array" ref="F17">Common_InputFunctions.Utility_DisplayArrayInTable(CommonLivestock_SourceData.SourceData_Livestock_Common_SymbolsMMS_Data(), Table_Data_MMSSymbols[[#Headers],[Symbol]], 0)</f>
        <v>Composting (passive windrow) (m=6)</v>
      </c>
      <c r="G17" s="24"/>
    </row>
    <row r="18" spans="1:8" ht="20.100000000000001" customHeight="1" x14ac:dyDescent="0.2">
      <c r="A18" s="5" t="str">
        <f>HYPERLINK("#'Input - Freight'!A1", "Freight")</f>
        <v>Freight</v>
      </c>
      <c r="D18" s="19" t="str" cm="1">
        <f t="array" ref="D18">Common_InputFunctions.Utility_DisplayArrayInTable(CommonLivestock_SourceData.SourceData_Livestock_Common_SymbolsMMS_Data(), Table_Data_MMSSymbols[[#Headers],[Symbol]], 0)</f>
        <v>7</v>
      </c>
      <c r="E18" s="19" t="str" cm="1">
        <f t="array" ref="E18">Common_InputFunctions.Utility_DisplayArrayInTable(CommonLivestock_SourceData.SourceData_Livestock_Common_SymbolsMMS_Data(), Table_Data_MMSSymbols[[#Headers],[Symbol]], 0)</f>
        <v>Digester / covered lagoons</v>
      </c>
      <c r="F18" s="19" t="str" cm="1">
        <f t="array" ref="F18">Common_InputFunctions.Utility_DisplayArrayInTable(CommonLivestock_SourceData.SourceData_Livestock_Common_SymbolsMMS_Data(), Table_Data_MMSSymbols[[#Headers],[Symbol]], 0)</f>
        <v>Digester / covered lagoons (m=7)</v>
      </c>
      <c r="G18" s="24"/>
    </row>
    <row r="19" spans="1:8" ht="20.100000000000001" customHeight="1" x14ac:dyDescent="0.2">
      <c r="A19" s="5" t="str">
        <f>HYPERLINK("#'Input - Solid waste'!A1", "Solid waste")</f>
        <v>Solid waste</v>
      </c>
      <c r="D19" s="19" t="str" cm="1">
        <f t="array" ref="D19">Common_InputFunctions.Utility_DisplayArrayInTable(CommonLivestock_SourceData.SourceData_Livestock_Common_SymbolsMMS_Data(), Table_Data_MMSSymbols[[#Headers],[Symbol]], 0)</f>
        <v>8</v>
      </c>
      <c r="E19" s="19" t="str" cm="1">
        <f t="array" ref="E19">Common_InputFunctions.Utility_DisplayArrayInTable(CommonLivestock_SourceData.SourceData_Livestock_Common_SymbolsMMS_Data(), Table_Data_MMSSymbols[[#Headers],[Symbol]], 0)</f>
        <v>Deep litter</v>
      </c>
      <c r="F19" s="19" t="str" cm="1">
        <f t="array" ref="F19">Common_InputFunctions.Utility_DisplayArrayInTable(CommonLivestock_SourceData.SourceData_Livestock_Common_SymbolsMMS_Data(), Table_Data_MMSSymbols[[#Headers],[Symbol]], 0)</f>
        <v>Deep litter (m=8)</v>
      </c>
      <c r="G19" s="24"/>
    </row>
    <row r="20" spans="1:8" ht="20.100000000000001" customHeight="1" x14ac:dyDescent="0.2">
      <c r="A20" s="5" t="str">
        <f>HYPERLINK("#'Input - Manure sent off-site'!A1", "Manure sent off-site")</f>
        <v>Manure sent off-site</v>
      </c>
      <c r="D20" s="19" t="str" cm="1">
        <f t="array" ref="D20">Common_InputFunctions.Utility_DisplayArrayInTable(CommonLivestock_SourceData.SourceData_Livestock_Common_SymbolsMMS_Data(), Table_Data_MMSSymbols[[#Headers],[Symbol]], 0)</f>
        <v>9</v>
      </c>
      <c r="E20" s="19" t="str" cm="1">
        <f t="array" ref="E20">Common_InputFunctions.Utility_DisplayArrayInTable(CommonLivestock_SourceData.SourceData_Livestock_Common_SymbolsMMS_Data(), Table_Data_MMSSymbols[[#Headers],[Symbol]], 0)</f>
        <v>Pit storage</v>
      </c>
      <c r="F20" s="19" t="str" cm="1">
        <f t="array" ref="F20">Common_InputFunctions.Utility_DisplayArrayInTable(CommonLivestock_SourceData.SourceData_Livestock_Common_SymbolsMMS_Data(), Table_Data_MMSSymbols[[#Headers],[Symbol]], 0)</f>
        <v>Pit storage (m=9)</v>
      </c>
      <c r="G20" s="24"/>
    </row>
    <row r="21" spans="1:8" ht="20.100000000000001" customHeight="1" x14ac:dyDescent="0.2">
      <c r="A21" s="5" t="str">
        <f>HYPERLINK("#'Input - Data quality'!A1", "Data quality")</f>
        <v>Data quality</v>
      </c>
      <c r="D21" s="19" t="str" cm="1">
        <f t="array" ref="D21">Common_InputFunctions.Utility_DisplayArrayInTable(CommonLivestock_SourceData.SourceData_Livestock_Common_SymbolsMMS_Data(), Table_Data_MMSSymbols[[#Headers],[Symbol]], 0)</f>
        <v>10</v>
      </c>
      <c r="E21" s="19" t="str" cm="1">
        <f t="array" ref="E21">Common_InputFunctions.Utility_DisplayArrayInTable(CommonLivestock_SourceData.SourceData_Livestock_Common_SymbolsMMS_Data(), Table_Data_MMSSymbols[[#Headers],[Symbol]], 0)</f>
        <v>Poultry manure with bedding</v>
      </c>
      <c r="F21" s="19" t="str" cm="1">
        <f t="array" ref="F21">Common_InputFunctions.Utility_DisplayArrayInTable(CommonLivestock_SourceData.SourceData_Livestock_Common_SymbolsMMS_Data(), Table_Data_MMSSymbols[[#Headers],[Symbol]], 0)</f>
        <v>Poultry manure with bedding (m=10)</v>
      </c>
      <c r="G21" s="24"/>
    </row>
    <row r="22" spans="1:8" ht="20.100000000000001" customHeight="1" x14ac:dyDescent="0.2">
      <c r="A22" s="5" t="str">
        <f>HYPERLINK("#'Input - Fert Prod System'!A1", "Fert Prod System")</f>
        <v>Fert Prod System</v>
      </c>
      <c r="D22" s="19" t="str" cm="1">
        <f t="array" ref="D22">Common_InputFunctions.Utility_DisplayArrayInTable(CommonLivestock_SourceData.SourceData_Livestock_Common_SymbolsMMS_Data(), Table_Data_MMSSymbols[[#Headers],[Symbol]], 0)</f>
        <v>11</v>
      </c>
      <c r="E22" s="19" t="str" cm="1">
        <f t="array" ref="E22">Common_InputFunctions.Utility_DisplayArrayInTable(CommonLivestock_SourceData.SourceData_Livestock_Common_SymbolsMMS_Data(), Table_Data_MMSSymbols[[#Headers],[Symbol]], 0)</f>
        <v>Poultry manure without bedding</v>
      </c>
      <c r="F22" s="19" t="str" cm="1">
        <f t="array" ref="F22">Common_InputFunctions.Utility_DisplayArrayInTable(CommonLivestock_SourceData.SourceData_Livestock_Common_SymbolsMMS_Data(), Table_Data_MMSSymbols[[#Headers],[Symbol]], 0)</f>
        <v>Poultry manure without bedding (m=11)</v>
      </c>
      <c r="G22" s="24"/>
    </row>
    <row r="23" spans="1:8" ht="20.100000000000001" customHeight="1" x14ac:dyDescent="0.2">
      <c r="A23" s="5" t="str">
        <f>HYPERLINK("#'Input - Fertiliser'!A1", "Fertiliser")</f>
        <v>Fertiliser</v>
      </c>
      <c r="D23" s="19" t="str" cm="1">
        <f t="array" ref="D23">Common_InputFunctions.Utility_DisplayArrayInTable(CommonLivestock_SourceData.SourceData_Livestock_Common_SymbolsMMS_Data(), Table_Data_MMSSymbols[[#Headers],[Symbol]], 0)</f>
        <v>11a</v>
      </c>
      <c r="E23" s="19" t="str" cm="1">
        <f t="array" ref="E23">Common_InputFunctions.Utility_DisplayArrayInTable(CommonLivestock_SourceData.SourceData_Livestock_Common_SymbolsMMS_Data(), Table_Data_MMSSymbols[[#Headers],[Symbol]], 0)</f>
        <v>Belt manure removal</v>
      </c>
      <c r="F23" s="19" t="str" cm="1">
        <f t="array" ref="F23">Common_InputFunctions.Utility_DisplayArrayInTable(CommonLivestock_SourceData.SourceData_Livestock_Common_SymbolsMMS_Data(), Table_Data_MMSSymbols[[#Headers],[Symbol]], 0)</f>
        <v>Belt manure removal (m=11a)</v>
      </c>
      <c r="G23" s="24"/>
    </row>
    <row r="24" spans="1:8" ht="20.100000000000001" customHeight="1" x14ac:dyDescent="0.2">
      <c r="D24" s="19" t="str" cm="1">
        <f t="array" ref="D24">Common_InputFunctions.Utility_DisplayArrayInTable(CommonLivestock_SourceData.SourceData_Livestock_Common_SymbolsMMS_Data(), Table_Data_MMSSymbols[[#Headers],[Symbol]], 0)</f>
        <v>11b</v>
      </c>
      <c r="E24" s="19" t="str" cm="1">
        <f t="array" ref="E24">Common_InputFunctions.Utility_DisplayArrayInTable(CommonLivestock_SourceData.SourceData_Livestock_Common_SymbolsMMS_Data(), Table_Data_MMSSymbols[[#Headers],[Symbol]], 0)</f>
        <v>Manure stored in house</v>
      </c>
      <c r="F24" s="19" t="str" cm="1">
        <f t="array" ref="F24">Common_InputFunctions.Utility_DisplayArrayInTable(CommonLivestock_SourceData.SourceData_Livestock_Common_SymbolsMMS_Data(), Table_Data_MMSSymbols[[#Headers],[Symbol]], 0)</f>
        <v>Manure stored in house (m=11b)</v>
      </c>
      <c r="G24" s="24"/>
    </row>
    <row r="25" spans="1:8" ht="20.100000000000001" customHeight="1" x14ac:dyDescent="0.2">
      <c r="D25" s="19" t="str" cm="1">
        <f t="array" ref="D25">Common_InputFunctions.Utility_DisplayArrayInTable(CommonLivestock_SourceData.SourceData_Livestock_Common_SymbolsMMS_Data(), Table_Data_MMSSymbols[[#Headers],[Symbol]], 0)</f>
        <v>12</v>
      </c>
      <c r="E25" s="19" t="str" cm="1">
        <f t="array" ref="E25">Common_InputFunctions.Utility_DisplayArrayInTable(CommonLivestock_SourceData.SourceData_Livestock_Common_SymbolsMMS_Data(), Table_Data_MMSSymbols[[#Headers],[Symbol]], 0)</f>
        <v>Direct processing</v>
      </c>
      <c r="F25" s="19" t="str" cm="1">
        <f t="array" ref="F25">Common_InputFunctions.Utility_DisplayArrayInTable(CommonLivestock_SourceData.SourceData_Livestock_Common_SymbolsMMS_Data(), Table_Data_MMSSymbols[[#Headers],[Symbol]], 0)</f>
        <v>Direct processing (m=12)</v>
      </c>
      <c r="G25" s="24"/>
    </row>
    <row r="26" spans="1:8" ht="20.100000000000001" customHeight="1" x14ac:dyDescent="0.2">
      <c r="A26" s="6" t="s">
        <v>2</v>
      </c>
      <c r="D26" s="19" t="str" cm="1">
        <f t="array" ref="D26">Common_InputFunctions.Utility_DisplayArrayInTable(CommonLivestock_SourceData.SourceData_Livestock_Common_SymbolsMMS_Data(), Table_Data_MMSSymbols[[#Headers],[Symbol]], 0)</f>
        <v>13</v>
      </c>
      <c r="E26" s="19" t="str" cm="1">
        <f t="array" ref="E26">Common_InputFunctions.Utility_DisplayArrayInTable(CommonLivestock_SourceData.SourceData_Livestock_Common_SymbolsMMS_Data(), Table_Data_MMSSymbols[[#Headers],[Symbol]], 0)</f>
        <v>Direct application</v>
      </c>
      <c r="F26" s="19" t="str" cm="1">
        <f t="array" ref="F26">Common_InputFunctions.Utility_DisplayArrayInTable(CommonLivestock_SourceData.SourceData_Livestock_Common_SymbolsMMS_Data(), Table_Data_MMSSymbols[[#Headers],[Symbol]], 0)</f>
        <v>Direct application (m=13)</v>
      </c>
      <c r="G26" s="24"/>
    </row>
    <row r="27" spans="1:8" ht="20.100000000000001" customHeight="1" x14ac:dyDescent="0.2">
      <c r="A27" s="5" t="str">
        <f>HYPERLINK("#'3.1.1.1-2 Enteric Methane'!A1", "3.1.1.1-2 Enteric Methane")</f>
        <v>3.1.1.1-2 Enteric Methane</v>
      </c>
      <c r="D27" s="19" t="str" cm="1">
        <f t="array" ref="D27">Common_InputFunctions.Utility_DisplayArrayInTable(CommonLivestock_SourceData.SourceData_Livestock_Common_SymbolsMMS_Data(), Table_Data_MMSSymbols[[#Headers],[Symbol]], 0)</f>
        <v>14</v>
      </c>
      <c r="E27" s="19" t="str" cm="1">
        <f t="array" ref="E27">Common_InputFunctions.Utility_DisplayArrayInTable(CommonLivestock_SourceData.SourceData_Livestock_Common_SymbolsMMS_Data(), Table_Data_MMSSymbols[[#Headers],[Symbol]], 0)</f>
        <v>Pasture range and paddock</v>
      </c>
      <c r="F27" s="19" t="str" cm="1">
        <f t="array" ref="F27">Common_InputFunctions.Utility_DisplayArrayInTable(CommonLivestock_SourceData.SourceData_Livestock_Common_SymbolsMMS_Data(), Table_Data_MMSSymbols[[#Headers],[Symbol]], 0)</f>
        <v>Pasture range and paddock (m=14)</v>
      </c>
      <c r="G27" s="24"/>
    </row>
    <row r="28" spans="1:8" ht="20.100000000000001" customHeight="1" x14ac:dyDescent="0.2">
      <c r="A28" s="5" t="str">
        <f>HYPERLINK("#'4.1.1.1-2 Methane'!A1", "4.1.1.1-2 Manure Methane")</f>
        <v>4.1.1.1-2 Manure Methane</v>
      </c>
      <c r="G28" s="24"/>
      <c r="H28" s="24"/>
    </row>
    <row r="29" spans="1:8" ht="20.100000000000001" customHeight="1" x14ac:dyDescent="0.2">
      <c r="A29" s="5" t="str">
        <f>HYPERLINK("#'4.1.1.3-4 Direct N20'!A1", "4.1.1.3-4 Manure Direct N2O")</f>
        <v>4.1.1.3-4 Manure Direct N2O</v>
      </c>
    </row>
    <row r="30" spans="1:8" ht="20.100000000000001" customHeight="1" x14ac:dyDescent="0.2">
      <c r="A30" s="5" t="str">
        <f>HYPERLINK("#'4.1.1.5-6 Atmos Deposition'!A1", "4.1.1.5-6 Manure Atmos Dep")</f>
        <v>4.1.1.5-6 Manure Atmos Dep</v>
      </c>
    </row>
    <row r="31" spans="1:8" ht="20.100000000000001" customHeight="1" x14ac:dyDescent="0.2">
      <c r="A31" s="5" t="str">
        <f>HYPERLINK("#'4.1.1.9 Manure applied to soils'!A1", "4.1.1.9 Manure applied to soils")</f>
        <v>4.1.1.9 Manure applied to soils</v>
      </c>
    </row>
    <row r="32" spans="1:8"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81"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33D6-5731-40A7-882A-64641B0B1A22}">
  <sheetPr>
    <tabColor theme="2" tint="-0.499984740745262"/>
  </sheetPr>
  <dimension ref="A1:AI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566</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Electricity_SourceData.Electricity_Scope2Scope3LocationBased_Title()</f>
        <v>Electricity scope 2 and scope 3 location-based emission factors</v>
      </c>
    </row>
    <row r="6" spans="1:35" ht="20.100000000000001" customHeight="1" x14ac:dyDescent="0.2">
      <c r="D6" s="17" t="str" cm="1">
        <f t="array" ref="D6">Electricity_SourceData.Electricity_Scope2Scope3LocationBased_Source()</f>
        <v>Australian National Greenhouse Accounts Factors 2025 - Table 1</v>
      </c>
      <c r="E6" s="8"/>
      <c r="F6" s="8"/>
    </row>
    <row r="7" spans="1:35" ht="20.100000000000001" customHeight="1" x14ac:dyDescent="0.2">
      <c r="D7" s="25"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45" t="s">
        <v>567</v>
      </c>
      <c r="E9" s="145" t="s">
        <v>568</v>
      </c>
      <c r="F9" s="145" t="s">
        <v>569</v>
      </c>
    </row>
    <row r="10" spans="1:35" ht="20.100000000000001" customHeight="1" x14ac:dyDescent="0.2">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
      <c r="A11" s="5" t="str">
        <f>HYPERLINK("#'Input - Feedlot'!A1", "Feedlot")</f>
        <v>Feedlot</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
      <c r="A12" s="5" t="str">
        <f>HYPERLINK("#'Input - Livestock sales'!A1", "Livestock sales")</f>
        <v>Livestock sales</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
      <c r="A13" s="5" t="str">
        <f>HYPERLINK("#'Input - Beef cattle purchases'!A1", "Beef cattle purchases")</f>
        <v>Beef cattle purchases</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
      <c r="A16" s="5" t="str">
        <f>HYPERLINK("#'Input - Common farm inputs'!A1", "Common farm inputs")</f>
        <v>Common farm inputs</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
      <c r="A17" s="5" t="str">
        <f>HYPERLINK("#'Input - Livestock farm Inputs'!A1", "Livestock farm Inputs")</f>
        <v>Livestock farm Inputs</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
      <c r="A18" s="5" t="str">
        <f>HYPERLINK("#'Input - Freight'!A1", "Freight")</f>
        <v>Freight</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
      <c r="A19" s="5" t="str">
        <f>HYPERLINK("#'Input - Solid waste'!A1", "Solid waste")</f>
        <v>Solid waste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
      <c r="A20" s="5" t="str">
        <f>HYPERLINK("#'Input - Manure sent off-site'!A1", "Manure sent off-site")</f>
        <v>Manure sent off-site</v>
      </c>
    </row>
    <row r="21" spans="1:8" ht="20.100000000000001" customHeight="1" x14ac:dyDescent="0.2">
      <c r="A21" s="5" t="str">
        <f>HYPERLINK("#'Input - Data quality'!A1", "Data quality")</f>
        <v>Data quality</v>
      </c>
      <c r="D21" s="2" t="str" cm="1">
        <f t="array" ref="D21">Electricity_SourceData.Electricity_Scope2Scope3MarketBased_Title()</f>
        <v>Electricity scope 2 and scope 3 market-based emission factors</v>
      </c>
    </row>
    <row r="22" spans="1:8" ht="20.100000000000001" customHeight="1" x14ac:dyDescent="0.2">
      <c r="A22" s="5" t="str">
        <f>HYPERLINK("#'Input - Fert Prod System'!A1", "Fert Prod System")</f>
        <v>Fert Prod System</v>
      </c>
      <c r="D22" s="17" t="str" cm="1">
        <f t="array" ref="D22">Electricity_SourceData.Electricity_Scope2Scope3MarketBased_Source()</f>
        <v>Australian National Greenhouse Accounts Factors 2025 - Table 2a</v>
      </c>
    </row>
    <row r="23" spans="1:8" ht="20.100000000000001" customHeight="1" x14ac:dyDescent="0.2">
      <c r="A23" s="5" t="str">
        <f>HYPERLINK("#'Input - Fertiliser'!A1", "Fertiliser")</f>
        <v>Fertiliser</v>
      </c>
    </row>
    <row r="24" spans="1:8" ht="20.100000000000001" customHeight="1" x14ac:dyDescent="0.2">
      <c r="D24" s="146" t="s">
        <v>567</v>
      </c>
      <c r="E24" s="146" t="s">
        <v>570</v>
      </c>
      <c r="F24" s="146" t="s">
        <v>571</v>
      </c>
      <c r="G24" s="146" t="s">
        <v>572</v>
      </c>
      <c r="H24" s="146" t="s">
        <v>573</v>
      </c>
    </row>
    <row r="25" spans="1:8" ht="20.100000000000001" customHeight="1" x14ac:dyDescent="0.2">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
      <c r="A26" s="6" t="s">
        <v>2</v>
      </c>
    </row>
    <row r="27" spans="1:8" ht="20.100000000000001" customHeight="1" x14ac:dyDescent="0.2">
      <c r="A27" s="5" t="str">
        <f>HYPERLINK("#'3.1.1.1-2 Enteric Methane'!A1", "3.1.1.1-2 Enteric Methane")</f>
        <v>3.1.1.1-2 Enteric Methane</v>
      </c>
    </row>
    <row r="28" spans="1:8" ht="20.100000000000001" customHeight="1" x14ac:dyDescent="0.2">
      <c r="A28" s="5" t="str">
        <f>HYPERLINK("#'4.1.1.1-2 Methane'!A1", "4.1.1.1-2 Manure Methane")</f>
        <v>4.1.1.1-2 Manure Methane</v>
      </c>
    </row>
    <row r="29" spans="1:8" ht="20.100000000000001" customHeight="1" x14ac:dyDescent="0.2">
      <c r="A29" s="5" t="str">
        <f>HYPERLINK("#'4.1.1.3-4 Direct N20'!A1", "4.1.1.3-4 Manure Direct N2O")</f>
        <v>4.1.1.3-4 Manure Direct N2O</v>
      </c>
    </row>
    <row r="30" spans="1:8" ht="20.100000000000001" customHeight="1" x14ac:dyDescent="0.2">
      <c r="A30" s="5" t="str">
        <f>HYPERLINK("#'4.1.1.5-6 Atmos Deposition'!A1", "4.1.1.5-6 Manure Atmos Dep")</f>
        <v>4.1.1.5-6 Manure Atmos Dep</v>
      </c>
    </row>
    <row r="31" spans="1:8" ht="20.100000000000001" customHeight="1" x14ac:dyDescent="0.2">
      <c r="A31" s="5" t="str">
        <f>HYPERLINK("#'4.1.1.9 Manure applied to soils'!A1", "4.1.1.9 Manure applied to soils")</f>
        <v>4.1.1.9 Manure applied to soils</v>
      </c>
    </row>
    <row r="32" spans="1:8"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81"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BFF27-3BB9-4BC7-A579-85A9EAF350E7}">
  <dimension ref="A1:AM223"/>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0" customFormat="1" ht="30" customHeight="1" x14ac:dyDescent="0.35">
      <c r="A1" s="10" t="e" vm="1">
        <v>#VALUE!</v>
      </c>
      <c r="C1" s="20" t="s">
        <v>836</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Emissions Intensity")</f>
        <v>Results - Product Emissions Intensity</v>
      </c>
      <c r="D5" s="2" t="str" cm="1">
        <f t="array" ref="D5">Fertiliser_SourceData.Fertiliser_ChemicalCompoundElements_Title()</f>
        <v>Common inorganic fertilisers</v>
      </c>
      <c r="E5" s="152"/>
      <c r="F5" s="152"/>
      <c r="G5" s="152"/>
      <c r="H5" s="152"/>
      <c r="I5" s="152"/>
      <c r="J5" s="152"/>
    </row>
    <row r="6" spans="1:36" ht="20.100000000000001" customHeight="1" x14ac:dyDescent="0.2">
      <c r="D6" s="17" t="str" cm="1">
        <f t="array" ref="D6">Fertiliser_SourceData.Fertiliser_ChemicalCompoundElements_Source()</f>
        <v>Table A.2.2.3: Fraction of nitrogen in common inorganic fertilisers (kgN/kg) (FNorganic,f) AND Table A.2.2.4: Fraction of urea in common inorganic fertilisers (kg urea/kg) (FUf)</v>
      </c>
    </row>
    <row r="7" spans="1:36" ht="20.100000000000001" customHeight="1" x14ac:dyDescent="0.2">
      <c r="D7" s="25" t="str" cm="1">
        <f t="array" ref="D7:D18">Fertiliser_SourceData.Fertiliser_ChemicalCompoundElements_Variation()</f>
        <v>VARIATION ON SOURCE</v>
      </c>
    </row>
    <row r="8" spans="1:36" ht="20.100000000000001" customHeight="1" x14ac:dyDescent="0.2">
      <c r="A8" s="7" t="s">
        <v>0</v>
      </c>
      <c r="D8" s="25" t="str">
        <v>Added 'Basis' column to allow cross-referencing with table Table A.2.2.6: Fraction of inorganic fertiliser f that volatilises as NH3 and NOx ((kg NH3-N + NOx-N)/kg N) (FracGASFf)</v>
      </c>
    </row>
    <row r="9" spans="1:36" ht="20.100000000000001" customHeight="1" x14ac:dyDescent="0.2">
      <c r="A9" s="5" t="str">
        <f>HYPERLINK("#'Input - Enterprise'!A1", "Enterprise")</f>
        <v>Enterprise</v>
      </c>
      <c r="D9" s="25" t="str">
        <v>Added extra fertiliser types and generic chemical compounds to allow for custom NPKS blends</v>
      </c>
    </row>
    <row r="10" spans="1:36" ht="20.100000000000001" customHeight="1" x14ac:dyDescent="0.2">
      <c r="A10" s="5" t="str">
        <f>HYPERLINK("#'Input - Site'!A1", "Site")</f>
        <v>Site</v>
      </c>
      <c r="D10" s="25" t="str">
        <v>Added extra 'Scope 3 definition' column to allow mapping with scope 3 data</v>
      </c>
    </row>
    <row r="11" spans="1:36" ht="20.100000000000001" customHeight="1" x14ac:dyDescent="0.2">
      <c r="A11" s="5" t="str">
        <f>HYPERLINK("#'Input - Feedlot'!A1", "Feedlot")</f>
        <v>Feedlot</v>
      </c>
      <c r="D11" s="25" t="str">
        <v>Added 'Source' column</v>
      </c>
    </row>
    <row r="12" spans="1:36" ht="20.100000000000001" customHeight="1" x14ac:dyDescent="0.2">
      <c r="A12" s="5" t="str">
        <f>HYPERLINK("#'Input - Livestock sales'!A1", "Livestock sales")</f>
        <v>Livestock sales</v>
      </c>
      <c r="D12" s="25" t="str">
        <v>Combined data from Table A.2.2.3 and Table A.2.2.4 into one table to aid lookup.</v>
      </c>
    </row>
    <row r="13" spans="1:36" ht="20.100000000000001" customHeight="1" x14ac:dyDescent="0.2">
      <c r="A13" s="5" t="str">
        <f>HYPERLINK("#'Input - Beef cattle purchases'!A1", "Beef cattle purchases")</f>
        <v>Beef cattle purchases</v>
      </c>
      <c r="D13" s="25" t="str">
        <v>Excluded 'References' column</v>
      </c>
    </row>
    <row r="14" spans="1:36" ht="20.100000000000001" customHeight="1" x14ac:dyDescent="0.2">
      <c r="A14" s="5" t="str">
        <f>HYPERLINK("#'Input - Fuel'!A1", "Fuel")</f>
        <v>Fuel</v>
      </c>
      <c r="D14" s="25" t="str">
        <v>Excluded 'Ammonium sulfate' as it is a duplicate of 'Sulphate of ammonia (SOA)'</v>
      </c>
    </row>
    <row r="15" spans="1:36" ht="20.100000000000001" customHeight="1" x14ac:dyDescent="0.2">
      <c r="A15" s="5" t="str">
        <f>HYPERLINK("#'Input - Electricity'!A1", "Electricity")</f>
        <v>Electricity</v>
      </c>
      <c r="D15" s="25" t="str">
        <v>Excluded 'Calcium nitrate' as no scope 3 value available.</v>
      </c>
    </row>
    <row r="16" spans="1:36" ht="20.100000000000001" customHeight="1" x14ac:dyDescent="0.2">
      <c r="A16" s="5" t="str">
        <f>HYPERLINK("#'Input - Common farm inputs'!A1", "Common farm inputs")</f>
        <v>Common farm inputs</v>
      </c>
      <c r="D16" s="25" t="str">
        <v>Set 'Nitrogen - Generic' basis as 'Urea-based fertilisers, as urea is the most commonly used form of nitrogen in Australian fertilisers</v>
      </c>
    </row>
    <row r="17" spans="1:22" ht="20.100000000000001" customHeight="1" x14ac:dyDescent="0.2">
      <c r="A17" s="5" t="str">
        <f>HYPERLINK("#'Input - Livestock farm Inputs'!A1", "Livestock farm Inputs")</f>
        <v>Livestock farm Inputs</v>
      </c>
      <c r="D17" s="25"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
      <c r="A18" s="5" t="str">
        <f>HYPERLINK("#'Input - Freight'!A1", "Freight")</f>
        <v>Freight</v>
      </c>
      <c r="D18" s="25" t="str">
        <v>Ammonia has an FN value of 0.8235 based on (14/17)x100, where 14 is the mass of nitrogen in ammonia and 17 is the molar mass of ammonia.</v>
      </c>
      <c r="K18" s="17" t="str" cm="1">
        <f t="array" ref="K18">Fertiliser_SourceData.Fertiliser_FractionNCommonFertilisers_Source()</f>
        <v>VEERG 2026: Table A.2.2.3</v>
      </c>
      <c r="Q18" s="17" t="str" cm="1">
        <f t="array" ref="Q18">Fertiliser_SourceData.Fertiliser_FractionUreaCommonFertilisers_Source()</f>
        <v>VEERG 2026: Table A.2.2.4</v>
      </c>
      <c r="V18" s="1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
      <c r="A19" s="5" t="str">
        <f>HYPERLINK("#'Input - Solid waste'!A1", "Solid waste")</f>
        <v>Solid waste</v>
      </c>
      <c r="D19" t="s">
        <v>757</v>
      </c>
      <c r="E19" t="s">
        <v>837</v>
      </c>
      <c r="F19" t="s">
        <v>838</v>
      </c>
      <c r="G19" t="s">
        <v>812</v>
      </c>
      <c r="H19" t="s">
        <v>839</v>
      </c>
      <c r="I19" t="s">
        <v>560</v>
      </c>
      <c r="K19" s="19" t="s">
        <v>757</v>
      </c>
      <c r="L19" s="19" t="s">
        <v>837</v>
      </c>
      <c r="Q19" s="19" t="s">
        <v>757</v>
      </c>
      <c r="R19" s="19" t="s">
        <v>837</v>
      </c>
      <c r="V19" s="19" t="s">
        <v>560</v>
      </c>
    </row>
    <row r="20" spans="1:22" ht="20.100000000000001" customHeight="1" x14ac:dyDescent="0.2">
      <c r="A20" s="5" t="str">
        <f>HYPERLINK("#'Input - Manure sent off-site'!A1", "Manure sent off-site")</f>
        <v>Manure sent off-site</v>
      </c>
      <c r="D20" s="146" t="str" cm="1">
        <f t="array" ref="D20">Common_InputFunctions.Utility_DisplayArrayInTable(Fertiliser_SourceData.Fertiliser_ChemicalCompoundElements_Data(),Table_Fertiliser_ChemicalCompounds[[#Headers],[Fertiliser type f]], 0)</f>
        <v>Monoammonium phosphate (MAP)</v>
      </c>
      <c r="E20" s="146" cm="1">
        <f t="array" ref="E20">Common_InputFunctions.Utility_DisplayArrayInTable(Fertiliser_SourceData.Fertiliser_ChemicalCompoundElements_Data(),Table_Fertiliser_ChemicalCompounds[[#Headers],[Fertiliser type f]], 0)</f>
        <v>0.1</v>
      </c>
      <c r="F20" s="146" cm="1">
        <f t="array" ref="F20">Common_InputFunctions.Utility_DisplayArrayInTable(Fertiliser_SourceData.Fertiliser_ChemicalCompoundElements_Data(),Table_Fertiliser_ChemicalCompounds[[#Headers],[Fertiliser type f]], 0)</f>
        <v>0</v>
      </c>
      <c r="G20" s="146" t="str" cm="1">
        <f t="array" ref="G20">Common_InputFunctions.Utility_DisplayArrayInTable(Fertiliser_SourceData.Fertiliser_ChemicalCompoundElements_Data(),Table_Fertiliser_ChemicalCompounds[[#Headers],[Fertiliser type f]], 0)</f>
        <v>Ammonium-based fertilisers</v>
      </c>
      <c r="H20" s="146" t="str" cm="1">
        <f t="array" ref="H20">Common_InputFunctions.Utility_DisplayArrayInTable(Fertiliser_SourceData.Fertiliser_ChemicalCompoundElements_Data(),Table_Fertiliser_ChemicalCompounds[[#Headers],[Fertiliser type f]], 0)</f>
        <v>Monoammonium phosphate (MAP)</v>
      </c>
      <c r="I20" s="146" t="str" cm="1">
        <f t="array" ref="I20">Common_InputFunctions.Utility_DisplayArrayInTable(Fertiliser_SourceData.Fertiliser_ChemicalCompoundElements_Data(),Table_Fertiliser_ChemicalCompounds[[#Headers],[Fertiliser type f]], 0)</f>
        <v>VEERG</v>
      </c>
      <c r="K20" s="19" t="str" cm="1">
        <f t="array" ref="K20">Common_InputFunctions.Utility_DisplayArrayInTable(Fertiliser_SourceData.Fertiliser_FractionNCommonFertilisers_Data(), Table2[[#Headers],[Fertiliser type f]], 0)</f>
        <v>Monoammonium phosphate (MAP)</v>
      </c>
      <c r="L20" s="19" cm="1">
        <f t="array" ref="L20">Common_InputFunctions.Utility_DisplayArrayInTable(Fertiliser_SourceData.Fertiliser_FractionNCommonFertilisers_Data(), Table2[[#Headers],[Fertiliser type f]], 0)</f>
        <v>0.1</v>
      </c>
      <c r="Q20" s="19" t="str" cm="1">
        <f t="array" ref="Q20">Common_InputFunctions.Utility_DisplayArrayInTable(Fertiliser_SourceData.Fertiliser_FractionUreaCommonFertilisers_Data(), Table28[[#Headers],[Fertiliser type f]], 0)</f>
        <v>Monoammonium phosphate (MAP)</v>
      </c>
      <c r="R20" s="19" cm="1">
        <f t="array" ref="R20">Common_InputFunctions.Utility_DisplayArrayInTable(Fertiliser_SourceData.Fertiliser_FractionUreaCommonFertilisers_Data(), Table28[[#Headers],[Fertiliser type f]], 0)</f>
        <v>0</v>
      </c>
      <c r="V20" s="19" t="str" cm="1">
        <f t="array" ref="V20">Common_InputFunctions.Utility_DisplayArrayInTable(Fertiliser_SourceData.Fertiliser_UreaAmmoniaSourceRegions_Data(),Table_SourceData_Fertiliser_UreaAmmoniaSources[[#Headers],[Source]],0)</f>
        <v>Global</v>
      </c>
    </row>
    <row r="21" spans="1:22" ht="20.100000000000001" customHeight="1" x14ac:dyDescent="0.2">
      <c r="A21" s="5" t="str">
        <f>HYPERLINK("#'Input - Data quality'!A1", "Data quality")</f>
        <v>Data quality</v>
      </c>
      <c r="D21" s="146" t="str" cm="1">
        <f t="array" ref="D21">Common_InputFunctions.Utility_DisplayArrayInTable(Fertiliser_SourceData.Fertiliser_ChemicalCompoundElements_Data(),Table_Fertiliser_ChemicalCompounds[[#Headers],[Fertiliser type f]], 0)</f>
        <v>Diammonium phosphate (DAP)</v>
      </c>
      <c r="E21" s="146" cm="1">
        <f t="array" ref="E21">Common_InputFunctions.Utility_DisplayArrayInTable(Fertiliser_SourceData.Fertiliser_ChemicalCompoundElements_Data(),Table_Fertiliser_ChemicalCompounds[[#Headers],[Fertiliser type f]], 0)</f>
        <v>0.18</v>
      </c>
      <c r="F21" s="146" cm="1">
        <f t="array" ref="F21">Common_InputFunctions.Utility_DisplayArrayInTable(Fertiliser_SourceData.Fertiliser_ChemicalCompoundElements_Data(),Table_Fertiliser_ChemicalCompounds[[#Headers],[Fertiliser type f]], 0)</f>
        <v>0</v>
      </c>
      <c r="G21" s="146" t="str" cm="1">
        <f t="array" ref="G21">Common_InputFunctions.Utility_DisplayArrayInTable(Fertiliser_SourceData.Fertiliser_ChemicalCompoundElements_Data(),Table_Fertiliser_ChemicalCompounds[[#Headers],[Fertiliser type f]], 0)</f>
        <v>Ammonium-based fertilisers</v>
      </c>
      <c r="H21" s="146" t="str" cm="1">
        <f t="array" ref="H21">Common_InputFunctions.Utility_DisplayArrayInTable(Fertiliser_SourceData.Fertiliser_ChemicalCompoundElements_Data(),Table_Fertiliser_ChemicalCompounds[[#Headers],[Fertiliser type f]], 0)</f>
        <v>Diammonium phosphate (DAP)</v>
      </c>
      <c r="I21" s="146" t="str" cm="1">
        <f t="array" ref="I21">Common_InputFunctions.Utility_DisplayArrayInTable(Fertiliser_SourceData.Fertiliser_ChemicalCompoundElements_Data(),Table_Fertiliser_ChemicalCompounds[[#Headers],[Fertiliser type f]], 0)</f>
        <v>VEERG</v>
      </c>
      <c r="K21" s="19" t="str" cm="1">
        <f t="array" ref="K21">Common_InputFunctions.Utility_DisplayArrayInTable(Fertiliser_SourceData.Fertiliser_FractionNCommonFertilisers_Data(), Table2[[#Headers],[Fertiliser type f]], 0)</f>
        <v>Diammonium phosphate (DAP)</v>
      </c>
      <c r="L21" s="19" cm="1">
        <f t="array" ref="L21">Common_InputFunctions.Utility_DisplayArrayInTable(Fertiliser_SourceData.Fertiliser_FractionNCommonFertilisers_Data(), Table2[[#Headers],[Fertiliser type f]], 0)</f>
        <v>0.18</v>
      </c>
      <c r="Q21" s="19" t="str" cm="1">
        <f t="array" ref="Q21">Common_InputFunctions.Utility_DisplayArrayInTable(Fertiliser_SourceData.Fertiliser_FractionUreaCommonFertilisers_Data(), Table28[[#Headers],[Fertiliser type f]], 0)</f>
        <v>Diammonium phosphate (DAP)</v>
      </c>
      <c r="R21" s="19" cm="1">
        <f t="array" ref="R21">Common_InputFunctions.Utility_DisplayArrayInTable(Fertiliser_SourceData.Fertiliser_FractionUreaCommonFertilisers_Data(), Table28[[#Headers],[Fertiliser type f]], 0)</f>
        <v>0</v>
      </c>
      <c r="V21" s="19" t="str" cm="1">
        <f t="array" ref="V21">Common_InputFunctions.Utility_DisplayArrayInTable(Fertiliser_SourceData.Fertiliser_UreaAmmoniaSourceRegions_Data(),Table_SourceData_Fertiliser_UreaAmmoniaSources[[#Headers],[Source]],0)</f>
        <v>Canada</v>
      </c>
    </row>
    <row r="22" spans="1:22" ht="20.100000000000001" customHeight="1" x14ac:dyDescent="0.2">
      <c r="A22" s="5" t="str">
        <f>HYPERLINK("#'Input - Fert Prod System'!A1", "Fert Prod System")</f>
        <v>Fert Prod System</v>
      </c>
      <c r="D22" s="146" t="str" cm="1">
        <f t="array" ref="D22">Common_InputFunctions.Utility_DisplayArrayInTable(Fertiliser_SourceData.Fertiliser_ChemicalCompoundElements_Data(),Table_Fertiliser_ChemicalCompounds[[#Headers],[Fertiliser type f]], 0)</f>
        <v>Urea</v>
      </c>
      <c r="E22" s="146" cm="1">
        <f t="array" ref="E22">Common_InputFunctions.Utility_DisplayArrayInTable(Fertiliser_SourceData.Fertiliser_ChemicalCompoundElements_Data(),Table_Fertiliser_ChemicalCompounds[[#Headers],[Fertiliser type f]], 0)</f>
        <v>0.46</v>
      </c>
      <c r="F22" s="146" cm="1">
        <f t="array" ref="F22">Common_InputFunctions.Utility_DisplayArrayInTable(Fertiliser_SourceData.Fertiliser_ChemicalCompoundElements_Data(),Table_Fertiliser_ChemicalCompounds[[#Headers],[Fertiliser type f]], 0)</f>
        <v>1</v>
      </c>
      <c r="G22" s="146" t="str" cm="1">
        <f t="array" ref="G22">Common_InputFunctions.Utility_DisplayArrayInTable(Fertiliser_SourceData.Fertiliser_ChemicalCompoundElements_Data(),Table_Fertiliser_ChemicalCompounds[[#Headers],[Fertiliser type f]], 0)</f>
        <v>Urea-based fertilisers</v>
      </c>
      <c r="H22" s="146" t="str" cm="1">
        <f t="array" ref="H22">Common_InputFunctions.Utility_DisplayArrayInTable(Fertiliser_SourceData.Fertiliser_ChemicalCompoundElements_Data(),Table_Fertiliser_ChemicalCompounds[[#Headers],[Fertiliser type f]], 0)</f>
        <v>Urea</v>
      </c>
      <c r="I22" s="146" t="str" cm="1">
        <f t="array" ref="I22">Common_InputFunctions.Utility_DisplayArrayInTable(Fertiliser_SourceData.Fertiliser_ChemicalCompoundElements_Data(),Table_Fertiliser_ChemicalCompounds[[#Headers],[Fertiliser type f]], 0)</f>
        <v>VEERG</v>
      </c>
      <c r="K22" s="19" t="str" cm="1">
        <f t="array" ref="K22">Common_InputFunctions.Utility_DisplayArrayInTable(Fertiliser_SourceData.Fertiliser_FractionNCommonFertilisers_Data(), Table2[[#Headers],[Fertiliser type f]], 0)</f>
        <v>Urea</v>
      </c>
      <c r="L22" s="19" cm="1">
        <f t="array" ref="L22">Common_InputFunctions.Utility_DisplayArrayInTable(Fertiliser_SourceData.Fertiliser_FractionNCommonFertilisers_Data(), Table2[[#Headers],[Fertiliser type f]], 0)</f>
        <v>0.46</v>
      </c>
      <c r="Q22" s="19" t="str" cm="1">
        <f t="array" ref="Q22">Common_InputFunctions.Utility_DisplayArrayInTable(Fertiliser_SourceData.Fertiliser_FractionUreaCommonFertilisers_Data(), Table28[[#Headers],[Fertiliser type f]], 0)</f>
        <v>Urea</v>
      </c>
      <c r="R22" s="19" cm="1">
        <f t="array" ref="R22">Common_InputFunctions.Utility_DisplayArrayInTable(Fertiliser_SourceData.Fertiliser_FractionUreaCommonFertilisers_Data(), Table28[[#Headers],[Fertiliser type f]], 0)</f>
        <v>1</v>
      </c>
      <c r="V22" s="19" t="str" cm="1">
        <f t="array" ref="V22">Common_InputFunctions.Utility_DisplayArrayInTable(Fertiliser_SourceData.Fertiliser_UreaAmmoniaSourceRegions_Data(),Table_SourceData_Fertiliser_UreaAmmoniaSources[[#Headers],[Source]],0)</f>
        <v>China</v>
      </c>
    </row>
    <row r="23" spans="1:22" ht="20.100000000000001" customHeight="1" x14ac:dyDescent="0.2">
      <c r="A23" s="5" t="str">
        <f>HYPERLINK("#'Input - Fertiliser'!A1", "Fertiliser")</f>
        <v>Fertiliser</v>
      </c>
      <c r="D23" s="146" t="str" cm="1">
        <f t="array" ref="D23">Common_InputFunctions.Utility_DisplayArrayInTable(Fertiliser_SourceData.Fertiliser_ChemicalCompoundElements_Data(),Table_Fertiliser_ChemicalCompounds[[#Headers],[Fertiliser type f]], 0)</f>
        <v>Sulphate of ammonia (SOA)</v>
      </c>
      <c r="E23" s="146" cm="1">
        <f t="array" ref="E23">Common_InputFunctions.Utility_DisplayArrayInTable(Fertiliser_SourceData.Fertiliser_ChemicalCompoundElements_Data(),Table_Fertiliser_ChemicalCompounds[[#Headers],[Fertiliser type f]], 0)</f>
        <v>0.21</v>
      </c>
      <c r="F23" s="146" cm="1">
        <f t="array" ref="F23">Common_InputFunctions.Utility_DisplayArrayInTable(Fertiliser_SourceData.Fertiliser_ChemicalCompoundElements_Data(),Table_Fertiliser_ChemicalCompounds[[#Headers],[Fertiliser type f]], 0)</f>
        <v>0</v>
      </c>
      <c r="G23" s="146" t="str" cm="1">
        <f t="array" ref="G23">Common_InputFunctions.Utility_DisplayArrayInTable(Fertiliser_SourceData.Fertiliser_ChemicalCompoundElements_Data(),Table_Fertiliser_ChemicalCompounds[[#Headers],[Fertiliser type f]], 0)</f>
        <v>Ammonium-based fertilisers</v>
      </c>
      <c r="H23" s="146" t="str" cm="1">
        <f t="array" ref="H23">Common_InputFunctions.Utility_DisplayArrayInTable(Fertiliser_SourceData.Fertiliser_ChemicalCompoundElements_Data(),Table_Fertiliser_ChemicalCompounds[[#Headers],[Fertiliser type f]], 0)</f>
        <v>Sulphate of ammonia (SOA)</v>
      </c>
      <c r="I23" s="146" t="str" cm="1">
        <f t="array" ref="I23">Common_InputFunctions.Utility_DisplayArrayInTable(Fertiliser_SourceData.Fertiliser_ChemicalCompoundElements_Data(),Table_Fertiliser_ChemicalCompounds[[#Headers],[Fertiliser type f]], 0)</f>
        <v>VEERG</v>
      </c>
      <c r="K23" s="19" t="str" cm="1">
        <f t="array" ref="K23">Common_InputFunctions.Utility_DisplayArrayInTable(Fertiliser_SourceData.Fertiliser_FractionNCommonFertilisers_Data(), Table2[[#Headers],[Fertiliser type f]], 0)</f>
        <v>Sulphate of ammonia (SOA)</v>
      </c>
      <c r="L23" s="19" cm="1">
        <f t="array" ref="L23">Common_InputFunctions.Utility_DisplayArrayInTable(Fertiliser_SourceData.Fertiliser_FractionNCommonFertilisers_Data(), Table2[[#Headers],[Fertiliser type f]], 0)</f>
        <v>0.21</v>
      </c>
      <c r="Q23" s="19" t="str" cm="1">
        <f t="array" ref="Q23">Common_InputFunctions.Utility_DisplayArrayInTable(Fertiliser_SourceData.Fertiliser_FractionUreaCommonFertilisers_Data(), Table28[[#Headers],[Fertiliser type f]], 0)</f>
        <v>Sulphate of ammonia (SOA)</v>
      </c>
      <c r="R23" s="19" cm="1">
        <f t="array" ref="R23">Common_InputFunctions.Utility_DisplayArrayInTable(Fertiliser_SourceData.Fertiliser_FractionUreaCommonFertilisers_Data(), Table28[[#Headers],[Fertiliser type f]], 0)</f>
        <v>0</v>
      </c>
      <c r="V23" s="19" t="str" cm="1">
        <f t="array" ref="V23">Common_InputFunctions.Utility_DisplayArrayInTable(Fertiliser_SourceData.Fertiliser_UreaAmmoniaSourceRegions_Data(),Table_SourceData_Fertiliser_UreaAmmoniaSources[[#Headers],[Source]],0)</f>
        <v>Yemen</v>
      </c>
    </row>
    <row r="24" spans="1:22" ht="20.100000000000001" customHeight="1" x14ac:dyDescent="0.2">
      <c r="D24" s="146" t="str" cm="1">
        <f t="array" ref="D24">Common_InputFunctions.Utility_DisplayArrayInTable(Fertiliser_SourceData.Fertiliser_ChemicalCompoundElements_Data(),Table_Fertiliser_ChemicalCompounds[[#Headers],[Fertiliser type f]], 0)</f>
        <v>Urea-ammonium nitrate (UAN)</v>
      </c>
      <c r="E24" s="146" cm="1">
        <f t="array" ref="E24">Common_InputFunctions.Utility_DisplayArrayInTable(Fertiliser_SourceData.Fertiliser_ChemicalCompoundElements_Data(),Table_Fertiliser_ChemicalCompounds[[#Headers],[Fertiliser type f]], 0)</f>
        <v>0.32</v>
      </c>
      <c r="F24" s="146" cm="1">
        <f t="array" ref="F24">Common_InputFunctions.Utility_DisplayArrayInTable(Fertiliser_SourceData.Fertiliser_ChemicalCompoundElements_Data(),Table_Fertiliser_ChemicalCompounds[[#Headers],[Fertiliser type f]], 0)</f>
        <v>0.35</v>
      </c>
      <c r="G24" s="146" t="str" cm="1">
        <f t="array" ref="G24">Common_InputFunctions.Utility_DisplayArrayInTable(Fertiliser_SourceData.Fertiliser_ChemicalCompoundElements_Data(),Table_Fertiliser_ChemicalCompounds[[#Headers],[Fertiliser type f]], 0)</f>
        <v>Urea-based fertilisers</v>
      </c>
      <c r="H24" s="146" t="str" cm="1">
        <f t="array" ref="H24">Common_InputFunctions.Utility_DisplayArrayInTable(Fertiliser_SourceData.Fertiliser_ChemicalCompoundElements_Data(),Table_Fertiliser_ChemicalCompounds[[#Headers],[Fertiliser type f]], 0)</f>
        <v>Urea-ammonium nitrate (UAN)</v>
      </c>
      <c r="I24" s="146" t="str" cm="1">
        <f t="array" ref="I24">Common_InputFunctions.Utility_DisplayArrayInTable(Fertiliser_SourceData.Fertiliser_ChemicalCompoundElements_Data(),Table_Fertiliser_ChemicalCompounds[[#Headers],[Fertiliser type f]], 0)</f>
        <v>VEERG</v>
      </c>
      <c r="K24" s="19" t="str" cm="1">
        <f t="array" ref="K24">Common_InputFunctions.Utility_DisplayArrayInTable(Fertiliser_SourceData.Fertiliser_FractionNCommonFertilisers_Data(), Table2[[#Headers],[Fertiliser type f]], 0)</f>
        <v>Urea-ammonium nitrate (UAN)</v>
      </c>
      <c r="L24" s="19" cm="1">
        <f t="array" ref="L24">Common_InputFunctions.Utility_DisplayArrayInTable(Fertiliser_SourceData.Fertiliser_FractionNCommonFertilisers_Data(), Table2[[#Headers],[Fertiliser type f]], 0)</f>
        <v>0.32</v>
      </c>
      <c r="Q24" s="19" t="str" cm="1">
        <f t="array" ref="Q24">Common_InputFunctions.Utility_DisplayArrayInTable(Fertiliser_SourceData.Fertiliser_FractionUreaCommonFertilisers_Data(), Table28[[#Headers],[Fertiliser type f]], 0)</f>
        <v>Urea-ammonium nitrate (UAN)</v>
      </c>
      <c r="R24" s="19" cm="1">
        <f t="array" ref="R24">Common_InputFunctions.Utility_DisplayArrayInTable(Fertiliser_SourceData.Fertiliser_FractionUreaCommonFertilisers_Data(), Table28[[#Headers],[Fertiliser type f]], 0)</f>
        <v>0.35</v>
      </c>
    </row>
    <row r="25" spans="1:22" ht="20.100000000000001" customHeight="1" x14ac:dyDescent="0.2">
      <c r="D25" s="146" t="str" cm="1">
        <f t="array" ref="D25">Common_InputFunctions.Utility_DisplayArrayInTable(Fertiliser_SourceData.Fertiliser_ChemicalCompoundElements_Data(),Table_Fertiliser_ChemicalCompounds[[#Headers],[Fertiliser type f]], 0)</f>
        <v>Ammonium nitrate (AN)</v>
      </c>
      <c r="E25" s="146" cm="1">
        <f t="array" ref="E25">Common_InputFunctions.Utility_DisplayArrayInTable(Fertiliser_SourceData.Fertiliser_ChemicalCompoundElements_Data(),Table_Fertiliser_ChemicalCompounds[[#Headers],[Fertiliser type f]], 0)</f>
        <v>0.33700000000000002</v>
      </c>
      <c r="F25" s="146" cm="1">
        <f t="array" ref="F25">Common_InputFunctions.Utility_DisplayArrayInTable(Fertiliser_SourceData.Fertiliser_ChemicalCompoundElements_Data(),Table_Fertiliser_ChemicalCompounds[[#Headers],[Fertiliser type f]], 0)</f>
        <v>0</v>
      </c>
      <c r="G25" s="146" t="str" cm="1">
        <f t="array" ref="G25">Common_InputFunctions.Utility_DisplayArrayInTable(Fertiliser_SourceData.Fertiliser_ChemicalCompoundElements_Data(),Table_Fertiliser_ChemicalCompounds[[#Headers],[Fertiliser type f]], 0)</f>
        <v>Ammonium-nitrate based fertilisers</v>
      </c>
      <c r="H25" s="146" t="str" cm="1">
        <f t="array" ref="H25">Common_InputFunctions.Utility_DisplayArrayInTable(Fertiliser_SourceData.Fertiliser_ChemicalCompoundElements_Data(),Table_Fertiliser_ChemicalCompounds[[#Headers],[Fertiliser type f]], 0)</f>
        <v>Ammonium nitrate (AN)</v>
      </c>
      <c r="I25" s="146" t="str" cm="1">
        <f t="array" ref="I25">Common_InputFunctions.Utility_DisplayArrayInTable(Fertiliser_SourceData.Fertiliser_ChemicalCompoundElements_Data(),Table_Fertiliser_ChemicalCompounds[[#Headers],[Fertiliser type f]], 0)</f>
        <v>VEERG</v>
      </c>
      <c r="K25" s="19" t="str" cm="1">
        <f t="array" ref="K25">Common_InputFunctions.Utility_DisplayArrayInTable(Fertiliser_SourceData.Fertiliser_FractionNCommonFertilisers_Data(), Table2[[#Headers],[Fertiliser type f]], 0)</f>
        <v>Ammonium nitrate (AN)</v>
      </c>
      <c r="L25" s="19" cm="1">
        <f t="array" ref="L25">Common_InputFunctions.Utility_DisplayArrayInTable(Fertiliser_SourceData.Fertiliser_FractionNCommonFertilisers_Data(), Table2[[#Headers],[Fertiliser type f]], 0)</f>
        <v>0.33700000000000002</v>
      </c>
      <c r="Q25" s="19" t="str" cm="1">
        <f t="array" ref="Q25">Common_InputFunctions.Utility_DisplayArrayInTable(Fertiliser_SourceData.Fertiliser_FractionUreaCommonFertilisers_Data(), Table28[[#Headers],[Fertiliser type f]], 0)</f>
        <v>Ammonium nitrate (AN)</v>
      </c>
      <c r="R25" s="19" cm="1">
        <f t="array" ref="R25">Common_InputFunctions.Utility_DisplayArrayInTable(Fertiliser_SourceData.Fertiliser_FractionUreaCommonFertilisers_Data(), Table28[[#Headers],[Fertiliser type f]], 0)</f>
        <v>0</v>
      </c>
    </row>
    <row r="26" spans="1:22" ht="20.100000000000001" customHeight="1" x14ac:dyDescent="0.2">
      <c r="A26" s="6" t="s">
        <v>2</v>
      </c>
      <c r="D26" s="146" t="str" cm="1">
        <f t="array" ref="D26">Common_InputFunctions.Utility_DisplayArrayInTable(Fertiliser_SourceData.Fertiliser_ChemicalCompoundElements_Data(),Table_Fertiliser_ChemicalCompounds[[#Headers],[Fertiliser type f]], 0)</f>
        <v>Calcium ammonium nitrate (CAN)</v>
      </c>
      <c r="E26" s="146" cm="1">
        <f t="array" ref="E26">Common_InputFunctions.Utility_DisplayArrayInTable(Fertiliser_SourceData.Fertiliser_ChemicalCompoundElements_Data(),Table_Fertiliser_ChemicalCompounds[[#Headers],[Fertiliser type f]], 0)</f>
        <v>0.27</v>
      </c>
      <c r="F26" s="146" cm="1">
        <f t="array" ref="F26">Common_InputFunctions.Utility_DisplayArrayInTable(Fertiliser_SourceData.Fertiliser_ChemicalCompoundElements_Data(),Table_Fertiliser_ChemicalCompounds[[#Headers],[Fertiliser type f]], 0)</f>
        <v>0</v>
      </c>
      <c r="G26" s="146" t="str" cm="1">
        <f t="array" ref="G26">Common_InputFunctions.Utility_DisplayArrayInTable(Fertiliser_SourceData.Fertiliser_ChemicalCompoundElements_Data(),Table_Fertiliser_ChemicalCompounds[[#Headers],[Fertiliser type f]], 0)</f>
        <v>Ammonium-nitrate based fertilisers</v>
      </c>
      <c r="H26" s="146" t="str" cm="1">
        <f t="array" ref="H26">Common_InputFunctions.Utility_DisplayArrayInTable(Fertiliser_SourceData.Fertiliser_ChemicalCompoundElements_Data(),Table_Fertiliser_ChemicalCompounds[[#Headers],[Fertiliser type f]], 0)</f>
        <v>Calcium ammonium nitrate (CAN)</v>
      </c>
      <c r="I26" s="146" t="str" cm="1">
        <f t="array" ref="I26">Common_InputFunctions.Utility_DisplayArrayInTable(Fertiliser_SourceData.Fertiliser_ChemicalCompoundElements_Data(),Table_Fertiliser_ChemicalCompounds[[#Headers],[Fertiliser type f]], 0)</f>
        <v>VEERG</v>
      </c>
      <c r="K26" s="19" t="str" cm="1">
        <f t="array" ref="K26">Common_InputFunctions.Utility_DisplayArrayInTable(Fertiliser_SourceData.Fertiliser_FractionNCommonFertilisers_Data(), Table2[[#Headers],[Fertiliser type f]], 0)</f>
        <v>Calcium ammonium nitrate (CAN)</v>
      </c>
      <c r="L26" s="19" cm="1">
        <f t="array" ref="L26">Common_InputFunctions.Utility_DisplayArrayInTable(Fertiliser_SourceData.Fertiliser_FractionNCommonFertilisers_Data(), Table2[[#Headers],[Fertiliser type f]], 0)</f>
        <v>0.27</v>
      </c>
      <c r="Q26" s="19" t="str" cm="1">
        <f t="array" ref="Q26">Common_InputFunctions.Utility_DisplayArrayInTable(Fertiliser_SourceData.Fertiliser_FractionUreaCommonFertilisers_Data(), Table28[[#Headers],[Fertiliser type f]], 0)</f>
        <v>Calcium ammonium nitrate (CAN)</v>
      </c>
      <c r="R26" s="19" cm="1">
        <f t="array" ref="R26">Common_InputFunctions.Utility_DisplayArrayInTable(Fertiliser_SourceData.Fertiliser_FractionUreaCommonFertilisers_Data(), Table28[[#Headers],[Fertiliser type f]], 0)</f>
        <v>0</v>
      </c>
    </row>
    <row r="27" spans="1:22" ht="20.100000000000001" customHeight="1" x14ac:dyDescent="0.2">
      <c r="A27" s="5" t="str">
        <f>HYPERLINK("#'3.1.1.1-2 Enteric Methane'!A1", "3.1.1.1-2 Enteric Methane")</f>
        <v>3.1.1.1-2 Enteric Methane</v>
      </c>
      <c r="D27" s="146" t="str" cm="1">
        <f t="array" ref="D27">Common_InputFunctions.Utility_DisplayArrayInTable(Fertiliser_SourceData.Fertiliser_ChemicalCompoundElements_Data(),Table_Fertiliser_ChemicalCompounds[[#Headers],[Fertiliser type f]], 0)</f>
        <v>Nitrogen - Ammoniacal</v>
      </c>
      <c r="E27" s="146" cm="1">
        <f t="array" ref="E27">Common_InputFunctions.Utility_DisplayArrayInTable(Fertiliser_SourceData.Fertiliser_ChemicalCompoundElements_Data(),Table_Fertiliser_ChemicalCompounds[[#Headers],[Fertiliser type f]], 0)</f>
        <v>1</v>
      </c>
      <c r="F27" s="146" cm="1">
        <f t="array" ref="F27">Common_InputFunctions.Utility_DisplayArrayInTable(Fertiliser_SourceData.Fertiliser_ChemicalCompoundElements_Data(),Table_Fertiliser_ChemicalCompounds[[#Headers],[Fertiliser type f]], 0)</f>
        <v>0</v>
      </c>
      <c r="G27" s="146" t="str" cm="1">
        <f t="array" ref="G27">Common_InputFunctions.Utility_DisplayArrayInTable(Fertiliser_SourceData.Fertiliser_ChemicalCompoundElements_Data(),Table_Fertiliser_ChemicalCompounds[[#Headers],[Fertiliser type f]], 0)</f>
        <v>Ammonium-based fertilisers</v>
      </c>
      <c r="H27" s="146" t="str" cm="1">
        <f t="array" ref="H27">Common_InputFunctions.Utility_DisplayArrayInTable(Fertiliser_SourceData.Fertiliser_ChemicalCompoundElements_Data(),Table_Fertiliser_ChemicalCompounds[[#Headers],[Fertiliser type f]], 0)</f>
        <v>Nitrogen - Ammoniacal</v>
      </c>
      <c r="I27" s="146" t="str" cm="1">
        <f t="array" ref="I27">Common_InputFunctions.Utility_DisplayArrayInTable(Fertiliser_SourceData.Fertiliser_ChemicalCompoundElements_Data(),Table_Fertiliser_ChemicalCompounds[[#Headers],[Fertiliser type f]], 0)</f>
        <v>LifeCycles</v>
      </c>
      <c r="K27" s="19" t="str" cm="1">
        <f t="array" ref="K27">Common_InputFunctions.Utility_DisplayArrayInTable(Fertiliser_SourceData.Fertiliser_FractionNCommonFertilisers_Data(), Table2[[#Headers],[Fertiliser type f]], 0)</f>
        <v>Ammonium Sulfate</v>
      </c>
      <c r="L27" s="19" cm="1">
        <f t="array" ref="L27">Common_InputFunctions.Utility_DisplayArrayInTable(Fertiliser_SourceData.Fertiliser_FractionNCommonFertilisers_Data(), Table2[[#Headers],[Fertiliser type f]], 0)</f>
        <v>0.21</v>
      </c>
      <c r="Q27" s="19" t="str" cm="1">
        <f t="array" ref="Q27">Common_InputFunctions.Utility_DisplayArrayInTable(Fertiliser_SourceData.Fertiliser_FractionUreaCommonFertilisers_Data(), Table28[[#Headers],[Fertiliser type f]], 0)</f>
        <v>Ammonium Sulfate</v>
      </c>
      <c r="R27" s="19" cm="1">
        <f t="array" ref="R27">Common_InputFunctions.Utility_DisplayArrayInTable(Fertiliser_SourceData.Fertiliser_FractionUreaCommonFertilisers_Data(), Table28[[#Headers],[Fertiliser type f]], 0)</f>
        <v>0</v>
      </c>
    </row>
    <row r="28" spans="1:22" ht="20.100000000000001" customHeight="1" x14ac:dyDescent="0.2">
      <c r="A28" s="5" t="str">
        <f>HYPERLINK("#'4.1.1.1-2 Methane'!A1", "4.1.1.1-2 Manure Methane")</f>
        <v>4.1.1.1-2 Manure Methane</v>
      </c>
      <c r="D28" s="146" t="str" cm="1">
        <f t="array" ref="D28">Common_InputFunctions.Utility_DisplayArrayInTable(Fertiliser_SourceData.Fertiliser_ChemicalCompoundElements_Data(),Table_Fertiliser_ChemicalCompounds[[#Headers],[Fertiliser type f]], 0)</f>
        <v>Nitrogen - Nitrate</v>
      </c>
      <c r="E28" s="146" cm="1">
        <f t="array" ref="E28">Common_InputFunctions.Utility_DisplayArrayInTable(Fertiliser_SourceData.Fertiliser_ChemicalCompoundElements_Data(),Table_Fertiliser_ChemicalCompounds[[#Headers],[Fertiliser type f]], 0)</f>
        <v>1</v>
      </c>
      <c r="F28" s="146" cm="1">
        <f t="array" ref="F28">Common_InputFunctions.Utility_DisplayArrayInTable(Fertiliser_SourceData.Fertiliser_ChemicalCompoundElements_Data(),Table_Fertiliser_ChemicalCompounds[[#Headers],[Fertiliser type f]], 0)</f>
        <v>0</v>
      </c>
      <c r="G28" s="146" t="str" cm="1">
        <f t="array" ref="G28">Common_InputFunctions.Utility_DisplayArrayInTable(Fertiliser_SourceData.Fertiliser_ChemicalCompoundElements_Data(),Table_Fertiliser_ChemicalCompounds[[#Headers],[Fertiliser type f]], 0)</f>
        <v>Nitrate-based fertilisers</v>
      </c>
      <c r="H28" s="146" t="str" cm="1">
        <f t="array" ref="H28">Common_InputFunctions.Utility_DisplayArrayInTable(Fertiliser_SourceData.Fertiliser_ChemicalCompoundElements_Data(),Table_Fertiliser_ChemicalCompounds[[#Headers],[Fertiliser type f]], 0)</f>
        <v>Nitrogen from Nitrate</v>
      </c>
      <c r="I28" s="146" t="str" cm="1">
        <f t="array" ref="I28">Common_InputFunctions.Utility_DisplayArrayInTable(Fertiliser_SourceData.Fertiliser_ChemicalCompoundElements_Data(),Table_Fertiliser_ChemicalCompounds[[#Headers],[Fertiliser type f]], 0)</f>
        <v>LifeCycles</v>
      </c>
      <c r="K28" s="19" t="str" cm="1">
        <f t="array" ref="K28">Common_InputFunctions.Utility_DisplayArrayInTable(Fertiliser_SourceData.Fertiliser_FractionNCommonFertilisers_Data(), Table2[[#Headers],[Fertiliser type f]], 0)</f>
        <v>Calcium Nitrate</v>
      </c>
      <c r="L28" s="19" cm="1">
        <f t="array" ref="L28">Common_InputFunctions.Utility_DisplayArrayInTable(Fertiliser_SourceData.Fertiliser_FractionNCommonFertilisers_Data(), Table2[[#Headers],[Fertiliser type f]], 0)</f>
        <v>0.155</v>
      </c>
      <c r="Q28" s="19" t="str" cm="1">
        <f t="array" ref="Q28">Common_InputFunctions.Utility_DisplayArrayInTable(Fertiliser_SourceData.Fertiliser_FractionUreaCommonFertilisers_Data(), Table28[[#Headers],[Fertiliser type f]], 0)</f>
        <v>Calcium Nitrate</v>
      </c>
      <c r="R28" s="19" cm="1">
        <f t="array" ref="R28">Common_InputFunctions.Utility_DisplayArrayInTable(Fertiliser_SourceData.Fertiliser_FractionUreaCommonFertilisers_Data(), Table28[[#Headers],[Fertiliser type f]], 0)</f>
        <v>0</v>
      </c>
    </row>
    <row r="29" spans="1:22" ht="20.100000000000001" customHeight="1" x14ac:dyDescent="0.2">
      <c r="A29" s="5" t="str">
        <f>HYPERLINK("#'4.1.1.3-4 Direct N20'!A1", "4.1.1.3-4 Manure Direct N2O")</f>
        <v>4.1.1.3-4 Manure Direct N2O</v>
      </c>
      <c r="D29" s="146" t="str" cm="1">
        <f t="array" ref="D29">Common_InputFunctions.Utility_DisplayArrayInTable(Fertiliser_SourceData.Fertiliser_ChemicalCompoundElements_Data(),Table_Fertiliser_ChemicalCompounds[[#Headers],[Fertiliser type f]], 0)</f>
        <v>Nitrogen - Generic</v>
      </c>
      <c r="E29" s="146" cm="1">
        <f t="array" ref="E29">Common_InputFunctions.Utility_DisplayArrayInTable(Fertiliser_SourceData.Fertiliser_ChemicalCompoundElements_Data(),Table_Fertiliser_ChemicalCompounds[[#Headers],[Fertiliser type f]], 0)</f>
        <v>1</v>
      </c>
      <c r="F29" s="146" cm="1">
        <f t="array" ref="F29">Common_InputFunctions.Utility_DisplayArrayInTable(Fertiliser_SourceData.Fertiliser_ChemicalCompoundElements_Data(),Table_Fertiliser_ChemicalCompounds[[#Headers],[Fertiliser type f]], 0)</f>
        <v>0</v>
      </c>
      <c r="G29" s="146" t="str" cm="1">
        <f t="array" ref="G29">Common_InputFunctions.Utility_DisplayArrayInTable(Fertiliser_SourceData.Fertiliser_ChemicalCompoundElements_Data(),Table_Fertiliser_ChemicalCompounds[[#Headers],[Fertiliser type f]], 0)</f>
        <v>Urea-based fertilisers</v>
      </c>
      <c r="H29" s="146" t="str" cm="1">
        <f t="array" ref="H29">Common_InputFunctions.Utility_DisplayArrayInTable(Fertiliser_SourceData.Fertiliser_ChemicalCompoundElements_Data(),Table_Fertiliser_ChemicalCompounds[[#Headers],[Fertiliser type f]], 0)</f>
        <v>Nitrogen from fertiliser</v>
      </c>
      <c r="I29" s="146"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
      <c r="A30" s="5" t="str">
        <f>HYPERLINK("#'4.1.1.5-6 Atmos Deposition'!A1", "4.1.1.5-6 Manure Atmos Dep")</f>
        <v>4.1.1.5-6 Manure Atmos Dep</v>
      </c>
      <c r="D30" s="146" t="str" cm="1">
        <f t="array" ref="D30">Common_InputFunctions.Utility_DisplayArrayInTable(Fertiliser_SourceData.Fertiliser_ChemicalCompoundElements_Data(),Table_Fertiliser_ChemicalCompounds[[#Headers],[Fertiliser type f]], 0)</f>
        <v>Phosphorus - Generic</v>
      </c>
      <c r="E30" s="146" cm="1">
        <f t="array" ref="E30">Common_InputFunctions.Utility_DisplayArrayInTable(Fertiliser_SourceData.Fertiliser_ChemicalCompoundElements_Data(),Table_Fertiliser_ChemicalCompounds[[#Headers],[Fertiliser type f]], 0)</f>
        <v>0</v>
      </c>
      <c r="F30" s="146" cm="1">
        <f t="array" ref="F30">Common_InputFunctions.Utility_DisplayArrayInTable(Fertiliser_SourceData.Fertiliser_ChemicalCompoundElements_Data(),Table_Fertiliser_ChemicalCompounds[[#Headers],[Fertiliser type f]], 0)</f>
        <v>0</v>
      </c>
      <c r="G30" s="146" t="str" cm="1">
        <f t="array" ref="G30">Common_InputFunctions.Utility_DisplayArrayInTable(Fertiliser_SourceData.Fertiliser_ChemicalCompoundElements_Data(),Table_Fertiliser_ChemicalCompounds[[#Headers],[Fertiliser type f]], 0)</f>
        <v>Other fertilisers</v>
      </c>
      <c r="H30" s="146" t="str" cm="1">
        <f t="array" ref="H30">Common_InputFunctions.Utility_DisplayArrayInTable(Fertiliser_SourceData.Fertiliser_ChemicalCompoundElements_Data(),Table_Fertiliser_ChemicalCompounds[[#Headers],[Fertiliser type f]], 0)</f>
        <v>Phosphorus from fertiliser</v>
      </c>
      <c r="I30" s="146"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
      <c r="A31" s="5" t="str">
        <f>HYPERLINK("#'4.1.1.9 Manure applied to soils'!A1", "4.1.1.9 Manure applied to soils")</f>
        <v>4.1.1.9 Manure applied to soils</v>
      </c>
      <c r="D31" s="146" t="str" cm="1">
        <f t="array" ref="D31">Common_InputFunctions.Utility_DisplayArrayInTable(Fertiliser_SourceData.Fertiliser_ChemicalCompoundElements_Data(),Table_Fertiliser_ChemicalCompounds[[#Headers],[Fertiliser type f]], 0)</f>
        <v>Potassium - Generic</v>
      </c>
      <c r="E31" s="146" cm="1">
        <f t="array" ref="E31">Common_InputFunctions.Utility_DisplayArrayInTable(Fertiliser_SourceData.Fertiliser_ChemicalCompoundElements_Data(),Table_Fertiliser_ChemicalCompounds[[#Headers],[Fertiliser type f]], 0)</f>
        <v>0</v>
      </c>
      <c r="F31" s="146" cm="1">
        <f t="array" ref="F31">Common_InputFunctions.Utility_DisplayArrayInTable(Fertiliser_SourceData.Fertiliser_ChemicalCompoundElements_Data(),Table_Fertiliser_ChemicalCompounds[[#Headers],[Fertiliser type f]], 0)</f>
        <v>0</v>
      </c>
      <c r="G31" s="146" t="str" cm="1">
        <f t="array" ref="G31">Common_InputFunctions.Utility_DisplayArrayInTable(Fertiliser_SourceData.Fertiliser_ChemicalCompoundElements_Data(),Table_Fertiliser_ChemicalCompounds[[#Headers],[Fertiliser type f]], 0)</f>
        <v>Other fertilisers</v>
      </c>
      <c r="H31" s="146" t="str" cm="1">
        <f t="array" ref="H31">Common_InputFunctions.Utility_DisplayArrayInTable(Fertiliser_SourceData.Fertiliser_ChemicalCompoundElements_Data(),Table_Fertiliser_ChemicalCompounds[[#Headers],[Fertiliser type f]], 0)</f>
        <v>Potassium from fertiliser</v>
      </c>
      <c r="I31" s="146"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
      <c r="A32" s="5" t="str">
        <f>HYPERLINK("#'8.1.1.1-2 Transport fuel'!A1", "8.1.1.1-2 Transport fuel")</f>
        <v>8.1.1.1-2 Transport fuel</v>
      </c>
      <c r="D32" s="146" t="str" cm="1">
        <f t="array" ref="D32">Common_InputFunctions.Utility_DisplayArrayInTable(Fertiliser_SourceData.Fertiliser_ChemicalCompoundElements_Data(),Table_Fertiliser_ChemicalCompounds[[#Headers],[Fertiliser type f]], 0)</f>
        <v>Sulfur - Generic</v>
      </c>
      <c r="E32" s="146" cm="1">
        <f t="array" ref="E32">Common_InputFunctions.Utility_DisplayArrayInTable(Fertiliser_SourceData.Fertiliser_ChemicalCompoundElements_Data(),Table_Fertiliser_ChemicalCompounds[[#Headers],[Fertiliser type f]], 0)</f>
        <v>0</v>
      </c>
      <c r="F32" s="146" cm="1">
        <f t="array" ref="F32">Common_InputFunctions.Utility_DisplayArrayInTable(Fertiliser_SourceData.Fertiliser_ChemicalCompoundElements_Data(),Table_Fertiliser_ChemicalCompounds[[#Headers],[Fertiliser type f]], 0)</f>
        <v>0</v>
      </c>
      <c r="G32" s="146" t="str" cm="1">
        <f t="array" ref="G32">Common_InputFunctions.Utility_DisplayArrayInTable(Fertiliser_SourceData.Fertiliser_ChemicalCompoundElements_Data(),Table_Fertiliser_ChemicalCompounds[[#Headers],[Fertiliser type f]], 0)</f>
        <v>Other fertilisers</v>
      </c>
      <c r="H32" s="146" t="str" cm="1">
        <f t="array" ref="H32">Common_InputFunctions.Utility_DisplayArrayInTable(Fertiliser_SourceData.Fertiliser_ChemicalCompoundElements_Data(),Table_Fertiliser_ChemicalCompounds[[#Headers],[Fertiliser type f]], 0)</f>
        <v>Sulfur from fertiliser</v>
      </c>
      <c r="I32" s="146"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
      <c r="A33" s="5" t="str">
        <f>HYPERLINK("#'8.2.1.1-2 Stationary fuel'!A1", "8.2.1.1-2 Stationary fuel")</f>
        <v>8.2.1.1-2 Stationary fuel</v>
      </c>
      <c r="D33" s="146" t="str" cm="1">
        <f t="array" ref="D33">Common_InputFunctions.Utility_DisplayArrayInTable(Fertiliser_SourceData.Fertiliser_ChemicalCompoundElements_Data(),Table_Fertiliser_ChemicalCompounds[[#Headers],[Fertiliser type f]], 0)</f>
        <v>Zinc - Generic</v>
      </c>
      <c r="E33" s="146" cm="1">
        <f t="array" ref="E33">Common_InputFunctions.Utility_DisplayArrayInTable(Fertiliser_SourceData.Fertiliser_ChemicalCompoundElements_Data(),Table_Fertiliser_ChemicalCompounds[[#Headers],[Fertiliser type f]], 0)</f>
        <v>0</v>
      </c>
      <c r="F33" s="146" cm="1">
        <f t="array" ref="F33">Common_InputFunctions.Utility_DisplayArrayInTable(Fertiliser_SourceData.Fertiliser_ChemicalCompoundElements_Data(),Table_Fertiliser_ChemicalCompounds[[#Headers],[Fertiliser type f]], 0)</f>
        <v>0</v>
      </c>
      <c r="G33" s="146" t="str" cm="1">
        <f t="array" ref="G33">Common_InputFunctions.Utility_DisplayArrayInTable(Fertiliser_SourceData.Fertiliser_ChemicalCompoundElements_Data(),Table_Fertiliser_ChemicalCompounds[[#Headers],[Fertiliser type f]], 0)</f>
        <v>Other fertilisers</v>
      </c>
      <c r="H33" s="146" t="str" cm="1">
        <f t="array" ref="H33">Common_InputFunctions.Utility_DisplayArrayInTable(Fertiliser_SourceData.Fertiliser_ChemicalCompoundElements_Data(),Table_Fertiliser_ChemicalCompounds[[#Headers],[Fertiliser type f]], 0)</f>
        <v>Zinc from fertiliser</v>
      </c>
      <c r="I33" s="146"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
      <c r="A34" s="5" t="str">
        <f>HYPERLINK("#'10.1.1-2 Solid waste treatment'!A1", "10.1.1.1-2 Solid waste")</f>
        <v>10.1.1.1-2 Solid waste</v>
      </c>
      <c r="D34" s="146" t="str" cm="1">
        <f t="array" ref="D34">Common_InputFunctions.Utility_DisplayArrayInTable(Fertiliser_SourceData.Fertiliser_ChemicalCompoundElements_Data(),Table_Fertiliser_ChemicalCompounds[[#Headers],[Fertiliser type f]], 0)</f>
        <v>Muriate of potash (MOP)</v>
      </c>
      <c r="E34" s="146" cm="1">
        <f t="array" ref="E34">Common_InputFunctions.Utility_DisplayArrayInTable(Fertiliser_SourceData.Fertiliser_ChemicalCompoundElements_Data(),Table_Fertiliser_ChemicalCompounds[[#Headers],[Fertiliser type f]], 0)</f>
        <v>0</v>
      </c>
      <c r="F34" s="146" cm="1">
        <f t="array" ref="F34">Common_InputFunctions.Utility_DisplayArrayInTable(Fertiliser_SourceData.Fertiliser_ChemicalCompoundElements_Data(),Table_Fertiliser_ChemicalCompounds[[#Headers],[Fertiliser type f]], 0)</f>
        <v>0</v>
      </c>
      <c r="G34" s="146" t="str" cm="1">
        <f t="array" ref="G34">Common_InputFunctions.Utility_DisplayArrayInTable(Fertiliser_SourceData.Fertiliser_ChemicalCompoundElements_Data(),Table_Fertiliser_ChemicalCompounds[[#Headers],[Fertiliser type f]], 0)</f>
        <v>Other fertilisers</v>
      </c>
      <c r="H34" s="146" t="str" cm="1">
        <f t="array" ref="H34">Common_InputFunctions.Utility_DisplayArrayInTable(Fertiliser_SourceData.Fertiliser_ChemicalCompoundElements_Data(),Table_Fertiliser_ChemicalCompounds[[#Headers],[Fertiliser type f]], 0)</f>
        <v>Muriate of potash (MOP)</v>
      </c>
      <c r="I34" s="146"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
      <c r="A35" s="5" t="str">
        <f>HYPERLINK("#'14.1.1-2 Purchased electricity'!A1", "14.1.1-2 Purchased electricity")</f>
        <v>14.1.1-2 Purchased electricity</v>
      </c>
      <c r="D35" s="146" t="str" cm="1">
        <f t="array" ref="D35">Common_InputFunctions.Utility_DisplayArrayInTable(Fertiliser_SourceData.Fertiliser_ChemicalCompoundElements_Data(),Table_Fertiliser_ChemicalCompounds[[#Headers],[Fertiliser type f]], 0)</f>
        <v>Double superphosphate</v>
      </c>
      <c r="E35" s="146" cm="1">
        <f t="array" ref="E35">Common_InputFunctions.Utility_DisplayArrayInTable(Fertiliser_SourceData.Fertiliser_ChemicalCompoundElements_Data(),Table_Fertiliser_ChemicalCompounds[[#Headers],[Fertiliser type f]], 0)</f>
        <v>0</v>
      </c>
      <c r="F35" s="146" cm="1">
        <f t="array" ref="F35">Common_InputFunctions.Utility_DisplayArrayInTable(Fertiliser_SourceData.Fertiliser_ChemicalCompoundElements_Data(),Table_Fertiliser_ChemicalCompounds[[#Headers],[Fertiliser type f]], 0)</f>
        <v>0</v>
      </c>
      <c r="G35" s="146" t="str" cm="1">
        <f t="array" ref="G35">Common_InputFunctions.Utility_DisplayArrayInTable(Fertiliser_SourceData.Fertiliser_ChemicalCompoundElements_Data(),Table_Fertiliser_ChemicalCompounds[[#Headers],[Fertiliser type f]], 0)</f>
        <v>Other fertilisers</v>
      </c>
      <c r="H35" s="146" t="str" cm="1">
        <f t="array" ref="H35">Common_InputFunctions.Utility_DisplayArrayInTable(Fertiliser_SourceData.Fertiliser_ChemicalCompoundElements_Data(),Table_Fertiliser_ChemicalCompounds[[#Headers],[Fertiliser type f]], 0)</f>
        <v>Double superphosphate</v>
      </c>
      <c r="I35" s="146"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
      <c r="A36" s="5" t="str">
        <f>HYPERLINK("#'15 Scope 3'!A1", "15 Scope 3")</f>
        <v>15 Scope 3</v>
      </c>
      <c r="D36" s="146" t="str" cm="1">
        <f t="array" ref="D36">Common_InputFunctions.Utility_DisplayArrayInTable(Fertiliser_SourceData.Fertiliser_ChemicalCompoundElements_Data(),Table_Fertiliser_ChemicalCompounds[[#Headers],[Fertiliser type f]], 0)</f>
        <v>Single superphosphate (SSP)</v>
      </c>
      <c r="E36" s="146" cm="1">
        <f t="array" ref="E36">Common_InputFunctions.Utility_DisplayArrayInTable(Fertiliser_SourceData.Fertiliser_ChemicalCompoundElements_Data(),Table_Fertiliser_ChemicalCompounds[[#Headers],[Fertiliser type f]], 0)</f>
        <v>0</v>
      </c>
      <c r="F36" s="146" cm="1">
        <f t="array" ref="F36">Common_InputFunctions.Utility_DisplayArrayInTable(Fertiliser_SourceData.Fertiliser_ChemicalCompoundElements_Data(),Table_Fertiliser_ChemicalCompounds[[#Headers],[Fertiliser type f]], 0)</f>
        <v>0</v>
      </c>
      <c r="G36" s="146" t="str" cm="1">
        <f t="array" ref="G36">Common_InputFunctions.Utility_DisplayArrayInTable(Fertiliser_SourceData.Fertiliser_ChemicalCompoundElements_Data(),Table_Fertiliser_ChemicalCompounds[[#Headers],[Fertiliser type f]], 0)</f>
        <v>Other fertilisers</v>
      </c>
      <c r="H36" s="146" t="str" cm="1">
        <f t="array" ref="H36">Common_InputFunctions.Utility_DisplayArrayInTable(Fertiliser_SourceData.Fertiliser_ChemicalCompoundElements_Data(),Table_Fertiliser_ChemicalCompounds[[#Headers],[Fertiliser type f]], 0)</f>
        <v>Single superphosphate (SSP)</v>
      </c>
      <c r="I36" s="146"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
      <c r="A37" s="5" t="str">
        <f>HYPERLINK("#'Calcs - Manure sent off-site'!A1", "Calcs - Manure sent off-site")</f>
        <v>Calcs - Manure sent off-site</v>
      </c>
      <c r="D37" s="146" t="str" cm="1">
        <f t="array" ref="D37">Common_InputFunctions.Utility_DisplayArrayInTable(Fertiliser_SourceData.Fertiliser_ChemicalCompoundElements_Data(),Table_Fertiliser_ChemicalCompounds[[#Headers],[Fertiliser type f]], 0)</f>
        <v>Ammonia</v>
      </c>
      <c r="E37" s="146" cm="1">
        <f t="array" ref="E37">Common_InputFunctions.Utility_DisplayArrayInTable(Fertiliser_SourceData.Fertiliser_ChemicalCompoundElements_Data(),Table_Fertiliser_ChemicalCompounds[[#Headers],[Fertiliser type f]], 0)</f>
        <v>0.82350000000000001</v>
      </c>
      <c r="F37" s="146" cm="1">
        <f t="array" ref="F37">Common_InputFunctions.Utility_DisplayArrayInTable(Fertiliser_SourceData.Fertiliser_ChemicalCompoundElements_Data(),Table_Fertiliser_ChemicalCompounds[[#Headers],[Fertiliser type f]], 0)</f>
        <v>0</v>
      </c>
      <c r="G37" s="146" t="str" cm="1">
        <f t="array" ref="G37">Common_InputFunctions.Utility_DisplayArrayInTable(Fertiliser_SourceData.Fertiliser_ChemicalCompoundElements_Data(),Table_Fertiliser_ChemicalCompounds[[#Headers],[Fertiliser type f]], 0)</f>
        <v>Ammonium-based fertilisers</v>
      </c>
      <c r="H37" s="146" t="str" cm="1">
        <f t="array" ref="H37">Common_InputFunctions.Utility_DisplayArrayInTable(Fertiliser_SourceData.Fertiliser_ChemicalCompoundElements_Data(),Table_Fertiliser_ChemicalCompounds[[#Headers],[Fertiliser type f]], 0)</f>
        <v>Ammonia</v>
      </c>
      <c r="I37" s="146"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
      <c r="A38" s="5" t="str">
        <f>HYPERLINK("#'5.1.1.1-2 Inorganic fert N2O'!A1", "5.1.1.1-2 Inorganic fert N2O")</f>
        <v>5.1.1.1-2 Inorganic fert N2O</v>
      </c>
      <c r="D38" s="19" t="str" cm="1">
        <f t="array" ref="D38">Common_InputFunctions.Utility_DisplayArrayInTable(Fertiliser_SourceData.Fertiliser_ChemicalCompoundElements_Data(),Table_Fertiliser_ChemicalCompounds[[#Headers],[Fertiliser type f]], 0)</f>
        <v>Calcium nitrate</v>
      </c>
      <c r="E38" s="19" cm="1">
        <f t="array" ref="E38">Common_InputFunctions.Utility_DisplayArrayInTable(Fertiliser_SourceData.Fertiliser_ChemicalCompoundElements_Data(),Table_Fertiliser_ChemicalCompounds[[#Headers],[Fertiliser type f]], 0)</f>
        <v>0.155</v>
      </c>
      <c r="F38" s="19" cm="1">
        <f t="array" ref="F38">Common_InputFunctions.Utility_DisplayArrayInTable(Fertiliser_SourceData.Fertiliser_ChemicalCompoundElements_Data(),Table_Fertiliser_ChemicalCompounds[[#Headers],[Fertiliser type f]], 0)</f>
        <v>0</v>
      </c>
      <c r="G38" s="19" t="str" cm="1">
        <f t="array" ref="G38">Common_InputFunctions.Utility_DisplayArrayInTable(Fertiliser_SourceData.Fertiliser_ChemicalCompoundElements_Data(),Table_Fertiliser_ChemicalCompounds[[#Headers],[Fertiliser type f]], 0)</f>
        <v>Nitrate-based fertilisers</v>
      </c>
      <c r="H38" s="19" t="str" cm="1">
        <f t="array" ref="H38">Common_InputFunctions.Utility_DisplayArrayInTable(Fertiliser_SourceData.Fertiliser_ChemicalCompoundElements_Data(),Table_Fertiliser_ChemicalCompounds[[#Headers],[Fertiliser type f]], 0)</f>
        <v>Calcium nitrate</v>
      </c>
      <c r="I38" s="19" t="str" cm="1">
        <f t="array" ref="I38">Common_InputFunctions.Utility_DisplayArrayInTable(Fertiliser_SourceData.Fertiliser_ChemicalCompoundElements_Data(),Table_Fertiliser_ChemicalCompounds[[#Headers],[Fertiliser type f]], 0)</f>
        <v>VEERG</v>
      </c>
    </row>
    <row r="39" spans="1:10" ht="20.100000000000001" customHeight="1" x14ac:dyDescent="0.2">
      <c r="A39" s="5" t="str">
        <f>HYPERLINK("#'5.1.1.3-4 Inorganic fert CO2'!A1", "5.1.1.3-4 Inorganic fert CO2")</f>
        <v>5.1.1.3-4 Inorganic fert CO2</v>
      </c>
    </row>
    <row r="40" spans="1:10" ht="20.100000000000001" customHeight="1" x14ac:dyDescent="0.2">
      <c r="A40" s="5" t="str">
        <f>HYPERLINK("#'5.2.1.1-2 Organic Fert N2O'!A1", "5.2.1.1-2 Organic Fert N2O")</f>
        <v>5.2.1.1-2 Organic Fert N2O</v>
      </c>
      <c r="D40" s="2" t="s">
        <v>840</v>
      </c>
      <c r="F40" s="2" t="s">
        <v>841</v>
      </c>
      <c r="H40" s="2" t="s">
        <v>476</v>
      </c>
      <c r="J40" s="2" t="s">
        <v>842</v>
      </c>
    </row>
    <row r="41" spans="1:10" ht="20.100000000000001" customHeight="1" x14ac:dyDescent="0.2">
      <c r="A41" s="5" t="str">
        <f>HYPERLINK("#'5.3.1.1-2 Lime CO2'!A1", "5.3.1.1-2 Lime CO2")</f>
        <v>5.3.1.1-2 Lime CO2</v>
      </c>
      <c r="D41" s="19" t="s">
        <v>480</v>
      </c>
      <c r="F41" s="19" t="s">
        <v>480</v>
      </c>
      <c r="H41" s="19" t="s">
        <v>63</v>
      </c>
      <c r="J41" s="19" t="s">
        <v>843</v>
      </c>
    </row>
    <row r="42" spans="1:10" ht="20.100000000000001" customHeight="1" x14ac:dyDescent="0.2">
      <c r="A42" s="5" t="str">
        <f>HYPERLINK("#'5.4.1.1-4 Atmos deposition'!A1", "5.4.1.1-4 Atmos deposition")</f>
        <v>5.4.1.1-4 Atmos deposition</v>
      </c>
      <c r="D42" s="19" t="s">
        <v>319</v>
      </c>
      <c r="F42" s="19" t="s">
        <v>319</v>
      </c>
      <c r="H42" s="19" t="s">
        <v>320</v>
      </c>
      <c r="J42" s="19" t="s">
        <v>844</v>
      </c>
    </row>
    <row r="43" spans="1:10" ht="20.100000000000001" customHeight="1" x14ac:dyDescent="0.2">
      <c r="A43" s="5" t="str">
        <f>HYPERLINK("#'5.5.1.1-2 Leaching and runoff'!A1", "5.5.1.1-2 Leaching and runoff")</f>
        <v>5.5.1.1-2 Leaching and runoff</v>
      </c>
      <c r="D43" s="1" t="s">
        <v>672</v>
      </c>
      <c r="F43" s="1" t="s">
        <v>845</v>
      </c>
      <c r="H43" s="19" t="s">
        <v>482</v>
      </c>
      <c r="J43" s="1" t="s">
        <v>741</v>
      </c>
    </row>
    <row r="44" spans="1:10" ht="20.100000000000001" customHeight="1" x14ac:dyDescent="0.2">
      <c r="F44" s="1" t="s">
        <v>674</v>
      </c>
      <c r="H44" s="1" t="s">
        <v>483</v>
      </c>
      <c r="J44" s="1" t="s">
        <v>846</v>
      </c>
    </row>
    <row r="45" spans="1:10" ht="20.100000000000001" customHeight="1" x14ac:dyDescent="0.2">
      <c r="F45" s="1" t="s">
        <v>780</v>
      </c>
      <c r="H45" s="1" t="s">
        <v>484</v>
      </c>
      <c r="J45" s="1" t="s">
        <v>740</v>
      </c>
    </row>
    <row r="46" spans="1:10" ht="20.100000000000001" customHeight="1" x14ac:dyDescent="0.2">
      <c r="A46" s="80" t="s">
        <v>1</v>
      </c>
      <c r="H46" s="1" t="s">
        <v>485</v>
      </c>
      <c r="J46" s="1" t="s">
        <v>742</v>
      </c>
    </row>
    <row r="47" spans="1:10" ht="20.100000000000001" customHeight="1" x14ac:dyDescent="0.2">
      <c r="A47" s="5" t="str">
        <f>HYPERLINK("#'Constants - Feedlot'!A1", "Constants - Feedlot")</f>
        <v>Constants - Feedlot</v>
      </c>
    </row>
    <row r="48" spans="1:10" ht="20.100000000000001" customHeight="1" x14ac:dyDescent="0.2">
      <c r="A48" s="5" t="str">
        <f>HYPERLINK("#'Constants - Common livestock'!A1", "Constants - Common Livestock")</f>
        <v>Constants - Common Livestock</v>
      </c>
      <c r="D48" s="2" t="str" cm="1">
        <f t="array" ref="D48">Fertiliser_SourceData.Fertiliser_FracGASF_Title()</f>
        <v>Fraction of inorganic fertiliser that volatilises as NH3 and NOx</v>
      </c>
      <c r="G48" s="152"/>
    </row>
    <row r="49" spans="1:8" ht="20.100000000000001" customHeight="1" x14ac:dyDescent="0.2">
      <c r="A49" s="5" t="str">
        <f>HYPERLINK("#'Constants - Electricity'!A1", "Constants - Electricity")</f>
        <v>Constants - Electricity</v>
      </c>
      <c r="D49" s="17" t="str" cm="1">
        <f t="array" ref="D49">Fertiliser_SourceData.Fertiliser_FracGASF_Source()</f>
        <v>Table A.2.2.6: Fraction of inorganic fertiliser f that volatilises as NH3 and NOx ((kg NH3-N + NOx-N)/kg N) (FracGASFf)</v>
      </c>
      <c r="G49" s="152"/>
    </row>
    <row r="50" spans="1:8" ht="20.100000000000001" customHeight="1" x14ac:dyDescent="0.2">
      <c r="A50" s="81" t="str">
        <f>HYPERLINK("#'Constants - Fertiliser'!A1", "Constants - Fertiliser")</f>
        <v>Constants - Fertiliser</v>
      </c>
      <c r="D50" s="19" t="s">
        <v>757</v>
      </c>
      <c r="E50" s="19" t="s">
        <v>847</v>
      </c>
      <c r="G50" s="152"/>
    </row>
    <row r="51" spans="1:8" ht="20.100000000000001" customHeight="1" x14ac:dyDescent="0.2">
      <c r="A51" s="5" t="str">
        <f>HYPERLINK("#'Constants - Fuel'!A1", "Constants - Fuel")</f>
        <v>Constants - Fuel</v>
      </c>
      <c r="D51" s="19" t="str" cm="1">
        <f t="array" ref="D51">Common_InputFunctions.Utility_DisplayArrayInTable(Fertiliser_SourceData.Fertiliser_FracGASF_Data(), Table_SourceData_Fertiliser_FracGASF[[#Headers],[Fertiliser type f]], 0)</f>
        <v>Urea-based fertilisers</v>
      </c>
      <c r="E51" s="19" cm="1">
        <f t="array" ref="E51">Common_InputFunctions.Utility_DisplayArrayInTable(Fertiliser_SourceData.Fertiliser_FracGASF_Data(), Table_SourceData_Fertiliser_FracGASF[[#Headers],[Fertiliser type f]], 0)</f>
        <v>0.15</v>
      </c>
      <c r="G51" s="152"/>
    </row>
    <row r="52" spans="1:8" ht="20.100000000000001" customHeight="1" x14ac:dyDescent="0.2">
      <c r="A52" s="5" t="str">
        <f>HYPERLINK("#'Constants - Scope 3'!A1", "Constants - Scope 3")</f>
        <v>Constants - Scope 3</v>
      </c>
      <c r="D52" s="1" t="str" cm="1">
        <f t="array" ref="D52">Common_InputFunctions.Utility_DisplayArrayInTable(Fertiliser_SourceData.Fertiliser_FracGASF_Data(), Table_SourceData_Fertiliser_FracGASF[[#Headers],[Fertiliser type f]], 0)</f>
        <v>Ammonium-based fertilisers</v>
      </c>
      <c r="E52" s="19" cm="1">
        <f t="array" ref="E52">Common_InputFunctions.Utility_DisplayArrayInTable(Fertiliser_SourceData.Fertiliser_FracGASF_Data(), Table_SourceData_Fertiliser_FracGASF[[#Headers],[Fertiliser type f]], 0)</f>
        <v>0.08</v>
      </c>
      <c r="G52" s="152"/>
    </row>
    <row r="53" spans="1:8" ht="20.100000000000001" customHeight="1" x14ac:dyDescent="0.2">
      <c r="A53" s="5" t="str">
        <f>HYPERLINK("#'Constants - Solid Waste'!A1", "Constants - Solid Waste")</f>
        <v>Constants - Solid Waste</v>
      </c>
      <c r="D53" s="1" t="str" cm="1">
        <f t="array" ref="D53">Common_InputFunctions.Utility_DisplayArrayInTable(Fertiliser_SourceData.Fertiliser_FracGASF_Data(), Table_SourceData_Fertiliser_FracGASF[[#Headers],[Fertiliser type f]], 0)</f>
        <v>Nitrate-based fertilisers</v>
      </c>
      <c r="E53" s="19" cm="1">
        <f t="array" ref="E53">Common_InputFunctions.Utility_DisplayArrayInTable(Fertiliser_SourceData.Fertiliser_FracGASF_Data(), Table_SourceData_Fertiliser_FracGASF[[#Headers],[Fertiliser type f]], 0)</f>
        <v>0.01</v>
      </c>
      <c r="G53" s="152"/>
    </row>
    <row r="54" spans="1:8" ht="20.100000000000001" customHeight="1" x14ac:dyDescent="0.2">
      <c r="A54" s="5" t="str">
        <f>HYPERLINK("#'Constants - Common'!A1", "Constants - Common")</f>
        <v>Constants - Common</v>
      </c>
      <c r="D54" s="1" t="str" cm="1">
        <f t="array" ref="D54">Common_InputFunctions.Utility_DisplayArrayInTable(Fertiliser_SourceData.Fertiliser_FracGASF_Data(), Table_SourceData_Fertiliser_FracGASF[[#Headers],[Fertiliser type f]], 0)</f>
        <v>Ammonium-nitrate based fertilisers</v>
      </c>
      <c r="E54" s="19" cm="1">
        <f t="array" ref="E54">Common_InputFunctions.Utility_DisplayArrayInTable(Fertiliser_SourceData.Fertiliser_FracGASF_Data(), Table_SourceData_Fertiliser_FracGASF[[#Headers],[Fertiliser type f]], 0)</f>
        <v>0.05</v>
      </c>
      <c r="G54" s="152"/>
      <c r="H54" s="152"/>
    </row>
    <row r="55" spans="1:8" ht="20.100000000000001" customHeight="1" x14ac:dyDescent="0.2">
      <c r="A55" s="5" t="str">
        <f>HYPERLINK("#'Acknowledgements'!A1", "Acknowledgements")</f>
        <v>Acknowledgements</v>
      </c>
      <c r="D55" s="1" t="str" cm="1">
        <f t="array" ref="D55">Common_InputFunctions.Utility_DisplayArrayInTable(Fertiliser_SourceData.Fertiliser_FracGASF_Data(), Table_SourceData_Fertiliser_FracGASF[[#Headers],[Fertiliser type f]], 0)</f>
        <v>Other fertilisers</v>
      </c>
      <c r="E55" s="19" cm="1">
        <f t="array" ref="E55">Common_InputFunctions.Utility_DisplayArrayInTable(Fertiliser_SourceData.Fertiliser_FracGASF_Data(), Table_SourceData_Fertiliser_FracGASF[[#Headers],[Fertiliser type f]], 0)</f>
        <v>0.11</v>
      </c>
      <c r="G55" s="152"/>
      <c r="H55" s="152"/>
    </row>
    <row r="58" spans="1:8" ht="20.100000000000001" customHeight="1" x14ac:dyDescent="0.2">
      <c r="D58" s="2" t="str" cm="1">
        <f t="array" ref="D58">Fertiliser_SourceData.Fertiliser_EFUreaCO2_Title()</f>
        <v>Emission factor for carbon emissions from urea application</v>
      </c>
    </row>
    <row r="59" spans="1:8" ht="20.100000000000001" customHeight="1" x14ac:dyDescent="0.2">
      <c r="D59" s="17" t="str" cm="1">
        <f t="array" ref="D59">Fertiliser_SourceData.Fertiliser_EFUreaCO2_Source()</f>
        <v>VEERG 2026: 5.1.2.2 Constant Parameters</v>
      </c>
    </row>
    <row r="60" spans="1:8" ht="20.100000000000001" customHeight="1" x14ac:dyDescent="0.2">
      <c r="D60" s="75" t="str" cm="1">
        <f t="array" ref="D60">Fertiliser_SourceData.Fertiliser_EFUreaCO2_Variable()</f>
        <v>EFureaCO2</v>
      </c>
      <c r="E60" s="1" cm="1">
        <f t="array" ref="E60">Fertiliser_SourceData.Fertiliser_EFUreaCO2_Data()</f>
        <v>0.2</v>
      </c>
      <c r="F60" s="9" t="str" cm="1">
        <f t="array" ref="F60">Fertiliser_SourceData.Fertiliser_EFUreaCO2_Unit()</f>
        <v>kg C/kg urea</v>
      </c>
    </row>
    <row r="63" spans="1:8" ht="20.100000000000001" customHeight="1" x14ac:dyDescent="0.2">
      <c r="D63" s="2" t="str" cm="1">
        <f t="array" ref="D63">Fertiliser_SourceData.Fertiliser_LimeDolomiteGypsumConstants_Title()</f>
        <v>Constants for lime, dolomite and gypsum</v>
      </c>
    </row>
    <row r="64" spans="1:8" ht="20.100000000000001" customHeight="1" x14ac:dyDescent="0.2">
      <c r="D64" s="17" t="str" cm="1">
        <f t="array" ref="D64">Fertiliser_SourceData.Fertiliser_LimeDolomiteGypsumConstants_Source()</f>
        <v>VEERG 2026: 5.3.2.3 Constant Parameters</v>
      </c>
    </row>
    <row r="65" spans="1:6" ht="20.100000000000001" customHeight="1" x14ac:dyDescent="0.2">
      <c r="D65" s="19" t="s">
        <v>801</v>
      </c>
      <c r="E65" s="19" t="s">
        <v>848</v>
      </c>
      <c r="F65" s="19" t="s">
        <v>777</v>
      </c>
    </row>
    <row r="66" spans="1:6" ht="20.100000000000001" customHeight="1" x14ac:dyDescent="0.2">
      <c r="A66" s="79" t="str">
        <f>HYPERLINK("#A1", "▲ Back to top")</f>
        <v>▲ Back to top</v>
      </c>
      <c r="D66" s="19" t="str" cm="1">
        <f t="array" ref="D66">Common_InputFunctions.Utility_DisplayArrayInTable(Fertiliser_SourceData.Fertiliser_LimeDolomiteGypsumConstants_Data(), Table_SourceData_Fertiliser_LimeDolomiteConstants[[#Headers],[Element]], 0)</f>
        <v>Lime (Calcium carbonate)</v>
      </c>
      <c r="E66" s="19" cm="1">
        <f t="array" ref="E66">Common_InputFunctions.Utility_DisplayArrayInTable(Fertiliser_SourceData.Fertiliser_LimeDolomiteGypsumConstants_Data(), Table_SourceData_Fertiliser_LimeDolomiteConstants[[#Headers],[Element]], 0)</f>
        <v>0.9</v>
      </c>
      <c r="F66" s="19" cm="1">
        <f t="array" ref="F66">Common_InputFunctions.Utility_DisplayArrayInTable(Fertiliser_SourceData.Fertiliser_LimeDolomiteGypsumConstants_Data(), Table_SourceData_Fertiliser_LimeDolomiteConstants[[#Headers],[Element]], 0)</f>
        <v>0.12</v>
      </c>
    </row>
    <row r="67" spans="1:6" ht="20.100000000000001" customHeight="1" x14ac:dyDescent="0.2">
      <c r="D67" s="1" t="str" cm="1">
        <f t="array" ref="D67">Common_InputFunctions.Utility_DisplayArrayInTable(Fertiliser_SourceData.Fertiliser_LimeDolomiteGypsumConstants_Data(), Table_SourceData_Fertiliser_LimeDolomiteConstants[[#Headers],[Element]], 0)</f>
        <v>Dolomite (Magnesium carbonate)</v>
      </c>
      <c r="E67" s="19" cm="1">
        <f t="array" ref="E67">Common_InputFunctions.Utility_DisplayArrayInTable(Fertiliser_SourceData.Fertiliser_LimeDolomiteGypsumConstants_Data(), Table_SourceData_Fertiliser_LimeDolomiteConstants[[#Headers],[Element]], 0)</f>
        <v>0.95</v>
      </c>
      <c r="F67" s="19" cm="1">
        <f t="array" ref="F67">Common_InputFunctions.Utility_DisplayArrayInTable(Fertiliser_SourceData.Fertiliser_LimeDolomiteGypsumConstants_Data(), Table_SourceData_Fertiliser_LimeDolomiteConstants[[#Headers],[Element]], 0)</f>
        <v>0.13</v>
      </c>
    </row>
    <row r="68" spans="1:6" ht="20.100000000000001" customHeight="1" x14ac:dyDescent="0.2">
      <c r="D68" s="1" t="str" cm="1">
        <f t="array" ref="D68">Common_InputFunctions.Utility_DisplayArrayInTable(Fertiliser_SourceData.Fertiliser_LimeDolomiteGypsumConstants_Data(), Table_SourceData_Fertiliser_LimeDolomiteConstants[[#Headers],[Element]], 0)</f>
        <v>Gypsum</v>
      </c>
      <c r="E68" s="19" cm="1">
        <f t="array" ref="E68">Common_InputFunctions.Utility_DisplayArrayInTable(Fertiliser_SourceData.Fertiliser_LimeDolomiteGypsumConstants_Data(), Table_SourceData_Fertiliser_LimeDolomiteConstants[[#Headers],[Element]], 0)</f>
        <v>0</v>
      </c>
      <c r="F68" s="19" cm="1">
        <f t="array" ref="F68">Common_InputFunctions.Utility_DisplayArrayInTable(Fertiliser_SourceData.Fertiliser_LimeDolomiteGypsumConstants_Data(), Table_SourceData_Fertiliser_LimeDolomiteConstants[[#Headers],[Element]], 0)</f>
        <v>0</v>
      </c>
    </row>
    <row r="71" spans="1:6" ht="20.100000000000001" customHeight="1" x14ac:dyDescent="0.2">
      <c r="D71" s="2" t="str" cm="1">
        <f t="array" ref="D71">Fertiliser_SourceData.Fertiliser_FracGASMSoil_Title()</f>
        <v>Fraction of organic fertiliser that volatilises as NH3 and NOx</v>
      </c>
    </row>
    <row r="72" spans="1:6" ht="20.100000000000001" customHeight="1" x14ac:dyDescent="0.2">
      <c r="D72" s="17" t="str" cm="1">
        <f t="array" ref="D72">Fertiliser_SourceData.Fertiliser_FracGASMSoil_Source()</f>
        <v>VEERG 2026: 5.4.2.3 Constant Parameters</v>
      </c>
    </row>
    <row r="73" spans="1:6" ht="20.100000000000001" customHeight="1" x14ac:dyDescent="0.2">
      <c r="D73" s="75" t="str" cm="1">
        <f t="array" ref="D73">Fertiliser_SourceData.Fertiliser_FracGASMSoil_Variable()</f>
        <v>FracGASMsoil</v>
      </c>
      <c r="E73" s="1" cm="1">
        <f t="array" ref="E73">Fertiliser_SourceData.Fertiliser_FracGASMSoil_Data()</f>
        <v>0.21</v>
      </c>
      <c r="F73" s="9" t="str" cm="1">
        <f t="array" ref="F73">Fertiliser_SourceData.Fertiliser_FracGASMSoil_Unit()</f>
        <v>(kg NH3-N + NOx-N)/kg N</v>
      </c>
    </row>
    <row r="76" spans="1:6" ht="20.100000000000001" customHeight="1" x14ac:dyDescent="0.2">
      <c r="D76" s="2" t="str" cm="1">
        <f t="array" ref="D76">Fertiliser_SourceData.Fertiliser_FracLEACH_Title()</f>
        <v>Fraction of nitrogen that is lost through leaching and runoff</v>
      </c>
    </row>
    <row r="77" spans="1:6" ht="20.100000000000001" customHeight="1" x14ac:dyDescent="0.2">
      <c r="D77" s="17" t="str" cm="1">
        <f t="array" ref="D77">Fertiliser_SourceData.Fertiliser_FracLEACH_Source()</f>
        <v>VEERG 2026: 5.5.2.3 Constant Parameters</v>
      </c>
    </row>
    <row r="78" spans="1:6" ht="20.100000000000001" customHeight="1" x14ac:dyDescent="0.2">
      <c r="D78" s="75" t="str" cm="1">
        <f t="array" ref="D78">Fertiliser_SourceData.Fertiliser_FracLEACH_Variable()</f>
        <v>FracLEACH</v>
      </c>
      <c r="E78" s="1" cm="1">
        <f t="array" ref="E78">Fertiliser_SourceData.Fertiliser_FracLEACH_Data()</f>
        <v>0.24</v>
      </c>
      <c r="F78" s="9" t="str" cm="1">
        <f t="array" ref="F78">Fertiliser_SourceData.Fertiliser_FracLEACH_Unit()</f>
        <v>fraction</v>
      </c>
    </row>
    <row r="81" spans="1:39" ht="20.100000000000001" customHeight="1" x14ac:dyDescent="0.2">
      <c r="D81" s="2" t="str" cm="1">
        <f t="array" ref="D81">Fertiliser_SourceData.Fertiliser_EFLeach_Title()</f>
        <v>Emission factor for nitrogen leaching and runoff</v>
      </c>
    </row>
    <row r="82" spans="1:39" ht="20.100000000000001" customHeight="1" x14ac:dyDescent="0.2">
      <c r="D82" s="17" t="str" cm="1">
        <f t="array" ref="D82">Fertiliser_SourceData.Fertiliser_EFLeach_Source()</f>
        <v>VEERG 2026: 5.5.2.3 Constant Parameters</v>
      </c>
    </row>
    <row r="83" spans="1:39" ht="20.100000000000001" customHeight="1" x14ac:dyDescent="0.2">
      <c r="D83" s="75" t="str" cm="1">
        <f t="array" ref="D83">Fertiliser_SourceData.Fertiliser_EFLeach_Variable()</f>
        <v>EFLeach</v>
      </c>
      <c r="E83" s="1" cm="1">
        <f t="array" ref="E83">Fertiliser_SourceData.Fertiliser_EFLeach_Data()</f>
        <v>1.0999999999999999E-2</v>
      </c>
      <c r="F83" s="9" t="str" cm="1">
        <f t="array" ref="F83">Fertiliser_SourceData.Fertiliser_EFLeach_Unit()</f>
        <v>kg N2O-N / kg N</v>
      </c>
    </row>
    <row r="87" spans="1:39" ht="20.100000000000001" customHeight="1" x14ac:dyDescent="0.2">
      <c r="D87" s="2" t="s">
        <v>849</v>
      </c>
      <c r="E87" s="152"/>
      <c r="F87" s="152"/>
      <c r="G87" s="152"/>
      <c r="H87" s="152"/>
      <c r="I87" s="152"/>
      <c r="J87" s="152"/>
      <c r="K87" s="152"/>
      <c r="L87" s="152"/>
      <c r="N87" s="152"/>
      <c r="O87" s="152"/>
      <c r="P87" s="152"/>
      <c r="Q87" s="152"/>
      <c r="R87" s="152"/>
      <c r="S87" s="152"/>
      <c r="T87" s="152"/>
      <c r="U87" s="152"/>
    </row>
    <row r="88" spans="1:39" ht="20.100000000000001" customHeight="1" x14ac:dyDescent="0.2">
      <c r="D88" s="152"/>
    </row>
    <row r="89" spans="1:39" ht="20.100000000000001" customHeight="1" x14ac:dyDescent="0.2">
      <c r="D89" s="234" t="s">
        <v>850</v>
      </c>
      <c r="E89" s="19" t="s">
        <v>132</v>
      </c>
      <c r="F89" s="19" t="s">
        <v>118</v>
      </c>
      <c r="G89" s="194" t="s">
        <v>686</v>
      </c>
      <c r="H89" s="194" t="s">
        <v>851</v>
      </c>
      <c r="I89" s="194" t="s">
        <v>703</v>
      </c>
      <c r="J89" s="194" t="s">
        <v>704</v>
      </c>
      <c r="K89" s="194" t="s">
        <v>852</v>
      </c>
      <c r="L89" s="194" t="s">
        <v>853</v>
      </c>
      <c r="M89" s="194" t="s">
        <v>854</v>
      </c>
      <c r="N89" s="194" t="s">
        <v>855</v>
      </c>
      <c r="O89" s="194" t="s">
        <v>688</v>
      </c>
      <c r="P89" s="194" t="s">
        <v>689</v>
      </c>
      <c r="Q89" s="19" t="s">
        <v>690</v>
      </c>
      <c r="R89" s="19" t="s">
        <v>691</v>
      </c>
      <c r="S89" s="19" t="s">
        <v>692</v>
      </c>
      <c r="T89" s="19" t="s">
        <v>693</v>
      </c>
      <c r="U89" s="194" t="s">
        <v>694</v>
      </c>
      <c r="V89" s="194" t="s">
        <v>695</v>
      </c>
      <c r="W89" s="19" t="s">
        <v>696</v>
      </c>
      <c r="X89" s="194" t="s">
        <v>697</v>
      </c>
      <c r="Y89" s="194" t="s">
        <v>698</v>
      </c>
      <c r="Z89" s="194" t="s">
        <v>699</v>
      </c>
      <c r="AA89" s="194" t="s">
        <v>856</v>
      </c>
      <c r="AB89" s="194" t="s">
        <v>857</v>
      </c>
      <c r="AC89" s="19" t="s">
        <v>858</v>
      </c>
      <c r="AD89" s="19" t="s">
        <v>859</v>
      </c>
      <c r="AE89" s="19" t="s">
        <v>860</v>
      </c>
      <c r="AF89" s="19" t="s">
        <v>861</v>
      </c>
      <c r="AG89" s="19" t="s">
        <v>862</v>
      </c>
      <c r="AH89" s="19" t="s">
        <v>863</v>
      </c>
      <c r="AK89" s="1"/>
      <c r="AL89" s="1"/>
      <c r="AM89" s="1"/>
    </row>
    <row r="90" spans="1:39" ht="20.100000000000001" customHeight="1" x14ac:dyDescent="0.2">
      <c r="D90" s="146" t="str" cm="1">
        <f t="array" ref="D90">Common_InputFunctions.Utility_DisplayArrayInTable(Fertiliser_SourceData.Fertiliser_Products_Data1(), FertiliserProducts[[#Headers],[Company]],1)</f>
        <v>Campbells fertilisers Australia</v>
      </c>
      <c r="E90" s="146" t="str" cm="1">
        <f t="array" ref="E90">Common_InputFunctions.Utility_DisplayArrayInTable(Fertiliser_SourceData.Fertiliser_Products_Data1(), FertiliserProducts[[#Headers],[Company]],1)</f>
        <v>Aqua Finish</v>
      </c>
      <c r="F90" s="146" t="str" cm="1">
        <f t="array" ref="F90">Common_InputFunctions.Utility_DisplayArrayInTable(Fertiliser_SourceData.Fertiliser_Products_Data1(), FertiliserProducts[[#Headers],[Company]],1)</f>
        <v>L</v>
      </c>
      <c r="G90" s="146" cm="1">
        <f t="array" ref="G90">Common_InputFunctions.Utility_DisplayArrayInTable(Fertiliser_SourceData.Fertiliser_Products_Data1(), FertiliserProducts[[#Headers],[Company]],1)</f>
        <v>1.26</v>
      </c>
      <c r="H90" s="146" t="str" cm="1">
        <f t="array" ref="H90">Common_InputFunctions.Utility_DisplayArrayInTable(Fertiliser_SourceData.Fertiliser_Products_Data1(), FertiliserProducts[[#Headers],[Company]],1)</f>
        <v/>
      </c>
      <c r="I90" s="146" t="str" cm="1">
        <f t="array" ref="I90">Common_InputFunctions.Utility_DisplayArrayInTable(Fertiliser_SourceData.Fertiliser_Products_Data1(), FertiliserProducts[[#Headers],[Company]],1)</f>
        <v/>
      </c>
      <c r="J90" s="146" t="str" cm="1">
        <f t="array" ref="J90">Common_InputFunctions.Utility_DisplayArrayInTable(Fertiliser_SourceData.Fertiliser_Products_Data1(), FertiliserProducts[[#Headers],[Company]],1)</f>
        <v/>
      </c>
      <c r="K90" s="146" cm="1">
        <f t="array" ref="K90">Common_InputFunctions.Utility_DisplayArrayInTable(Fertiliser_SourceData.Fertiliser_Products_Data1(), FertiliserProducts[[#Headers],[Company]],1)</f>
        <v>2.6</v>
      </c>
      <c r="L90" s="146" cm="1">
        <f t="array" ref="L90">Common_InputFunctions.Utility_DisplayArrayInTable(Fertiliser_SourceData.Fertiliser_Products_Data1(), FertiliserProducts[[#Headers],[Company]],1)</f>
        <v>4</v>
      </c>
      <c r="M90" s="146" cm="1">
        <f t="array" ref="M90">Common_InputFunctions.Utility_DisplayArrayInTable(Fertiliser_SourceData.Fertiliser_Products_Data1(), FertiliserProducts[[#Headers],[Company]],1)</f>
        <v>22.5</v>
      </c>
      <c r="N90" s="146" t="str" cm="1">
        <f t="array" ref="N90">Common_InputFunctions.Utility_DisplayArrayInTable(Fertiliser_SourceData.Fertiliser_Products_Data1(), FertiliserProducts[[#Headers],[Company]],1)</f>
        <v/>
      </c>
      <c r="O90" s="146" t="str" cm="1">
        <f t="array" ref="O90">Common_InputFunctions.Utility_DisplayArrayInTable(Fertiliser_SourceData.Fertiliser_Products_Data1(), FertiliserProducts[[#Headers],[Company]],1)</f>
        <v>Potassium - Generic</v>
      </c>
      <c r="P90" s="146" cm="1">
        <f t="array" ref="P90">Common_InputFunctions.Utility_DisplayArrayInTable(Fertiliser_SourceData.Fertiliser_Products_Data1(), FertiliserProducts[[#Headers],[Company]],1)</f>
        <v>0.22500000000000001</v>
      </c>
      <c r="Q90" s="146" t="str" cm="1">
        <f t="array" ref="Q90">Common_InputFunctions.Utility_DisplayArrayInTable(Fertiliser_SourceData.Fertiliser_Products_Data1(), FertiliserProducts[[#Headers],[Company]],1)</f>
        <v>Phosphorus - Generic</v>
      </c>
      <c r="R90" s="146" cm="1">
        <f t="array" ref="R90">Common_InputFunctions.Utility_DisplayArrayInTable(Fertiliser_SourceData.Fertiliser_Products_Data1(), FertiliserProducts[[#Headers],[Company]],1)</f>
        <v>0.04</v>
      </c>
      <c r="S90" s="146" t="str" cm="1">
        <f t="array" ref="S90">Common_InputFunctions.Utility_DisplayArrayInTable(Fertiliser_SourceData.Fertiliser_Products_Data1(), FertiliserProducts[[#Headers],[Company]],1)</f>
        <v>Nitrogen - Generic</v>
      </c>
      <c r="T90" s="146" cm="1">
        <f t="array" ref="T90">Common_InputFunctions.Utility_DisplayArrayInTable(Fertiliser_SourceData.Fertiliser_Products_Data1(), FertiliserProducts[[#Headers],[Company]],1)</f>
        <v>2.5999999999999999E-2</v>
      </c>
      <c r="U90" s="146" t="str" cm="1">
        <f t="array" ref="U90">Common_InputFunctions.Utility_DisplayArrayInTable(Fertiliser_SourceData.Fertiliser_Products_Data1(), FertiliserProducts[[#Headers],[Company]],1)</f>
        <v/>
      </c>
      <c r="V90" s="146" t="str" cm="1">
        <f t="array" ref="V90">Common_InputFunctions.Utility_DisplayArrayInTable(Fertiliser_SourceData.Fertiliser_Products_Data1(), FertiliserProducts[[#Headers],[Company]],1)</f>
        <v/>
      </c>
      <c r="W90" s="146" t="str" cm="1">
        <f t="array" ref="W90">Common_InputFunctions.Utility_DisplayArrayInTable(Fertiliser_SourceData.Fertiliser_Products_Data1(), FertiliserProducts[[#Headers],[Company]],1)</f>
        <v/>
      </c>
      <c r="X90" s="146" t="str" cm="1">
        <f t="array" ref="X90">Common_InputFunctions.Utility_DisplayArrayInTable(Fertiliser_SourceData.Fertiliser_Products_Data1(), FertiliserProducts[[#Headers],[Company]],1)</f>
        <v/>
      </c>
      <c r="Y90" s="146" t="str" cm="1">
        <f t="array" ref="Y90">Common_InputFunctions.Utility_DisplayArrayInTable(Fertiliser_SourceData.Fertiliser_Products_Data1(), FertiliserProducts[[#Headers],[Company]],1)</f>
        <v/>
      </c>
      <c r="Z90" s="146" t="str" cm="1">
        <f t="array" ref="Z90">Common_InputFunctions.Utility_DisplayArrayInTable(Fertiliser_SourceData.Fertiliser_Products_Data1(), FertiliserProducts[[#Headers],[Company]],1)</f>
        <v/>
      </c>
      <c r="AA90" s="146" t="str" cm="1">
        <f t="array" ref="AA90">Common_InputFunctions.Utility_DisplayArrayInTable(Fertiliser_SourceData.Fertiliser_Products_Data1(), FertiliserProducts[[#Headers],[Company]],1)</f>
        <v/>
      </c>
      <c r="AB90" s="146" t="str" cm="1">
        <f t="array" ref="AB90">Common_InputFunctions.Utility_DisplayArrayInTable(Fertiliser_SourceData.Fertiliser_Products_Data1(), FertiliserProducts[[#Headers],[Company]],1)</f>
        <v/>
      </c>
      <c r="AC90" s="146" t="str" cm="1">
        <f t="array" ref="AC90">Common_InputFunctions.Utility_DisplayArrayInTable(Fertiliser_SourceData.Fertiliser_Products_Data1(), FertiliserProducts[[#Headers],[Company]],1)</f>
        <v/>
      </c>
      <c r="AD90" s="146" t="str" cm="1">
        <f t="array" ref="AD90">Common_InputFunctions.Utility_DisplayArrayInTable(Fertiliser_SourceData.Fertiliser_Products_Data1(), FertiliserProducts[[#Headers],[Company]],1)</f>
        <v/>
      </c>
      <c r="AE90" s="146" t="str" cm="1">
        <f t="array" ref="AE90">Common_InputFunctions.Utility_DisplayArrayInTable(Fertiliser_SourceData.Fertiliser_Products_Data1(), FertiliserProducts[[#Headers],[Company]],1)</f>
        <v/>
      </c>
      <c r="AF90" s="146" t="str" cm="1">
        <f t="array" ref="AF90">Common_InputFunctions.Utility_DisplayArrayInTable(Fertiliser_SourceData.Fertiliser_Products_Data1(), FertiliserProducts[[#Headers],[Company]],1)</f>
        <v/>
      </c>
      <c r="AG90" s="146" t="str" cm="1">
        <f t="array" ref="AG90">Common_InputFunctions.Utility_DisplayArrayInTable(Fertiliser_SourceData.Fertiliser_Products_Data1(), FertiliserProducts[[#Headers],[Company]],1)</f>
        <v/>
      </c>
      <c r="AH90" s="146" t="str" cm="1">
        <f t="array" ref="AH90">Common_InputFunctions.Utility_DisplayArrayInTable(Fertiliser_SourceData.Fertiliser_Products_Data1(), FertiliserProducts[[#Headers],[Company]],1)</f>
        <v/>
      </c>
      <c r="AK90" s="1"/>
      <c r="AL90" s="1"/>
      <c r="AM90" s="1"/>
    </row>
    <row r="91" spans="1:39" ht="20.100000000000001" customHeight="1" x14ac:dyDescent="0.2">
      <c r="D91" s="146" t="str" cm="1">
        <f t="array" ref="D91">Common_InputFunctions.Utility_DisplayArrayInTable(Fertiliser_SourceData.Fertiliser_Products_Data1(), FertiliserProducts[[#Headers],[Company]],1)</f>
        <v>Campbells fertilisers Australia</v>
      </c>
      <c r="E91" s="146" t="str" cm="1">
        <f t="array" ref="E91">Common_InputFunctions.Utility_DisplayArrayInTable(Fertiliser_SourceData.Fertiliser_Products_Data1(), FertiliserProducts[[#Headers],[Company]],1)</f>
        <v>Aqua Grow</v>
      </c>
      <c r="F91" s="146" t="str" cm="1">
        <f t="array" ref="F91">Common_InputFunctions.Utility_DisplayArrayInTable(Fertiliser_SourceData.Fertiliser_Products_Data1(), FertiliserProducts[[#Headers],[Company]],1)</f>
        <v>L</v>
      </c>
      <c r="G91" s="146" cm="1">
        <f t="array" ref="G91">Common_InputFunctions.Utility_DisplayArrayInTable(Fertiliser_SourceData.Fertiliser_Products_Data1(), FertiliserProducts[[#Headers],[Company]],1)</f>
        <v>1.26</v>
      </c>
      <c r="H91" s="146" t="str" cm="1">
        <f t="array" ref="H91">Common_InputFunctions.Utility_DisplayArrayInTable(Fertiliser_SourceData.Fertiliser_Products_Data1(), FertiliserProducts[[#Headers],[Company]],1)</f>
        <v/>
      </c>
      <c r="I91" s="146" t="str" cm="1">
        <f t="array" ref="I91">Common_InputFunctions.Utility_DisplayArrayInTable(Fertiliser_SourceData.Fertiliser_Products_Data1(), FertiliserProducts[[#Headers],[Company]],1)</f>
        <v/>
      </c>
      <c r="J91" s="146" t="str" cm="1">
        <f t="array" ref="J91">Common_InputFunctions.Utility_DisplayArrayInTable(Fertiliser_SourceData.Fertiliser_Products_Data1(), FertiliserProducts[[#Headers],[Company]],1)</f>
        <v/>
      </c>
      <c r="K91" s="146" cm="1">
        <f t="array" ref="K91">Common_InputFunctions.Utility_DisplayArrayInTable(Fertiliser_SourceData.Fertiliser_Products_Data1(), FertiliserProducts[[#Headers],[Company]],1)</f>
        <v>9.6</v>
      </c>
      <c r="L91" s="146" cm="1">
        <f t="array" ref="L91">Common_InputFunctions.Utility_DisplayArrayInTable(Fertiliser_SourceData.Fertiliser_Products_Data1(), FertiliserProducts[[#Headers],[Company]],1)</f>
        <v>5</v>
      </c>
      <c r="M91" s="146" cm="1">
        <f t="array" ref="M91">Common_InputFunctions.Utility_DisplayArrayInTable(Fertiliser_SourceData.Fertiliser_Products_Data1(), FertiliserProducts[[#Headers],[Company]],1)</f>
        <v>10.5</v>
      </c>
      <c r="N91" s="146" t="str" cm="1">
        <f t="array" ref="N91">Common_InputFunctions.Utility_DisplayArrayInTable(Fertiliser_SourceData.Fertiliser_Products_Data1(), FertiliserProducts[[#Headers],[Company]],1)</f>
        <v/>
      </c>
      <c r="O91" s="146" t="str" cm="1">
        <f t="array" ref="O91">Common_InputFunctions.Utility_DisplayArrayInTable(Fertiliser_SourceData.Fertiliser_Products_Data1(), FertiliserProducts[[#Headers],[Company]],1)</f>
        <v>Potassium - Generic</v>
      </c>
      <c r="P91" s="146" cm="1">
        <f t="array" ref="P91">Common_InputFunctions.Utility_DisplayArrayInTable(Fertiliser_SourceData.Fertiliser_Products_Data1(), FertiliserProducts[[#Headers],[Company]],1)</f>
        <v>0.105</v>
      </c>
      <c r="Q91" s="146" t="str" cm="1">
        <f t="array" ref="Q91">Common_InputFunctions.Utility_DisplayArrayInTable(Fertiliser_SourceData.Fertiliser_Products_Data1(), FertiliserProducts[[#Headers],[Company]],1)</f>
        <v>Nitrogen - Generic</v>
      </c>
      <c r="R91" s="146" cm="1">
        <f t="array" ref="R91">Common_InputFunctions.Utility_DisplayArrayInTable(Fertiliser_SourceData.Fertiliser_Products_Data1(), FertiliserProducts[[#Headers],[Company]],1)</f>
        <v>9.6000000000000002E-2</v>
      </c>
      <c r="S91" s="146" t="str" cm="1">
        <f t="array" ref="S91">Common_InputFunctions.Utility_DisplayArrayInTable(Fertiliser_SourceData.Fertiliser_Products_Data1(), FertiliserProducts[[#Headers],[Company]],1)</f>
        <v>Phosphorus - Generic</v>
      </c>
      <c r="T91" s="146" cm="1">
        <f t="array" ref="T91">Common_InputFunctions.Utility_DisplayArrayInTable(Fertiliser_SourceData.Fertiliser_Products_Data1(), FertiliserProducts[[#Headers],[Company]],1)</f>
        <v>0.05</v>
      </c>
      <c r="U91" s="146" t="str" cm="1">
        <f t="array" ref="U91">Common_InputFunctions.Utility_DisplayArrayInTable(Fertiliser_SourceData.Fertiliser_Products_Data1(), FertiliserProducts[[#Headers],[Company]],1)</f>
        <v/>
      </c>
      <c r="V91" s="146" t="str" cm="1">
        <f t="array" ref="V91">Common_InputFunctions.Utility_DisplayArrayInTable(Fertiliser_SourceData.Fertiliser_Products_Data1(), FertiliserProducts[[#Headers],[Company]],1)</f>
        <v/>
      </c>
      <c r="W91" s="146" t="str" cm="1">
        <f t="array" ref="W91">Common_InputFunctions.Utility_DisplayArrayInTable(Fertiliser_SourceData.Fertiliser_Products_Data1(), FertiliserProducts[[#Headers],[Company]],1)</f>
        <v/>
      </c>
      <c r="X91" s="146" t="str" cm="1">
        <f t="array" ref="X91">Common_InputFunctions.Utility_DisplayArrayInTable(Fertiliser_SourceData.Fertiliser_Products_Data1(), FertiliserProducts[[#Headers],[Company]],1)</f>
        <v/>
      </c>
      <c r="Y91" s="146" t="str" cm="1">
        <f t="array" ref="Y91">Common_InputFunctions.Utility_DisplayArrayInTable(Fertiliser_SourceData.Fertiliser_Products_Data1(), FertiliserProducts[[#Headers],[Company]],1)</f>
        <v/>
      </c>
      <c r="Z91" s="146" t="str" cm="1">
        <f t="array" ref="Z91">Common_InputFunctions.Utility_DisplayArrayInTable(Fertiliser_SourceData.Fertiliser_Products_Data1(), FertiliserProducts[[#Headers],[Company]],1)</f>
        <v/>
      </c>
      <c r="AA91" s="146" t="str" cm="1">
        <f t="array" ref="AA91">Common_InputFunctions.Utility_DisplayArrayInTable(Fertiliser_SourceData.Fertiliser_Products_Data1(), FertiliserProducts[[#Headers],[Company]],1)</f>
        <v/>
      </c>
      <c r="AB91" s="146" t="str" cm="1">
        <f t="array" ref="AB91">Common_InputFunctions.Utility_DisplayArrayInTable(Fertiliser_SourceData.Fertiliser_Products_Data1(), FertiliserProducts[[#Headers],[Company]],1)</f>
        <v/>
      </c>
      <c r="AC91" s="146" t="str" cm="1">
        <f t="array" ref="AC91">Common_InputFunctions.Utility_DisplayArrayInTable(Fertiliser_SourceData.Fertiliser_Products_Data1(), FertiliserProducts[[#Headers],[Company]],1)</f>
        <v/>
      </c>
      <c r="AD91" s="146" t="str" cm="1">
        <f t="array" ref="AD91">Common_InputFunctions.Utility_DisplayArrayInTable(Fertiliser_SourceData.Fertiliser_Products_Data1(), FertiliserProducts[[#Headers],[Company]],1)</f>
        <v/>
      </c>
      <c r="AE91" s="146" t="str" cm="1">
        <f t="array" ref="AE91">Common_InputFunctions.Utility_DisplayArrayInTable(Fertiliser_SourceData.Fertiliser_Products_Data1(), FertiliserProducts[[#Headers],[Company]],1)</f>
        <v/>
      </c>
      <c r="AF91" s="146" t="str" cm="1">
        <f t="array" ref="AF91">Common_InputFunctions.Utility_DisplayArrayInTable(Fertiliser_SourceData.Fertiliser_Products_Data1(), FertiliserProducts[[#Headers],[Company]],1)</f>
        <v/>
      </c>
      <c r="AG91" s="146" t="str" cm="1">
        <f t="array" ref="AG91">Common_InputFunctions.Utility_DisplayArrayInTable(Fertiliser_SourceData.Fertiliser_Products_Data1(), FertiliserProducts[[#Headers],[Company]],1)</f>
        <v/>
      </c>
      <c r="AH91" s="146" t="str" cm="1">
        <f t="array" ref="AH91">Common_InputFunctions.Utility_DisplayArrayInTable(Fertiliser_SourceData.Fertiliser_Products_Data1(), FertiliserProducts[[#Headers],[Company]],1)</f>
        <v/>
      </c>
      <c r="AK91" s="1"/>
      <c r="AL91" s="1"/>
      <c r="AM91" s="1"/>
    </row>
    <row r="92" spans="1:39" ht="20.100000000000001" customHeight="1" x14ac:dyDescent="0.2">
      <c r="D92" s="146" t="str" cm="1">
        <f t="array" ref="D92">Common_InputFunctions.Utility_DisplayArrayInTable(Fertiliser_SourceData.Fertiliser_Products_Data1(), FertiliserProducts[[#Headers],[Company]],1)</f>
        <v>Campbells fertilisers Australia</v>
      </c>
      <c r="E92" s="146" t="str" cm="1">
        <f t="array" ref="E92">Common_InputFunctions.Utility_DisplayArrayInTable(Fertiliser_SourceData.Fertiliser_Products_Data1(), FertiliserProducts[[#Headers],[Company]],1)</f>
        <v>Aqua Nitro AN</v>
      </c>
      <c r="F92" s="146" t="str" cm="1">
        <f t="array" ref="F92">Common_InputFunctions.Utility_DisplayArrayInTable(Fertiliser_SourceData.Fertiliser_Products_Data1(), FertiliserProducts[[#Headers],[Company]],1)</f>
        <v>L</v>
      </c>
      <c r="G92" s="146" cm="1">
        <f t="array" ref="G92">Common_InputFunctions.Utility_DisplayArrayInTable(Fertiliser_SourceData.Fertiliser_Products_Data1(), FertiliserProducts[[#Headers],[Company]],1)</f>
        <v>1.24</v>
      </c>
      <c r="H92" s="146" t="str" cm="1">
        <f t="array" ref="H92">Common_InputFunctions.Utility_DisplayArrayInTable(Fertiliser_SourceData.Fertiliser_Products_Data1(), FertiliserProducts[[#Headers],[Company]],1)</f>
        <v/>
      </c>
      <c r="I92" s="146" t="str" cm="1">
        <f t="array" ref="I92">Common_InputFunctions.Utility_DisplayArrayInTable(Fertiliser_SourceData.Fertiliser_Products_Data1(), FertiliserProducts[[#Headers],[Company]],1)</f>
        <v/>
      </c>
      <c r="J92" s="146" t="str" cm="1">
        <f t="array" ref="J92">Common_InputFunctions.Utility_DisplayArrayInTable(Fertiliser_SourceData.Fertiliser_Products_Data1(), FertiliserProducts[[#Headers],[Company]],1)</f>
        <v/>
      </c>
      <c r="K92" s="146" cm="1">
        <f t="array" ref="K92">Common_InputFunctions.Utility_DisplayArrayInTable(Fertiliser_SourceData.Fertiliser_Products_Data1(), FertiliserProducts[[#Headers],[Company]],1)</f>
        <v>22.3</v>
      </c>
      <c r="L92" s="146" t="str" cm="1">
        <f t="array" ref="L92">Common_InputFunctions.Utility_DisplayArrayInTable(Fertiliser_SourceData.Fertiliser_Products_Data1(), FertiliserProducts[[#Headers],[Company]],1)</f>
        <v/>
      </c>
      <c r="M92" s="146" t="str" cm="1">
        <f t="array" ref="M92">Common_InputFunctions.Utility_DisplayArrayInTable(Fertiliser_SourceData.Fertiliser_Products_Data1(), FertiliserProducts[[#Headers],[Company]],1)</f>
        <v/>
      </c>
      <c r="N92" s="146" t="str" cm="1">
        <f t="array" ref="N92">Common_InputFunctions.Utility_DisplayArrayInTable(Fertiliser_SourceData.Fertiliser_Products_Data1(), FertiliserProducts[[#Headers],[Company]],1)</f>
        <v/>
      </c>
      <c r="O92" s="146" t="str" cm="1">
        <f t="array" ref="O92">Common_InputFunctions.Utility_DisplayArrayInTable(Fertiliser_SourceData.Fertiliser_Products_Data1(), FertiliserProducts[[#Headers],[Company]],1)</f>
        <v>Nitrogen - Ammoniacal</v>
      </c>
      <c r="P92" s="146" cm="1">
        <f t="array" ref="P92">Common_InputFunctions.Utility_DisplayArrayInTable(Fertiliser_SourceData.Fertiliser_Products_Data1(), FertiliserProducts[[#Headers],[Company]],1)</f>
        <v>0.223</v>
      </c>
      <c r="Q92" s="146" t="str" cm="1">
        <f t="array" ref="Q92">Common_InputFunctions.Utility_DisplayArrayInTable(Fertiliser_SourceData.Fertiliser_Products_Data1(), FertiliserProducts[[#Headers],[Company]],1)</f>
        <v/>
      </c>
      <c r="R92" s="146" t="str" cm="1">
        <f t="array" ref="R92">Common_InputFunctions.Utility_DisplayArrayInTable(Fertiliser_SourceData.Fertiliser_Products_Data1(), FertiliserProducts[[#Headers],[Company]],1)</f>
        <v/>
      </c>
      <c r="S92" s="146" t="str" cm="1">
        <f t="array" ref="S92">Common_InputFunctions.Utility_DisplayArrayInTable(Fertiliser_SourceData.Fertiliser_Products_Data1(), FertiliserProducts[[#Headers],[Company]],1)</f>
        <v/>
      </c>
      <c r="T92" s="146" t="str" cm="1">
        <f t="array" ref="T92">Common_InputFunctions.Utility_DisplayArrayInTable(Fertiliser_SourceData.Fertiliser_Products_Data1(), FertiliserProducts[[#Headers],[Company]],1)</f>
        <v/>
      </c>
      <c r="U92" s="146" t="str" cm="1">
        <f t="array" ref="U92">Common_InputFunctions.Utility_DisplayArrayInTable(Fertiliser_SourceData.Fertiliser_Products_Data1(), FertiliserProducts[[#Headers],[Company]],1)</f>
        <v/>
      </c>
      <c r="V92" s="146" t="str" cm="1">
        <f t="array" ref="V92">Common_InputFunctions.Utility_DisplayArrayInTable(Fertiliser_SourceData.Fertiliser_Products_Data1(), FertiliserProducts[[#Headers],[Company]],1)</f>
        <v/>
      </c>
      <c r="W92" s="146" t="str" cm="1">
        <f t="array" ref="W92">Common_InputFunctions.Utility_DisplayArrayInTable(Fertiliser_SourceData.Fertiliser_Products_Data1(), FertiliserProducts[[#Headers],[Company]],1)</f>
        <v/>
      </c>
      <c r="X92" s="146" t="str" cm="1">
        <f t="array" ref="X92">Common_InputFunctions.Utility_DisplayArrayInTable(Fertiliser_SourceData.Fertiliser_Products_Data1(), FertiliserProducts[[#Headers],[Company]],1)</f>
        <v/>
      </c>
      <c r="Y92" s="146" t="str" cm="1">
        <f t="array" ref="Y92">Common_InputFunctions.Utility_DisplayArrayInTable(Fertiliser_SourceData.Fertiliser_Products_Data1(), FertiliserProducts[[#Headers],[Company]],1)</f>
        <v/>
      </c>
      <c r="Z92" s="146" t="str" cm="1">
        <f t="array" ref="Z92">Common_InputFunctions.Utility_DisplayArrayInTable(Fertiliser_SourceData.Fertiliser_Products_Data1(), FertiliserProducts[[#Headers],[Company]],1)</f>
        <v/>
      </c>
      <c r="AA92" s="146" t="str" cm="1">
        <f t="array" ref="AA92">Common_InputFunctions.Utility_DisplayArrayInTable(Fertiliser_SourceData.Fertiliser_Products_Data1(), FertiliserProducts[[#Headers],[Company]],1)</f>
        <v/>
      </c>
      <c r="AB92" s="146" t="str" cm="1">
        <f t="array" ref="AB92">Common_InputFunctions.Utility_DisplayArrayInTable(Fertiliser_SourceData.Fertiliser_Products_Data1(), FertiliserProducts[[#Headers],[Company]],1)</f>
        <v/>
      </c>
      <c r="AC92" s="146" t="str" cm="1">
        <f t="array" ref="AC92">Common_InputFunctions.Utility_DisplayArrayInTable(Fertiliser_SourceData.Fertiliser_Products_Data1(), FertiliserProducts[[#Headers],[Company]],1)</f>
        <v/>
      </c>
      <c r="AD92" s="146" t="str" cm="1">
        <f t="array" ref="AD92">Common_InputFunctions.Utility_DisplayArrayInTable(Fertiliser_SourceData.Fertiliser_Products_Data1(), FertiliserProducts[[#Headers],[Company]],1)</f>
        <v/>
      </c>
      <c r="AE92" s="146" t="str" cm="1">
        <f t="array" ref="AE92">Common_InputFunctions.Utility_DisplayArrayInTable(Fertiliser_SourceData.Fertiliser_Products_Data1(), FertiliserProducts[[#Headers],[Company]],1)</f>
        <v/>
      </c>
      <c r="AF92" s="146" t="str" cm="1">
        <f t="array" ref="AF92">Common_InputFunctions.Utility_DisplayArrayInTable(Fertiliser_SourceData.Fertiliser_Products_Data1(), FertiliserProducts[[#Headers],[Company]],1)</f>
        <v/>
      </c>
      <c r="AG92" s="146" t="str" cm="1">
        <f t="array" ref="AG92">Common_InputFunctions.Utility_DisplayArrayInTable(Fertiliser_SourceData.Fertiliser_Products_Data1(), FertiliserProducts[[#Headers],[Company]],1)</f>
        <v/>
      </c>
      <c r="AH92" s="146" t="str" cm="1">
        <f t="array" ref="AH92">Common_InputFunctions.Utility_DisplayArrayInTable(Fertiliser_SourceData.Fertiliser_Products_Data1(), FertiliserProducts[[#Headers],[Company]],1)</f>
        <v/>
      </c>
      <c r="AK92" s="1"/>
      <c r="AL92" s="1"/>
      <c r="AM92" s="1"/>
    </row>
    <row r="93" spans="1:39" ht="20.100000000000001" customHeight="1" x14ac:dyDescent="0.2">
      <c r="D93" s="146" t="str" cm="1">
        <f t="array" ref="D93">Common_InputFunctions.Utility_DisplayArrayInTable(Fertiliser_SourceData.Fertiliser_Products_Data1(), FertiliserProducts[[#Headers],[Company]],1)</f>
        <v>Campbells fertilisers Australia</v>
      </c>
      <c r="E93" s="146" t="str" cm="1">
        <f t="array" ref="E93">Common_InputFunctions.Utility_DisplayArrayInTable(Fertiliser_SourceData.Fertiliser_Products_Data1(), FertiliserProducts[[#Headers],[Company]],1)</f>
        <v>Aqua NitroCal</v>
      </c>
      <c r="F93" s="146" t="str" cm="1">
        <f t="array" ref="F93">Common_InputFunctions.Utility_DisplayArrayInTable(Fertiliser_SourceData.Fertiliser_Products_Data1(), FertiliserProducts[[#Headers],[Company]],1)</f>
        <v>L</v>
      </c>
      <c r="G93" s="146" cm="1">
        <f t="array" ref="G93">Common_InputFunctions.Utility_DisplayArrayInTable(Fertiliser_SourceData.Fertiliser_Products_Data1(), FertiliserProducts[[#Headers],[Company]],1)</f>
        <v>1.5</v>
      </c>
      <c r="H93" s="146" t="str" cm="1">
        <f t="array" ref="H93">Common_InputFunctions.Utility_DisplayArrayInTable(Fertiliser_SourceData.Fertiliser_Products_Data1(), FertiliserProducts[[#Headers],[Company]],1)</f>
        <v/>
      </c>
      <c r="I93" s="146" t="str" cm="1">
        <f t="array" ref="I93">Common_InputFunctions.Utility_DisplayArrayInTable(Fertiliser_SourceData.Fertiliser_Products_Data1(), FertiliserProducts[[#Headers],[Company]],1)</f>
        <v/>
      </c>
      <c r="J93" s="146" t="str" cm="1">
        <f t="array" ref="J93">Common_InputFunctions.Utility_DisplayArrayInTable(Fertiliser_SourceData.Fertiliser_Products_Data1(), FertiliserProducts[[#Headers],[Company]],1)</f>
        <v/>
      </c>
      <c r="K93" s="146" cm="1">
        <f t="array" ref="K93">Common_InputFunctions.Utility_DisplayArrayInTable(Fertiliser_SourceData.Fertiliser_Products_Data1(), FertiliserProducts[[#Headers],[Company]],1)</f>
        <v>13.2</v>
      </c>
      <c r="L93" s="146" t="str" cm="1">
        <f t="array" ref="L93">Common_InputFunctions.Utility_DisplayArrayInTable(Fertiliser_SourceData.Fertiliser_Products_Data1(), FertiliserProducts[[#Headers],[Company]],1)</f>
        <v/>
      </c>
      <c r="M93" s="146" t="str" cm="1">
        <f t="array" ref="M93">Common_InputFunctions.Utility_DisplayArrayInTable(Fertiliser_SourceData.Fertiliser_Products_Data1(), FertiliserProducts[[#Headers],[Company]],1)</f>
        <v/>
      </c>
      <c r="N93" s="146" t="str" cm="1">
        <f t="array" ref="N93">Common_InputFunctions.Utility_DisplayArrayInTable(Fertiliser_SourceData.Fertiliser_Products_Data1(), FertiliserProducts[[#Headers],[Company]],1)</f>
        <v/>
      </c>
      <c r="O93" s="146" t="str" cm="1">
        <f t="array" ref="O93">Common_InputFunctions.Utility_DisplayArrayInTable(Fertiliser_SourceData.Fertiliser_Products_Data1(), FertiliserProducts[[#Headers],[Company]],1)</f>
        <v>Calcium</v>
      </c>
      <c r="P93" s="146" cm="1">
        <f t="array" ref="P93">Common_InputFunctions.Utility_DisplayArrayInTable(Fertiliser_SourceData.Fertiliser_Products_Data1(), FertiliserProducts[[#Headers],[Company]],1)</f>
        <v>0.16200000000000001</v>
      </c>
      <c r="Q93" s="146" t="str" cm="1">
        <f t="array" ref="Q93">Common_InputFunctions.Utility_DisplayArrayInTable(Fertiliser_SourceData.Fertiliser_Products_Data1(), FertiliserProducts[[#Headers],[Company]],1)</f>
        <v>Nitrogen - Nitrate</v>
      </c>
      <c r="R93" s="146" cm="1">
        <f t="array" ref="R93">Common_InputFunctions.Utility_DisplayArrayInTable(Fertiliser_SourceData.Fertiliser_Products_Data1(), FertiliserProducts[[#Headers],[Company]],1)</f>
        <v>0.13200000000000001</v>
      </c>
      <c r="S93" s="146" t="str" cm="1">
        <f t="array" ref="S93">Common_InputFunctions.Utility_DisplayArrayInTable(Fertiliser_SourceData.Fertiliser_Products_Data1(), FertiliserProducts[[#Headers],[Company]],1)</f>
        <v/>
      </c>
      <c r="T93" s="146" t="str" cm="1">
        <f t="array" ref="T93">Common_InputFunctions.Utility_DisplayArrayInTable(Fertiliser_SourceData.Fertiliser_Products_Data1(), FertiliserProducts[[#Headers],[Company]],1)</f>
        <v/>
      </c>
      <c r="U93" s="146" t="str" cm="1">
        <f t="array" ref="U93">Common_InputFunctions.Utility_DisplayArrayInTable(Fertiliser_SourceData.Fertiliser_Products_Data1(), FertiliserProducts[[#Headers],[Company]],1)</f>
        <v/>
      </c>
      <c r="V93" s="146" t="str" cm="1">
        <f t="array" ref="V93">Common_InputFunctions.Utility_DisplayArrayInTable(Fertiliser_SourceData.Fertiliser_Products_Data1(), FertiliserProducts[[#Headers],[Company]],1)</f>
        <v/>
      </c>
      <c r="W93" s="146" t="str" cm="1">
        <f t="array" ref="W93">Common_InputFunctions.Utility_DisplayArrayInTable(Fertiliser_SourceData.Fertiliser_Products_Data1(), FertiliserProducts[[#Headers],[Company]],1)</f>
        <v/>
      </c>
      <c r="X93" s="146" t="str" cm="1">
        <f t="array" ref="X93">Common_InputFunctions.Utility_DisplayArrayInTable(Fertiliser_SourceData.Fertiliser_Products_Data1(), FertiliserProducts[[#Headers],[Company]],1)</f>
        <v/>
      </c>
      <c r="Y93" s="146" t="str" cm="1">
        <f t="array" ref="Y93">Common_InputFunctions.Utility_DisplayArrayInTable(Fertiliser_SourceData.Fertiliser_Products_Data1(), FertiliserProducts[[#Headers],[Company]],1)</f>
        <v/>
      </c>
      <c r="Z93" s="146" t="str" cm="1">
        <f t="array" ref="Z93">Common_InputFunctions.Utility_DisplayArrayInTable(Fertiliser_SourceData.Fertiliser_Products_Data1(), FertiliserProducts[[#Headers],[Company]],1)</f>
        <v/>
      </c>
      <c r="AA93" s="146" t="str" cm="1">
        <f t="array" ref="AA93">Common_InputFunctions.Utility_DisplayArrayInTable(Fertiliser_SourceData.Fertiliser_Products_Data1(), FertiliserProducts[[#Headers],[Company]],1)</f>
        <v/>
      </c>
      <c r="AB93" s="146" t="str" cm="1">
        <f t="array" ref="AB93">Common_InputFunctions.Utility_DisplayArrayInTable(Fertiliser_SourceData.Fertiliser_Products_Data1(), FertiliserProducts[[#Headers],[Company]],1)</f>
        <v/>
      </c>
      <c r="AC93" s="146" t="str" cm="1">
        <f t="array" ref="AC93">Common_InputFunctions.Utility_DisplayArrayInTable(Fertiliser_SourceData.Fertiliser_Products_Data1(), FertiliserProducts[[#Headers],[Company]],1)</f>
        <v/>
      </c>
      <c r="AD93" s="146" t="str" cm="1">
        <f t="array" ref="AD93">Common_InputFunctions.Utility_DisplayArrayInTable(Fertiliser_SourceData.Fertiliser_Products_Data1(), FertiliserProducts[[#Headers],[Company]],1)</f>
        <v/>
      </c>
      <c r="AE93" s="146" t="str" cm="1">
        <f t="array" ref="AE93">Common_InputFunctions.Utility_DisplayArrayInTable(Fertiliser_SourceData.Fertiliser_Products_Data1(), FertiliserProducts[[#Headers],[Company]],1)</f>
        <v/>
      </c>
      <c r="AF93" s="146" t="str" cm="1">
        <f t="array" ref="AF93">Common_InputFunctions.Utility_DisplayArrayInTable(Fertiliser_SourceData.Fertiliser_Products_Data1(), FertiliserProducts[[#Headers],[Company]],1)</f>
        <v/>
      </c>
      <c r="AG93" s="146" t="str" cm="1">
        <f t="array" ref="AG93">Common_InputFunctions.Utility_DisplayArrayInTable(Fertiliser_SourceData.Fertiliser_Products_Data1(), FertiliserProducts[[#Headers],[Company]],1)</f>
        <v/>
      </c>
      <c r="AH93" s="146" t="str" cm="1">
        <f t="array" ref="AH93">Common_InputFunctions.Utility_DisplayArrayInTable(Fertiliser_SourceData.Fertiliser_Products_Data1(), FertiliserProducts[[#Headers],[Company]],1)</f>
        <v/>
      </c>
      <c r="AK93" s="1"/>
      <c r="AL93" s="1"/>
      <c r="AM93" s="1"/>
    </row>
    <row r="94" spans="1:39" ht="20.100000000000001" customHeight="1" x14ac:dyDescent="0.2">
      <c r="D94" s="146" t="str" cm="1">
        <f t="array" ref="D94">Common_InputFunctions.Utility_DisplayArrayInTable(Fertiliser_SourceData.Fertiliser_Products_Data1(), FertiliserProducts[[#Headers],[Company]],1)</f>
        <v>Campbells fertilisers Australia</v>
      </c>
      <c r="E94" s="146" t="str" cm="1">
        <f t="array" ref="E94">Common_InputFunctions.Utility_DisplayArrayInTable(Fertiliser_SourceData.Fertiliser_Products_Data1(), FertiliserProducts[[#Headers],[Company]],1)</f>
        <v>Aqua NitroCal (VI)</v>
      </c>
      <c r="F94" s="146" t="str" cm="1">
        <f t="array" ref="F94">Common_InputFunctions.Utility_DisplayArrayInTable(Fertiliser_SourceData.Fertiliser_Products_Data1(), FertiliserProducts[[#Headers],[Company]],1)</f>
        <v>L</v>
      </c>
      <c r="G94" s="146" cm="1">
        <f t="array" ref="G94">Common_InputFunctions.Utility_DisplayArrayInTable(Fertiliser_SourceData.Fertiliser_Products_Data1(), FertiliserProducts[[#Headers],[Company]],1)</f>
        <v>1.5</v>
      </c>
      <c r="H94" s="146" t="str" cm="1">
        <f t="array" ref="H94">Common_InputFunctions.Utility_DisplayArrayInTable(Fertiliser_SourceData.Fertiliser_Products_Data1(), FertiliserProducts[[#Headers],[Company]],1)</f>
        <v/>
      </c>
      <c r="I94" s="146" t="str" cm="1">
        <f t="array" ref="I94">Common_InputFunctions.Utility_DisplayArrayInTable(Fertiliser_SourceData.Fertiliser_Products_Data1(), FertiliserProducts[[#Headers],[Company]],1)</f>
        <v/>
      </c>
      <c r="J94" s="146" t="str" cm="1">
        <f t="array" ref="J94">Common_InputFunctions.Utility_DisplayArrayInTable(Fertiliser_SourceData.Fertiliser_Products_Data1(), FertiliserProducts[[#Headers],[Company]],1)</f>
        <v/>
      </c>
      <c r="K94" s="146" cm="1">
        <f t="array" ref="K94">Common_InputFunctions.Utility_DisplayArrayInTable(Fertiliser_SourceData.Fertiliser_Products_Data1(), FertiliserProducts[[#Headers],[Company]],1)</f>
        <v>13.2</v>
      </c>
      <c r="L94" s="146" t="str" cm="1">
        <f t="array" ref="L94">Common_InputFunctions.Utility_DisplayArrayInTable(Fertiliser_SourceData.Fertiliser_Products_Data1(), FertiliserProducts[[#Headers],[Company]],1)</f>
        <v/>
      </c>
      <c r="M94" s="146" t="str" cm="1">
        <f t="array" ref="M94">Common_InputFunctions.Utility_DisplayArrayInTable(Fertiliser_SourceData.Fertiliser_Products_Data1(), FertiliserProducts[[#Headers],[Company]],1)</f>
        <v/>
      </c>
      <c r="N94" s="146" t="str" cm="1">
        <f t="array" ref="N94">Common_InputFunctions.Utility_DisplayArrayInTable(Fertiliser_SourceData.Fertiliser_Products_Data1(), FertiliserProducts[[#Headers],[Company]],1)</f>
        <v/>
      </c>
      <c r="O94" s="146" t="str" cm="1">
        <f t="array" ref="O94">Common_InputFunctions.Utility_DisplayArrayInTable(Fertiliser_SourceData.Fertiliser_Products_Data1(), FertiliserProducts[[#Headers],[Company]],1)</f>
        <v>Calcium</v>
      </c>
      <c r="P94" s="146" cm="1">
        <f t="array" ref="P94">Common_InputFunctions.Utility_DisplayArrayInTable(Fertiliser_SourceData.Fertiliser_Products_Data1(), FertiliserProducts[[#Headers],[Company]],1)</f>
        <v>0.187</v>
      </c>
      <c r="Q94" s="146" t="str" cm="1">
        <f t="array" ref="Q94">Common_InputFunctions.Utility_DisplayArrayInTable(Fertiliser_SourceData.Fertiliser_Products_Data1(), FertiliserProducts[[#Headers],[Company]],1)</f>
        <v>Nitrogen - Nitrate</v>
      </c>
      <c r="R94" s="146" cm="1">
        <f t="array" ref="R94">Common_InputFunctions.Utility_DisplayArrayInTable(Fertiliser_SourceData.Fertiliser_Products_Data1(), FertiliserProducts[[#Headers],[Company]],1)</f>
        <v>0.13200000000000001</v>
      </c>
      <c r="S94" s="146" t="str" cm="1">
        <f t="array" ref="S94">Common_InputFunctions.Utility_DisplayArrayInTable(Fertiliser_SourceData.Fertiliser_Products_Data1(), FertiliserProducts[[#Headers],[Company]],1)</f>
        <v/>
      </c>
      <c r="T94" s="146" t="str" cm="1">
        <f t="array" ref="T94">Common_InputFunctions.Utility_DisplayArrayInTable(Fertiliser_SourceData.Fertiliser_Products_Data1(), FertiliserProducts[[#Headers],[Company]],1)</f>
        <v/>
      </c>
      <c r="U94" s="146" t="str" cm="1">
        <f t="array" ref="U94">Common_InputFunctions.Utility_DisplayArrayInTable(Fertiliser_SourceData.Fertiliser_Products_Data1(), FertiliserProducts[[#Headers],[Company]],1)</f>
        <v/>
      </c>
      <c r="V94" s="146" t="str" cm="1">
        <f t="array" ref="V94">Common_InputFunctions.Utility_DisplayArrayInTable(Fertiliser_SourceData.Fertiliser_Products_Data1(), FertiliserProducts[[#Headers],[Company]],1)</f>
        <v/>
      </c>
      <c r="W94" s="146" t="str" cm="1">
        <f t="array" ref="W94">Common_InputFunctions.Utility_DisplayArrayInTable(Fertiliser_SourceData.Fertiliser_Products_Data1(), FertiliserProducts[[#Headers],[Company]],1)</f>
        <v/>
      </c>
      <c r="X94" s="146" t="str" cm="1">
        <f t="array" ref="X94">Common_InputFunctions.Utility_DisplayArrayInTable(Fertiliser_SourceData.Fertiliser_Products_Data1(), FertiliserProducts[[#Headers],[Company]],1)</f>
        <v/>
      </c>
      <c r="Y94" s="146" t="str" cm="1">
        <f t="array" ref="Y94">Common_InputFunctions.Utility_DisplayArrayInTable(Fertiliser_SourceData.Fertiliser_Products_Data1(), FertiliserProducts[[#Headers],[Company]],1)</f>
        <v/>
      </c>
      <c r="Z94" s="146" t="str" cm="1">
        <f t="array" ref="Z94">Common_InputFunctions.Utility_DisplayArrayInTable(Fertiliser_SourceData.Fertiliser_Products_Data1(), FertiliserProducts[[#Headers],[Company]],1)</f>
        <v/>
      </c>
      <c r="AA94" s="146" t="str" cm="1">
        <f t="array" ref="AA94">Common_InputFunctions.Utility_DisplayArrayInTable(Fertiliser_SourceData.Fertiliser_Products_Data1(), FertiliserProducts[[#Headers],[Company]],1)</f>
        <v/>
      </c>
      <c r="AB94" s="146" t="str" cm="1">
        <f t="array" ref="AB94">Common_InputFunctions.Utility_DisplayArrayInTable(Fertiliser_SourceData.Fertiliser_Products_Data1(), FertiliserProducts[[#Headers],[Company]],1)</f>
        <v/>
      </c>
      <c r="AC94" s="146" t="str" cm="1">
        <f t="array" ref="AC94">Common_InputFunctions.Utility_DisplayArrayInTable(Fertiliser_SourceData.Fertiliser_Products_Data1(), FertiliserProducts[[#Headers],[Company]],1)</f>
        <v/>
      </c>
      <c r="AD94" s="146" t="str" cm="1">
        <f t="array" ref="AD94">Common_InputFunctions.Utility_DisplayArrayInTable(Fertiliser_SourceData.Fertiliser_Products_Data1(), FertiliserProducts[[#Headers],[Company]],1)</f>
        <v/>
      </c>
      <c r="AE94" s="146" t="str" cm="1">
        <f t="array" ref="AE94">Common_InputFunctions.Utility_DisplayArrayInTable(Fertiliser_SourceData.Fertiliser_Products_Data1(), FertiliserProducts[[#Headers],[Company]],1)</f>
        <v/>
      </c>
      <c r="AF94" s="146" t="str" cm="1">
        <f t="array" ref="AF94">Common_InputFunctions.Utility_DisplayArrayInTable(Fertiliser_SourceData.Fertiliser_Products_Data1(), FertiliserProducts[[#Headers],[Company]],1)</f>
        <v/>
      </c>
      <c r="AG94" s="146" t="str" cm="1">
        <f t="array" ref="AG94">Common_InputFunctions.Utility_DisplayArrayInTable(Fertiliser_SourceData.Fertiliser_Products_Data1(), FertiliserProducts[[#Headers],[Company]],1)</f>
        <v/>
      </c>
      <c r="AH94" s="146" t="str" cm="1">
        <f t="array" ref="AH94">Common_InputFunctions.Utility_DisplayArrayInTable(Fertiliser_SourceData.Fertiliser_Products_Data1(), FertiliserProducts[[#Headers],[Company]],1)</f>
        <v/>
      </c>
      <c r="AK94" s="1"/>
      <c r="AL94" s="1"/>
      <c r="AM94" s="1"/>
    </row>
    <row r="95" spans="1:39" ht="20.100000000000001" customHeight="1" x14ac:dyDescent="0.2">
      <c r="D95" s="146" t="str" cm="1">
        <f t="array" ref="D95">Common_InputFunctions.Utility_DisplayArrayInTable(Fertiliser_SourceData.Fertiliser_Products_Data1(), FertiliserProducts[[#Headers],[Company]],1)</f>
        <v>Campbells fertilisers Australia</v>
      </c>
      <c r="E95" s="146" t="str" cm="1">
        <f t="array" ref="E95">Common_InputFunctions.Utility_DisplayArrayInTable(Fertiliser_SourceData.Fertiliser_Products_Data1(), FertiliserProducts[[#Headers],[Company]],1)</f>
        <v>Aqua NitroCal Ultimate</v>
      </c>
      <c r="F95" s="146" t="str" cm="1">
        <f t="array" ref="F95">Common_InputFunctions.Utility_DisplayArrayInTable(Fertiliser_SourceData.Fertiliser_Products_Data1(), FertiliserProducts[[#Headers],[Company]],1)</f>
        <v>L</v>
      </c>
      <c r="G95" s="146" cm="1">
        <f t="array" ref="G95">Common_InputFunctions.Utility_DisplayArrayInTable(Fertiliser_SourceData.Fertiliser_Products_Data1(), FertiliserProducts[[#Headers],[Company]],1)</f>
        <v>1.5</v>
      </c>
      <c r="H95" s="146" t="str" cm="1">
        <f t="array" ref="H95">Common_InputFunctions.Utility_DisplayArrayInTable(Fertiliser_SourceData.Fertiliser_Products_Data1(), FertiliserProducts[[#Headers],[Company]],1)</f>
        <v/>
      </c>
      <c r="I95" s="146" t="str" cm="1">
        <f t="array" ref="I95">Common_InputFunctions.Utility_DisplayArrayInTable(Fertiliser_SourceData.Fertiliser_Products_Data1(), FertiliserProducts[[#Headers],[Company]],1)</f>
        <v/>
      </c>
      <c r="J95" s="146" t="str" cm="1">
        <f t="array" ref="J95">Common_InputFunctions.Utility_DisplayArrayInTable(Fertiliser_SourceData.Fertiliser_Products_Data1(), FertiliserProducts[[#Headers],[Company]],1)</f>
        <v/>
      </c>
      <c r="K95" s="146" cm="1">
        <f t="array" ref="K95">Common_InputFunctions.Utility_DisplayArrayInTable(Fertiliser_SourceData.Fertiliser_Products_Data1(), FertiliserProducts[[#Headers],[Company]],1)</f>
        <v>13.2</v>
      </c>
      <c r="L95" s="146" t="str" cm="1">
        <f t="array" ref="L95">Common_InputFunctions.Utility_DisplayArrayInTable(Fertiliser_SourceData.Fertiliser_Products_Data1(), FertiliserProducts[[#Headers],[Company]],1)</f>
        <v/>
      </c>
      <c r="M95" s="146" t="str" cm="1">
        <f t="array" ref="M95">Common_InputFunctions.Utility_DisplayArrayInTable(Fertiliser_SourceData.Fertiliser_Products_Data1(), FertiliserProducts[[#Headers],[Company]],1)</f>
        <v/>
      </c>
      <c r="N95" s="146" t="str" cm="1">
        <f t="array" ref="N95">Common_InputFunctions.Utility_DisplayArrayInTable(Fertiliser_SourceData.Fertiliser_Products_Data1(), FertiliserProducts[[#Headers],[Company]],1)</f>
        <v/>
      </c>
      <c r="O95" s="146" t="str" cm="1">
        <f t="array" ref="O95">Common_InputFunctions.Utility_DisplayArrayInTable(Fertiliser_SourceData.Fertiliser_Products_Data1(), FertiliserProducts[[#Headers],[Company]],1)</f>
        <v>Calcium</v>
      </c>
      <c r="P95" s="146" cm="1">
        <f t="array" ref="P95">Common_InputFunctions.Utility_DisplayArrayInTable(Fertiliser_SourceData.Fertiliser_Products_Data1(), FertiliserProducts[[#Headers],[Company]],1)</f>
        <v>0.183</v>
      </c>
      <c r="Q95" s="146" t="str" cm="1">
        <f t="array" ref="Q95">Common_InputFunctions.Utility_DisplayArrayInTable(Fertiliser_SourceData.Fertiliser_Products_Data1(), FertiliserProducts[[#Headers],[Company]],1)</f>
        <v>Nitrogen - Nitrate</v>
      </c>
      <c r="R95" s="146" cm="1">
        <f t="array" ref="R95">Common_InputFunctions.Utility_DisplayArrayInTable(Fertiliser_SourceData.Fertiliser_Products_Data1(), FertiliserProducts[[#Headers],[Company]],1)</f>
        <v>0.13200000000000001</v>
      </c>
      <c r="S95" s="146" t="str" cm="1">
        <f t="array" ref="S95">Common_InputFunctions.Utility_DisplayArrayInTable(Fertiliser_SourceData.Fertiliser_Products_Data1(), FertiliserProducts[[#Headers],[Company]],1)</f>
        <v/>
      </c>
      <c r="T95" s="146" t="str" cm="1">
        <f t="array" ref="T95">Common_InputFunctions.Utility_DisplayArrayInTable(Fertiliser_SourceData.Fertiliser_Products_Data1(), FertiliserProducts[[#Headers],[Company]],1)</f>
        <v/>
      </c>
      <c r="U95" s="146" t="str" cm="1">
        <f t="array" ref="U95">Common_InputFunctions.Utility_DisplayArrayInTable(Fertiliser_SourceData.Fertiliser_Products_Data1(), FertiliserProducts[[#Headers],[Company]],1)</f>
        <v/>
      </c>
      <c r="V95" s="146" t="str" cm="1">
        <f t="array" ref="V95">Common_InputFunctions.Utility_DisplayArrayInTable(Fertiliser_SourceData.Fertiliser_Products_Data1(), FertiliserProducts[[#Headers],[Company]],1)</f>
        <v/>
      </c>
      <c r="W95" s="146" t="str" cm="1">
        <f t="array" ref="W95">Common_InputFunctions.Utility_DisplayArrayInTable(Fertiliser_SourceData.Fertiliser_Products_Data1(), FertiliserProducts[[#Headers],[Company]],1)</f>
        <v/>
      </c>
      <c r="X95" s="146" t="str" cm="1">
        <f t="array" ref="X95">Common_InputFunctions.Utility_DisplayArrayInTable(Fertiliser_SourceData.Fertiliser_Products_Data1(), FertiliserProducts[[#Headers],[Company]],1)</f>
        <v/>
      </c>
      <c r="Y95" s="146" t="str" cm="1">
        <f t="array" ref="Y95">Common_InputFunctions.Utility_DisplayArrayInTable(Fertiliser_SourceData.Fertiliser_Products_Data1(), FertiliserProducts[[#Headers],[Company]],1)</f>
        <v/>
      </c>
      <c r="Z95" s="146" t="str" cm="1">
        <f t="array" ref="Z95">Common_InputFunctions.Utility_DisplayArrayInTable(Fertiliser_SourceData.Fertiliser_Products_Data1(), FertiliserProducts[[#Headers],[Company]],1)</f>
        <v/>
      </c>
      <c r="AA95" s="146" t="str" cm="1">
        <f t="array" ref="AA95">Common_InputFunctions.Utility_DisplayArrayInTable(Fertiliser_SourceData.Fertiliser_Products_Data1(), FertiliserProducts[[#Headers],[Company]],1)</f>
        <v/>
      </c>
      <c r="AB95" s="146" t="str" cm="1">
        <f t="array" ref="AB95">Common_InputFunctions.Utility_DisplayArrayInTable(Fertiliser_SourceData.Fertiliser_Products_Data1(), FertiliserProducts[[#Headers],[Company]],1)</f>
        <v/>
      </c>
      <c r="AC95" s="146" t="str" cm="1">
        <f t="array" ref="AC95">Common_InputFunctions.Utility_DisplayArrayInTable(Fertiliser_SourceData.Fertiliser_Products_Data1(), FertiliserProducts[[#Headers],[Company]],1)</f>
        <v/>
      </c>
      <c r="AD95" s="146" t="str" cm="1">
        <f t="array" ref="AD95">Common_InputFunctions.Utility_DisplayArrayInTable(Fertiliser_SourceData.Fertiliser_Products_Data1(), FertiliserProducts[[#Headers],[Company]],1)</f>
        <v/>
      </c>
      <c r="AE95" s="146" t="str" cm="1">
        <f t="array" ref="AE95">Common_InputFunctions.Utility_DisplayArrayInTable(Fertiliser_SourceData.Fertiliser_Products_Data1(), FertiliserProducts[[#Headers],[Company]],1)</f>
        <v/>
      </c>
      <c r="AF95" s="146" t="str" cm="1">
        <f t="array" ref="AF95">Common_InputFunctions.Utility_DisplayArrayInTable(Fertiliser_SourceData.Fertiliser_Products_Data1(), FertiliserProducts[[#Headers],[Company]],1)</f>
        <v/>
      </c>
      <c r="AG95" s="146" t="str" cm="1">
        <f t="array" ref="AG95">Common_InputFunctions.Utility_DisplayArrayInTable(Fertiliser_SourceData.Fertiliser_Products_Data1(), FertiliserProducts[[#Headers],[Company]],1)</f>
        <v/>
      </c>
      <c r="AH95" s="146" t="str" cm="1">
        <f t="array" ref="AH95">Common_InputFunctions.Utility_DisplayArrayInTable(Fertiliser_SourceData.Fertiliser_Products_Data1(), FertiliserProducts[[#Headers],[Company]],1)</f>
        <v/>
      </c>
      <c r="AK95" s="1"/>
      <c r="AL95" s="1"/>
      <c r="AM95" s="1"/>
    </row>
    <row r="96" spans="1:39" ht="20.100000000000001" customHeight="1" x14ac:dyDescent="0.2">
      <c r="A96" s="79" t="str">
        <f>HYPERLINK("#A1", "▲ Back to top")</f>
        <v>▲ Back to top</v>
      </c>
      <c r="D96" s="146" t="str" cm="1">
        <f t="array" ref="D96">Common_InputFunctions.Utility_DisplayArrayInTable(Fertiliser_SourceData.Fertiliser_Products_Data1(), FertiliserProducts[[#Headers],[Company]],1)</f>
        <v>Campbells fertilisers Australia</v>
      </c>
      <c r="E96" s="146" t="str" cm="1">
        <f t="array" ref="E96">Common_InputFunctions.Utility_DisplayArrayInTable(Fertiliser_SourceData.Fertiliser_Products_Data1(), FertiliserProducts[[#Headers],[Company]],1)</f>
        <v>Aqua Start</v>
      </c>
      <c r="F96" s="146" t="str" cm="1">
        <f t="array" ref="F96">Common_InputFunctions.Utility_DisplayArrayInTable(Fertiliser_SourceData.Fertiliser_Products_Data1(), FertiliserProducts[[#Headers],[Company]],1)</f>
        <v>L</v>
      </c>
      <c r="G96" s="146" cm="1">
        <f t="array" ref="G96">Common_InputFunctions.Utility_DisplayArrayInTable(Fertiliser_SourceData.Fertiliser_Products_Data1(), FertiliserProducts[[#Headers],[Company]],1)</f>
        <v>1.25</v>
      </c>
      <c r="H96" s="146" t="str" cm="1">
        <f t="array" ref="H96">Common_InputFunctions.Utility_DisplayArrayInTable(Fertiliser_SourceData.Fertiliser_Products_Data1(), FertiliserProducts[[#Headers],[Company]],1)</f>
        <v/>
      </c>
      <c r="I96" s="146" t="str" cm="1">
        <f t="array" ref="I96">Common_InputFunctions.Utility_DisplayArrayInTable(Fertiliser_SourceData.Fertiliser_Products_Data1(), FertiliserProducts[[#Headers],[Company]],1)</f>
        <v/>
      </c>
      <c r="J96" s="146" t="str" cm="1">
        <f t="array" ref="J96">Common_InputFunctions.Utility_DisplayArrayInTable(Fertiliser_SourceData.Fertiliser_Products_Data1(), FertiliserProducts[[#Headers],[Company]],1)</f>
        <v/>
      </c>
      <c r="K96" s="146" cm="1">
        <f t="array" ref="K96">Common_InputFunctions.Utility_DisplayArrayInTable(Fertiliser_SourceData.Fertiliser_Products_Data1(), FertiliserProducts[[#Headers],[Company]],1)</f>
        <v>10.3</v>
      </c>
      <c r="L96" s="146" cm="1">
        <f t="array" ref="L96">Common_InputFunctions.Utility_DisplayArrayInTable(Fertiliser_SourceData.Fertiliser_Products_Data1(), FertiliserProducts[[#Headers],[Company]],1)</f>
        <v>10</v>
      </c>
      <c r="M96" s="146" cm="1">
        <f t="array" ref="M96">Common_InputFunctions.Utility_DisplayArrayInTable(Fertiliser_SourceData.Fertiliser_Products_Data1(), FertiliserProducts[[#Headers],[Company]],1)</f>
        <v>3.4</v>
      </c>
      <c r="N96" s="146" t="str" cm="1">
        <f t="array" ref="N96">Common_InputFunctions.Utility_DisplayArrayInTable(Fertiliser_SourceData.Fertiliser_Products_Data1(), FertiliserProducts[[#Headers],[Company]],1)</f>
        <v/>
      </c>
      <c r="O96" s="146" t="str" cm="1">
        <f t="array" ref="O96">Common_InputFunctions.Utility_DisplayArrayInTable(Fertiliser_SourceData.Fertiliser_Products_Data1(), FertiliserProducts[[#Headers],[Company]],1)</f>
        <v>Nitrogen - Generic</v>
      </c>
      <c r="P96" s="146" cm="1">
        <f t="array" ref="P96">Common_InputFunctions.Utility_DisplayArrayInTable(Fertiliser_SourceData.Fertiliser_Products_Data1(), FertiliserProducts[[#Headers],[Company]],1)</f>
        <v>0.10299999999999999</v>
      </c>
      <c r="Q96" s="146" t="str" cm="1">
        <f t="array" ref="Q96">Common_InputFunctions.Utility_DisplayArrayInTable(Fertiliser_SourceData.Fertiliser_Products_Data1(), FertiliserProducts[[#Headers],[Company]],1)</f>
        <v>Phosphorus - Generic</v>
      </c>
      <c r="R96" s="146" cm="1">
        <f t="array" ref="R96">Common_InputFunctions.Utility_DisplayArrayInTable(Fertiliser_SourceData.Fertiliser_Products_Data1(), FertiliserProducts[[#Headers],[Company]],1)</f>
        <v>0.1</v>
      </c>
      <c r="S96" s="146" t="str" cm="1">
        <f t="array" ref="S96">Common_InputFunctions.Utility_DisplayArrayInTable(Fertiliser_SourceData.Fertiliser_Products_Data1(), FertiliserProducts[[#Headers],[Company]],1)</f>
        <v>Potassium - Generic</v>
      </c>
      <c r="T96" s="146" cm="1">
        <f t="array" ref="T96">Common_InputFunctions.Utility_DisplayArrayInTable(Fertiliser_SourceData.Fertiliser_Products_Data1(), FertiliserProducts[[#Headers],[Company]],1)</f>
        <v>3.4000000000000002E-2</v>
      </c>
      <c r="U96" s="146" t="str" cm="1">
        <f t="array" ref="U96">Common_InputFunctions.Utility_DisplayArrayInTable(Fertiliser_SourceData.Fertiliser_Products_Data1(), FertiliserProducts[[#Headers],[Company]],1)</f>
        <v/>
      </c>
      <c r="V96" s="146" t="str" cm="1">
        <f t="array" ref="V96">Common_InputFunctions.Utility_DisplayArrayInTable(Fertiliser_SourceData.Fertiliser_Products_Data1(), FertiliserProducts[[#Headers],[Company]],1)</f>
        <v/>
      </c>
      <c r="W96" s="146" t="str" cm="1">
        <f t="array" ref="W96">Common_InputFunctions.Utility_DisplayArrayInTable(Fertiliser_SourceData.Fertiliser_Products_Data1(), FertiliserProducts[[#Headers],[Company]],1)</f>
        <v/>
      </c>
      <c r="X96" s="146" t="str" cm="1">
        <f t="array" ref="X96">Common_InputFunctions.Utility_DisplayArrayInTable(Fertiliser_SourceData.Fertiliser_Products_Data1(), FertiliserProducts[[#Headers],[Company]],1)</f>
        <v/>
      </c>
      <c r="Y96" s="146" t="str" cm="1">
        <f t="array" ref="Y96">Common_InputFunctions.Utility_DisplayArrayInTable(Fertiliser_SourceData.Fertiliser_Products_Data1(), FertiliserProducts[[#Headers],[Company]],1)</f>
        <v/>
      </c>
      <c r="Z96" s="146" t="str" cm="1">
        <f t="array" ref="Z96">Common_InputFunctions.Utility_DisplayArrayInTable(Fertiliser_SourceData.Fertiliser_Products_Data1(), FertiliserProducts[[#Headers],[Company]],1)</f>
        <v/>
      </c>
      <c r="AA96" s="146" t="str" cm="1">
        <f t="array" ref="AA96">Common_InputFunctions.Utility_DisplayArrayInTable(Fertiliser_SourceData.Fertiliser_Products_Data1(), FertiliserProducts[[#Headers],[Company]],1)</f>
        <v/>
      </c>
      <c r="AB96" s="146" t="str" cm="1">
        <f t="array" ref="AB96">Common_InputFunctions.Utility_DisplayArrayInTable(Fertiliser_SourceData.Fertiliser_Products_Data1(), FertiliserProducts[[#Headers],[Company]],1)</f>
        <v/>
      </c>
      <c r="AC96" s="146" t="str" cm="1">
        <f t="array" ref="AC96">Common_InputFunctions.Utility_DisplayArrayInTable(Fertiliser_SourceData.Fertiliser_Products_Data1(), FertiliserProducts[[#Headers],[Company]],1)</f>
        <v/>
      </c>
      <c r="AD96" s="146" t="str" cm="1">
        <f t="array" ref="AD96">Common_InputFunctions.Utility_DisplayArrayInTable(Fertiliser_SourceData.Fertiliser_Products_Data1(), FertiliserProducts[[#Headers],[Company]],1)</f>
        <v/>
      </c>
      <c r="AE96" s="146" t="str" cm="1">
        <f t="array" ref="AE96">Common_InputFunctions.Utility_DisplayArrayInTable(Fertiliser_SourceData.Fertiliser_Products_Data1(), FertiliserProducts[[#Headers],[Company]],1)</f>
        <v/>
      </c>
      <c r="AF96" s="146" t="str" cm="1">
        <f t="array" ref="AF96">Common_InputFunctions.Utility_DisplayArrayInTable(Fertiliser_SourceData.Fertiliser_Products_Data1(), FertiliserProducts[[#Headers],[Company]],1)</f>
        <v/>
      </c>
      <c r="AG96" s="146" t="str" cm="1">
        <f t="array" ref="AG96">Common_InputFunctions.Utility_DisplayArrayInTable(Fertiliser_SourceData.Fertiliser_Products_Data1(), FertiliserProducts[[#Headers],[Company]],1)</f>
        <v/>
      </c>
      <c r="AH96" s="146" t="str" cm="1">
        <f t="array" ref="AH96">Common_InputFunctions.Utility_DisplayArrayInTable(Fertiliser_SourceData.Fertiliser_Products_Data1(), FertiliserProducts[[#Headers],[Company]],1)</f>
        <v/>
      </c>
      <c r="AK96" s="1"/>
      <c r="AL96" s="1"/>
      <c r="AM96" s="1"/>
    </row>
    <row r="97" spans="4:39" ht="20.100000000000001" customHeight="1" x14ac:dyDescent="0.2">
      <c r="D97" s="146" t="str" cm="1">
        <f t="array" ref="D97">Common_InputFunctions.Utility_DisplayArrayInTable(Fertiliser_SourceData.Fertiliser_Products_Data1(), FertiliserProducts[[#Headers],[Company]],1)</f>
        <v>Campbells fertilisers Australia</v>
      </c>
      <c r="E97" s="146" t="str" cm="1">
        <f t="array" ref="E97">Common_InputFunctions.Utility_DisplayArrayInTable(Fertiliser_SourceData.Fertiliser_Products_Data1(), FertiliserProducts[[#Headers],[Company]],1)</f>
        <v>Aqua Thio-Complete</v>
      </c>
      <c r="F97" s="146" t="str" cm="1">
        <f t="array" ref="F97">Common_InputFunctions.Utility_DisplayArrayInTable(Fertiliser_SourceData.Fertiliser_Products_Data1(), FertiliserProducts[[#Headers],[Company]],1)</f>
        <v>L</v>
      </c>
      <c r="G97" s="146" cm="1">
        <f t="array" ref="G97">Common_InputFunctions.Utility_DisplayArrayInTable(Fertiliser_SourceData.Fertiliser_Products_Data1(), FertiliserProducts[[#Headers],[Company]],1)</f>
        <v>1.43</v>
      </c>
      <c r="H97" s="146" t="str" cm="1">
        <f t="array" ref="H97">Common_InputFunctions.Utility_DisplayArrayInTable(Fertiliser_SourceData.Fertiliser_Products_Data1(), FertiliserProducts[[#Headers],[Company]],1)</f>
        <v/>
      </c>
      <c r="I97" s="146" t="str" cm="1">
        <f t="array" ref="I97">Common_InputFunctions.Utility_DisplayArrayInTable(Fertiliser_SourceData.Fertiliser_Products_Data1(), FertiliserProducts[[#Headers],[Company]],1)</f>
        <v/>
      </c>
      <c r="J97" s="146" t="str" cm="1">
        <f t="array" ref="J97">Common_InputFunctions.Utility_DisplayArrayInTable(Fertiliser_SourceData.Fertiliser_Products_Data1(), FertiliserProducts[[#Headers],[Company]],1)</f>
        <v/>
      </c>
      <c r="K97" s="146" cm="1">
        <f t="array" ref="K97">Common_InputFunctions.Utility_DisplayArrayInTable(Fertiliser_SourceData.Fertiliser_Products_Data1(), FertiliserProducts[[#Headers],[Company]],1)</f>
        <v>2.5</v>
      </c>
      <c r="L97" s="146" cm="1">
        <f t="array" ref="L97">Common_InputFunctions.Utility_DisplayArrayInTable(Fertiliser_SourceData.Fertiliser_Products_Data1(), FertiliserProducts[[#Headers],[Company]],1)</f>
        <v>3.8</v>
      </c>
      <c r="M97" s="146" cm="1">
        <f t="array" ref="M97">Common_InputFunctions.Utility_DisplayArrayInTable(Fertiliser_SourceData.Fertiliser_Products_Data1(), FertiliserProducts[[#Headers],[Company]],1)</f>
        <v>22.5</v>
      </c>
      <c r="N97" s="146" t="str" cm="1">
        <f t="array" ref="N97">Common_InputFunctions.Utility_DisplayArrayInTable(Fertiliser_SourceData.Fertiliser_Products_Data1(), FertiliserProducts[[#Headers],[Company]],1)</f>
        <v/>
      </c>
      <c r="O97" s="146" t="str" cm="1">
        <f t="array" ref="O97">Common_InputFunctions.Utility_DisplayArrayInTable(Fertiliser_SourceData.Fertiliser_Products_Data1(), FertiliserProducts[[#Headers],[Company]],1)</f>
        <v>Potassium - Generic</v>
      </c>
      <c r="P97" s="146" cm="1">
        <f t="array" ref="P97">Common_InputFunctions.Utility_DisplayArrayInTable(Fertiliser_SourceData.Fertiliser_Products_Data1(), FertiliserProducts[[#Headers],[Company]],1)</f>
        <v>0.22500000000000001</v>
      </c>
      <c r="Q97" s="146" t="str" cm="1">
        <f t="array" ref="Q97">Common_InputFunctions.Utility_DisplayArrayInTable(Fertiliser_SourceData.Fertiliser_Products_Data1(), FertiliserProducts[[#Headers],[Company]],1)</f>
        <v>Phosphorus - Generic</v>
      </c>
      <c r="R97" s="146" cm="1">
        <f t="array" ref="R97">Common_InputFunctions.Utility_DisplayArrayInTable(Fertiliser_SourceData.Fertiliser_Products_Data1(), FertiliserProducts[[#Headers],[Company]],1)</f>
        <v>3.7999999999999999E-2</v>
      </c>
      <c r="S97" s="146" t="str" cm="1">
        <f t="array" ref="S97">Common_InputFunctions.Utility_DisplayArrayInTable(Fertiliser_SourceData.Fertiliser_Products_Data1(), FertiliserProducts[[#Headers],[Company]],1)</f>
        <v>Nitrogen - Generic</v>
      </c>
      <c r="T97" s="146" cm="1">
        <f t="array" ref="T97">Common_InputFunctions.Utility_DisplayArrayInTable(Fertiliser_SourceData.Fertiliser_Products_Data1(), FertiliserProducts[[#Headers],[Company]],1)</f>
        <v>2.5000000000000001E-2</v>
      </c>
      <c r="U97" s="146" t="str" cm="1">
        <f t="array" ref="U97">Common_InputFunctions.Utility_DisplayArrayInTable(Fertiliser_SourceData.Fertiliser_Products_Data1(), FertiliserProducts[[#Headers],[Company]],1)</f>
        <v/>
      </c>
      <c r="V97" s="146" t="str" cm="1">
        <f t="array" ref="V97">Common_InputFunctions.Utility_DisplayArrayInTable(Fertiliser_SourceData.Fertiliser_Products_Data1(), FertiliserProducts[[#Headers],[Company]],1)</f>
        <v/>
      </c>
      <c r="W97" s="146" t="str" cm="1">
        <f t="array" ref="W97">Common_InputFunctions.Utility_DisplayArrayInTable(Fertiliser_SourceData.Fertiliser_Products_Data1(), FertiliserProducts[[#Headers],[Company]],1)</f>
        <v/>
      </c>
      <c r="X97" s="146" t="str" cm="1">
        <f t="array" ref="X97">Common_InputFunctions.Utility_DisplayArrayInTable(Fertiliser_SourceData.Fertiliser_Products_Data1(), FertiliserProducts[[#Headers],[Company]],1)</f>
        <v/>
      </c>
      <c r="Y97" s="146" t="str" cm="1">
        <f t="array" ref="Y97">Common_InputFunctions.Utility_DisplayArrayInTable(Fertiliser_SourceData.Fertiliser_Products_Data1(), FertiliserProducts[[#Headers],[Company]],1)</f>
        <v/>
      </c>
      <c r="Z97" s="146" t="str" cm="1">
        <f t="array" ref="Z97">Common_InputFunctions.Utility_DisplayArrayInTable(Fertiliser_SourceData.Fertiliser_Products_Data1(), FertiliserProducts[[#Headers],[Company]],1)</f>
        <v/>
      </c>
      <c r="AA97" s="146" t="str" cm="1">
        <f t="array" ref="AA97">Common_InputFunctions.Utility_DisplayArrayInTable(Fertiliser_SourceData.Fertiliser_Products_Data1(), FertiliserProducts[[#Headers],[Company]],1)</f>
        <v/>
      </c>
      <c r="AB97" s="146" t="str" cm="1">
        <f t="array" ref="AB97">Common_InputFunctions.Utility_DisplayArrayInTable(Fertiliser_SourceData.Fertiliser_Products_Data1(), FertiliserProducts[[#Headers],[Company]],1)</f>
        <v/>
      </c>
      <c r="AC97" s="146" t="str" cm="1">
        <f t="array" ref="AC97">Common_InputFunctions.Utility_DisplayArrayInTable(Fertiliser_SourceData.Fertiliser_Products_Data1(), FertiliserProducts[[#Headers],[Company]],1)</f>
        <v/>
      </c>
      <c r="AD97" s="146" t="str" cm="1">
        <f t="array" ref="AD97">Common_InputFunctions.Utility_DisplayArrayInTable(Fertiliser_SourceData.Fertiliser_Products_Data1(), FertiliserProducts[[#Headers],[Company]],1)</f>
        <v/>
      </c>
      <c r="AE97" s="146" t="str" cm="1">
        <f t="array" ref="AE97">Common_InputFunctions.Utility_DisplayArrayInTable(Fertiliser_SourceData.Fertiliser_Products_Data1(), FertiliserProducts[[#Headers],[Company]],1)</f>
        <v/>
      </c>
      <c r="AF97" s="146" t="str" cm="1">
        <f t="array" ref="AF97">Common_InputFunctions.Utility_DisplayArrayInTable(Fertiliser_SourceData.Fertiliser_Products_Data1(), FertiliserProducts[[#Headers],[Company]],1)</f>
        <v/>
      </c>
      <c r="AG97" s="146" t="str" cm="1">
        <f t="array" ref="AG97">Common_InputFunctions.Utility_DisplayArrayInTable(Fertiliser_SourceData.Fertiliser_Products_Data1(), FertiliserProducts[[#Headers],[Company]],1)</f>
        <v/>
      </c>
      <c r="AH97" s="146" t="str" cm="1">
        <f t="array" ref="AH97">Common_InputFunctions.Utility_DisplayArrayInTable(Fertiliser_SourceData.Fertiliser_Products_Data1(), FertiliserProducts[[#Headers],[Company]],1)</f>
        <v/>
      </c>
      <c r="AK97" s="1"/>
      <c r="AL97" s="1"/>
      <c r="AM97" s="1"/>
    </row>
    <row r="98" spans="4:39" ht="20.100000000000001" customHeight="1" x14ac:dyDescent="0.2">
      <c r="D98" s="146" t="str" cm="1">
        <f t="array" ref="D98">Common_InputFunctions.Utility_DisplayArrayInTable(Fertiliser_SourceData.Fertiliser_Products_Data1(), FertiliserProducts[[#Headers],[Company]],1)</f>
        <v>Campbells fertilisers Australia</v>
      </c>
      <c r="E98" s="146" t="str" cm="1">
        <f t="array" ref="E98">Common_InputFunctions.Utility_DisplayArrayInTable(Fertiliser_SourceData.Fertiliser_Products_Data1(), FertiliserProducts[[#Headers],[Company]],1)</f>
        <v>Aqua Thio-Emerge</v>
      </c>
      <c r="F98" s="146" t="str" cm="1">
        <f t="array" ref="F98">Common_InputFunctions.Utility_DisplayArrayInTable(Fertiliser_SourceData.Fertiliser_Products_Data1(), FertiliserProducts[[#Headers],[Company]],1)</f>
        <v>L</v>
      </c>
      <c r="G98" s="146" cm="1">
        <f t="array" ref="G98">Common_InputFunctions.Utility_DisplayArrayInTable(Fertiliser_SourceData.Fertiliser_Products_Data1(), FertiliserProducts[[#Headers],[Company]],1)</f>
        <v>1.29</v>
      </c>
      <c r="H98" s="146" t="str" cm="1">
        <f t="array" ref="H98">Common_InputFunctions.Utility_DisplayArrayInTable(Fertiliser_SourceData.Fertiliser_Products_Data1(), FertiliserProducts[[#Headers],[Company]],1)</f>
        <v/>
      </c>
      <c r="I98" s="146" t="str" cm="1">
        <f t="array" ref="I98">Common_InputFunctions.Utility_DisplayArrayInTable(Fertiliser_SourceData.Fertiliser_Products_Data1(), FertiliserProducts[[#Headers],[Company]],1)</f>
        <v/>
      </c>
      <c r="J98" s="146" t="str" cm="1">
        <f t="array" ref="J98">Common_InputFunctions.Utility_DisplayArrayInTable(Fertiliser_SourceData.Fertiliser_Products_Data1(), FertiliserProducts[[#Headers],[Company]],1)</f>
        <v/>
      </c>
      <c r="K98" s="146" cm="1">
        <f t="array" ref="K98">Common_InputFunctions.Utility_DisplayArrayInTable(Fertiliser_SourceData.Fertiliser_Products_Data1(), FertiliserProducts[[#Headers],[Company]],1)</f>
        <v>10.5</v>
      </c>
      <c r="L98" s="146" cm="1">
        <f t="array" ref="L98">Common_InputFunctions.Utility_DisplayArrayInTable(Fertiliser_SourceData.Fertiliser_Products_Data1(), FertiliserProducts[[#Headers],[Company]],1)</f>
        <v>9.4</v>
      </c>
      <c r="M98" s="146" cm="1">
        <f t="array" ref="M98">Common_InputFunctions.Utility_DisplayArrayInTable(Fertiliser_SourceData.Fertiliser_Products_Data1(), FertiliserProducts[[#Headers],[Company]],1)</f>
        <v>4</v>
      </c>
      <c r="N98" s="146" cm="1">
        <f t="array" ref="N98">Common_InputFunctions.Utility_DisplayArrayInTable(Fertiliser_SourceData.Fertiliser_Products_Data1(), FertiliserProducts[[#Headers],[Company]],1)</f>
        <v>3</v>
      </c>
      <c r="O98" s="146" t="str" cm="1">
        <f t="array" ref="O98">Common_InputFunctions.Utility_DisplayArrayInTable(Fertiliser_SourceData.Fertiliser_Products_Data1(), FertiliserProducts[[#Headers],[Company]],1)</f>
        <v>Nitrogen - Generic</v>
      </c>
      <c r="P98" s="146" cm="1">
        <f t="array" ref="P98">Common_InputFunctions.Utility_DisplayArrayInTable(Fertiliser_SourceData.Fertiliser_Products_Data1(), FertiliserProducts[[#Headers],[Company]],1)</f>
        <v>0.105</v>
      </c>
      <c r="Q98" s="146" t="str" cm="1">
        <f t="array" ref="Q98">Common_InputFunctions.Utility_DisplayArrayInTable(Fertiliser_SourceData.Fertiliser_Products_Data1(), FertiliserProducts[[#Headers],[Company]],1)</f>
        <v>Phosphorus - Generic</v>
      </c>
      <c r="R98" s="146" cm="1">
        <f t="array" ref="R98">Common_InputFunctions.Utility_DisplayArrayInTable(Fertiliser_SourceData.Fertiliser_Products_Data1(), FertiliserProducts[[#Headers],[Company]],1)</f>
        <v>9.4E-2</v>
      </c>
      <c r="S98" s="146" t="str" cm="1">
        <f t="array" ref="S98">Common_InputFunctions.Utility_DisplayArrayInTable(Fertiliser_SourceData.Fertiliser_Products_Data1(), FertiliserProducts[[#Headers],[Company]],1)</f>
        <v>Potassium - Generic</v>
      </c>
      <c r="T98" s="146" cm="1">
        <f t="array" ref="T98">Common_InputFunctions.Utility_DisplayArrayInTable(Fertiliser_SourceData.Fertiliser_Products_Data1(), FertiliserProducts[[#Headers],[Company]],1)</f>
        <v>0.04</v>
      </c>
      <c r="U98" s="146" t="str" cm="1">
        <f t="array" ref="U98">Common_InputFunctions.Utility_DisplayArrayInTable(Fertiliser_SourceData.Fertiliser_Products_Data1(), FertiliserProducts[[#Headers],[Company]],1)</f>
        <v>Sulfur - Generic</v>
      </c>
      <c r="V98" s="146" cm="1">
        <f t="array" ref="V98">Common_InputFunctions.Utility_DisplayArrayInTable(Fertiliser_SourceData.Fertiliser_Products_Data1(), FertiliserProducts[[#Headers],[Company]],1)</f>
        <v>0.03</v>
      </c>
      <c r="W98" s="146" t="str" cm="1">
        <f t="array" ref="W98">Common_InputFunctions.Utility_DisplayArrayInTable(Fertiliser_SourceData.Fertiliser_Products_Data1(), FertiliserProducts[[#Headers],[Company]],1)</f>
        <v/>
      </c>
      <c r="X98" s="146" t="str" cm="1">
        <f t="array" ref="X98">Common_InputFunctions.Utility_DisplayArrayInTable(Fertiliser_SourceData.Fertiliser_Products_Data1(), FertiliserProducts[[#Headers],[Company]],1)</f>
        <v/>
      </c>
      <c r="Y98" s="146" t="str" cm="1">
        <f t="array" ref="Y98">Common_InputFunctions.Utility_DisplayArrayInTable(Fertiliser_SourceData.Fertiliser_Products_Data1(), FertiliserProducts[[#Headers],[Company]],1)</f>
        <v/>
      </c>
      <c r="Z98" s="146" t="str" cm="1">
        <f t="array" ref="Z98">Common_InputFunctions.Utility_DisplayArrayInTable(Fertiliser_SourceData.Fertiliser_Products_Data1(), FertiliserProducts[[#Headers],[Company]],1)</f>
        <v/>
      </c>
      <c r="AA98" s="146" t="str" cm="1">
        <f t="array" ref="AA98">Common_InputFunctions.Utility_DisplayArrayInTable(Fertiliser_SourceData.Fertiliser_Products_Data1(), FertiliserProducts[[#Headers],[Company]],1)</f>
        <v/>
      </c>
      <c r="AB98" s="146" t="str" cm="1">
        <f t="array" ref="AB98">Common_InputFunctions.Utility_DisplayArrayInTable(Fertiliser_SourceData.Fertiliser_Products_Data1(), FertiliserProducts[[#Headers],[Company]],1)</f>
        <v/>
      </c>
      <c r="AC98" s="146" t="str" cm="1">
        <f t="array" ref="AC98">Common_InputFunctions.Utility_DisplayArrayInTable(Fertiliser_SourceData.Fertiliser_Products_Data1(), FertiliserProducts[[#Headers],[Company]],1)</f>
        <v/>
      </c>
      <c r="AD98" s="146" t="str" cm="1">
        <f t="array" ref="AD98">Common_InputFunctions.Utility_DisplayArrayInTable(Fertiliser_SourceData.Fertiliser_Products_Data1(), FertiliserProducts[[#Headers],[Company]],1)</f>
        <v/>
      </c>
      <c r="AE98" s="146" t="str" cm="1">
        <f t="array" ref="AE98">Common_InputFunctions.Utility_DisplayArrayInTable(Fertiliser_SourceData.Fertiliser_Products_Data1(), FertiliserProducts[[#Headers],[Company]],1)</f>
        <v/>
      </c>
      <c r="AF98" s="146" t="str" cm="1">
        <f t="array" ref="AF98">Common_InputFunctions.Utility_DisplayArrayInTable(Fertiliser_SourceData.Fertiliser_Products_Data1(), FertiliserProducts[[#Headers],[Company]],1)</f>
        <v/>
      </c>
      <c r="AG98" s="146" t="str" cm="1">
        <f t="array" ref="AG98">Common_InputFunctions.Utility_DisplayArrayInTable(Fertiliser_SourceData.Fertiliser_Products_Data1(), FertiliserProducts[[#Headers],[Company]],1)</f>
        <v/>
      </c>
      <c r="AH98" s="146" t="str" cm="1">
        <f t="array" ref="AH98">Common_InputFunctions.Utility_DisplayArrayInTable(Fertiliser_SourceData.Fertiliser_Products_Data1(), FertiliserProducts[[#Headers],[Company]],1)</f>
        <v/>
      </c>
      <c r="AK98" s="1"/>
      <c r="AL98" s="1"/>
      <c r="AM98" s="1"/>
    </row>
    <row r="99" spans="4:39" ht="20.100000000000001" customHeight="1" x14ac:dyDescent="0.2">
      <c r="D99" s="146" t="str" cm="1">
        <f t="array" ref="D99">Common_InputFunctions.Utility_DisplayArrayInTable(Fertiliser_SourceData.Fertiliser_Products_Data1(), FertiliserProducts[[#Headers],[Company]],1)</f>
        <v>Campbells fertilisers Australia</v>
      </c>
      <c r="E99" s="146" t="str" cm="1">
        <f t="array" ref="E99">Common_InputFunctions.Utility_DisplayArrayInTable(Fertiliser_SourceData.Fertiliser_Products_Data1(), FertiliserProducts[[#Headers],[Company]],1)</f>
        <v>Aqua Thio-Flourish</v>
      </c>
      <c r="F99" s="146" t="str" cm="1">
        <f t="array" ref="F99">Common_InputFunctions.Utility_DisplayArrayInTable(Fertiliser_SourceData.Fertiliser_Products_Data1(), FertiliserProducts[[#Headers],[Company]],1)</f>
        <v>L</v>
      </c>
      <c r="G99" s="146" cm="1">
        <f t="array" ref="G99">Common_InputFunctions.Utility_DisplayArrayInTable(Fertiliser_SourceData.Fertiliser_Products_Data1(), FertiliserProducts[[#Headers],[Company]],1)</f>
        <v>1.32</v>
      </c>
      <c r="H99" s="146" t="str" cm="1">
        <f t="array" ref="H99">Common_InputFunctions.Utility_DisplayArrayInTable(Fertiliser_SourceData.Fertiliser_Products_Data1(), FertiliserProducts[[#Headers],[Company]],1)</f>
        <v/>
      </c>
      <c r="I99" s="146" t="str" cm="1">
        <f t="array" ref="I99">Common_InputFunctions.Utility_DisplayArrayInTable(Fertiliser_SourceData.Fertiliser_Products_Data1(), FertiliserProducts[[#Headers],[Company]],1)</f>
        <v/>
      </c>
      <c r="J99" s="146" t="str" cm="1">
        <f t="array" ref="J99">Common_InputFunctions.Utility_DisplayArrayInTable(Fertiliser_SourceData.Fertiliser_Products_Data1(), FertiliserProducts[[#Headers],[Company]],1)</f>
        <v/>
      </c>
      <c r="K99" s="146" cm="1">
        <f t="array" ref="K99">Common_InputFunctions.Utility_DisplayArrayInTable(Fertiliser_SourceData.Fertiliser_Products_Data1(), FertiliserProducts[[#Headers],[Company]],1)</f>
        <v>9.5</v>
      </c>
      <c r="L99" s="146" cm="1">
        <f t="array" ref="L99">Common_InputFunctions.Utility_DisplayArrayInTable(Fertiliser_SourceData.Fertiliser_Products_Data1(), FertiliserProducts[[#Headers],[Company]],1)</f>
        <v>4.7</v>
      </c>
      <c r="M99" s="146" cm="1">
        <f t="array" ref="M99">Common_InputFunctions.Utility_DisplayArrayInTable(Fertiliser_SourceData.Fertiliser_Products_Data1(), FertiliserProducts[[#Headers],[Company]],1)</f>
        <v>10.8</v>
      </c>
      <c r="N99" s="146" cm="1">
        <f t="array" ref="N99">Common_InputFunctions.Utility_DisplayArrayInTable(Fertiliser_SourceData.Fertiliser_Products_Data1(), FertiliserProducts[[#Headers],[Company]],1)</f>
        <v>8.1</v>
      </c>
      <c r="O99" s="146" t="str" cm="1">
        <f t="array" ref="O99">Common_InputFunctions.Utility_DisplayArrayInTable(Fertiliser_SourceData.Fertiliser_Products_Data1(), FertiliserProducts[[#Headers],[Company]],1)</f>
        <v>Potassium - Generic</v>
      </c>
      <c r="P99" s="146" cm="1">
        <f t="array" ref="P99">Common_InputFunctions.Utility_DisplayArrayInTable(Fertiliser_SourceData.Fertiliser_Products_Data1(), FertiliserProducts[[#Headers],[Company]],1)</f>
        <v>0.108</v>
      </c>
      <c r="Q99" s="146" t="str" cm="1">
        <f t="array" ref="Q99">Common_InputFunctions.Utility_DisplayArrayInTable(Fertiliser_SourceData.Fertiliser_Products_Data1(), FertiliserProducts[[#Headers],[Company]],1)</f>
        <v>Nitrogen - Generic</v>
      </c>
      <c r="R99" s="146" cm="1">
        <f t="array" ref="R99">Common_InputFunctions.Utility_DisplayArrayInTable(Fertiliser_SourceData.Fertiliser_Products_Data1(), FertiliserProducts[[#Headers],[Company]],1)</f>
        <v>9.5000000000000001E-2</v>
      </c>
      <c r="S99" s="146" t="str" cm="1">
        <f t="array" ref="S99">Common_InputFunctions.Utility_DisplayArrayInTable(Fertiliser_SourceData.Fertiliser_Products_Data1(), FertiliserProducts[[#Headers],[Company]],1)</f>
        <v>Sulfur - Generic</v>
      </c>
      <c r="T99" s="146" cm="1">
        <f t="array" ref="T99">Common_InputFunctions.Utility_DisplayArrayInTable(Fertiliser_SourceData.Fertiliser_Products_Data1(), FertiliserProducts[[#Headers],[Company]],1)</f>
        <v>8.1000000000000003E-2</v>
      </c>
      <c r="U99" s="146" t="str" cm="1">
        <f t="array" ref="U99">Common_InputFunctions.Utility_DisplayArrayInTable(Fertiliser_SourceData.Fertiliser_Products_Data1(), FertiliserProducts[[#Headers],[Company]],1)</f>
        <v>Phosphorus - Generic</v>
      </c>
      <c r="V99" s="146" cm="1">
        <f t="array" ref="V99">Common_InputFunctions.Utility_DisplayArrayInTable(Fertiliser_SourceData.Fertiliser_Products_Data1(), FertiliserProducts[[#Headers],[Company]],1)</f>
        <v>4.7E-2</v>
      </c>
      <c r="W99" s="146" t="str" cm="1">
        <f t="array" ref="W99">Common_InputFunctions.Utility_DisplayArrayInTable(Fertiliser_SourceData.Fertiliser_Products_Data1(), FertiliserProducts[[#Headers],[Company]],1)</f>
        <v/>
      </c>
      <c r="X99" s="146" t="str" cm="1">
        <f t="array" ref="X99">Common_InputFunctions.Utility_DisplayArrayInTable(Fertiliser_SourceData.Fertiliser_Products_Data1(), FertiliserProducts[[#Headers],[Company]],1)</f>
        <v/>
      </c>
      <c r="Y99" s="146" t="str" cm="1">
        <f t="array" ref="Y99">Common_InputFunctions.Utility_DisplayArrayInTable(Fertiliser_SourceData.Fertiliser_Products_Data1(), FertiliserProducts[[#Headers],[Company]],1)</f>
        <v/>
      </c>
      <c r="Z99" s="146" t="str" cm="1">
        <f t="array" ref="Z99">Common_InputFunctions.Utility_DisplayArrayInTable(Fertiliser_SourceData.Fertiliser_Products_Data1(), FertiliserProducts[[#Headers],[Company]],1)</f>
        <v/>
      </c>
      <c r="AA99" s="146" t="str" cm="1">
        <f t="array" ref="AA99">Common_InputFunctions.Utility_DisplayArrayInTable(Fertiliser_SourceData.Fertiliser_Products_Data1(), FertiliserProducts[[#Headers],[Company]],1)</f>
        <v/>
      </c>
      <c r="AB99" s="146" t="str" cm="1">
        <f t="array" ref="AB99">Common_InputFunctions.Utility_DisplayArrayInTable(Fertiliser_SourceData.Fertiliser_Products_Data1(), FertiliserProducts[[#Headers],[Company]],1)</f>
        <v/>
      </c>
      <c r="AC99" s="146" t="str" cm="1">
        <f t="array" ref="AC99">Common_InputFunctions.Utility_DisplayArrayInTable(Fertiliser_SourceData.Fertiliser_Products_Data1(), FertiliserProducts[[#Headers],[Company]],1)</f>
        <v/>
      </c>
      <c r="AD99" s="146" t="str" cm="1">
        <f t="array" ref="AD99">Common_InputFunctions.Utility_DisplayArrayInTable(Fertiliser_SourceData.Fertiliser_Products_Data1(), FertiliserProducts[[#Headers],[Company]],1)</f>
        <v/>
      </c>
      <c r="AE99" s="146" t="str" cm="1">
        <f t="array" ref="AE99">Common_InputFunctions.Utility_DisplayArrayInTable(Fertiliser_SourceData.Fertiliser_Products_Data1(), FertiliserProducts[[#Headers],[Company]],1)</f>
        <v/>
      </c>
      <c r="AF99" s="146" t="str" cm="1">
        <f t="array" ref="AF99">Common_InputFunctions.Utility_DisplayArrayInTable(Fertiliser_SourceData.Fertiliser_Products_Data1(), FertiliserProducts[[#Headers],[Company]],1)</f>
        <v/>
      </c>
      <c r="AG99" s="146" t="str" cm="1">
        <f t="array" ref="AG99">Common_InputFunctions.Utility_DisplayArrayInTable(Fertiliser_SourceData.Fertiliser_Products_Data1(), FertiliserProducts[[#Headers],[Company]],1)</f>
        <v/>
      </c>
      <c r="AH99" s="146" t="str" cm="1">
        <f t="array" ref="AH99">Common_InputFunctions.Utility_DisplayArrayInTable(Fertiliser_SourceData.Fertiliser_Products_Data1(), FertiliserProducts[[#Headers],[Company]],1)</f>
        <v/>
      </c>
      <c r="AK99" s="1"/>
      <c r="AL99" s="1"/>
      <c r="AM99" s="1"/>
    </row>
    <row r="100" spans="4:39" ht="20.100000000000001" customHeight="1" x14ac:dyDescent="0.2">
      <c r="D100" s="146" t="str" cm="1">
        <f t="array" ref="D100">Common_InputFunctions.Utility_DisplayArrayInTable(Fertiliser_SourceData.Fertiliser_Products_Data1(), FertiliserProducts[[#Headers],[Company]],1)</f>
        <v>Campbells fertilisers Australia</v>
      </c>
      <c r="E100" s="146" t="str" cm="1">
        <f t="array" ref="E100">Common_InputFunctions.Utility_DisplayArrayInTable(Fertiliser_SourceData.Fertiliser_Products_Data1(), FertiliserProducts[[#Headers],[Company]],1)</f>
        <v>Boost-It</v>
      </c>
      <c r="F100" s="146" t="str" cm="1">
        <f t="array" ref="F100">Common_InputFunctions.Utility_DisplayArrayInTable(Fertiliser_SourceData.Fertiliser_Products_Data1(), FertiliserProducts[[#Headers],[Company]],1)</f>
        <v>kg</v>
      </c>
      <c r="G100" s="146" cm="1">
        <f t="array" ref="G100">Common_InputFunctions.Utility_DisplayArrayInTable(Fertiliser_SourceData.Fertiliser_Products_Data1(), FertiliserProducts[[#Headers],[Company]],1)</f>
        <v>1</v>
      </c>
      <c r="H100" s="146" t="str" cm="1">
        <f t="array" ref="H100">Common_InputFunctions.Utility_DisplayArrayInTable(Fertiliser_SourceData.Fertiliser_Products_Data1(), FertiliserProducts[[#Headers],[Company]],1)</f>
        <v/>
      </c>
      <c r="I100" s="146" t="str" cm="1">
        <f t="array" ref="I100">Common_InputFunctions.Utility_DisplayArrayInTable(Fertiliser_SourceData.Fertiliser_Products_Data1(), FertiliserProducts[[#Headers],[Company]],1)</f>
        <v/>
      </c>
      <c r="J100" s="146" t="str" cm="1">
        <f t="array" ref="J100">Common_InputFunctions.Utility_DisplayArrayInTable(Fertiliser_SourceData.Fertiliser_Products_Data1(), FertiliserProducts[[#Headers],[Company]],1)</f>
        <v/>
      </c>
      <c r="K100" s="146" cm="1">
        <f t="array" ref="K100">Common_InputFunctions.Utility_DisplayArrayInTable(Fertiliser_SourceData.Fertiliser_Products_Data1(), FertiliserProducts[[#Headers],[Company]],1)</f>
        <v>24</v>
      </c>
      <c r="L100" s="146" cm="1">
        <f t="array" ref="L100">Common_InputFunctions.Utility_DisplayArrayInTable(Fertiliser_SourceData.Fertiliser_Products_Data1(), FertiliserProducts[[#Headers],[Company]],1)</f>
        <v>5.2</v>
      </c>
      <c r="M100" s="146" cm="1">
        <f t="array" ref="M100">Common_InputFunctions.Utility_DisplayArrayInTable(Fertiliser_SourceData.Fertiliser_Products_Data1(), FertiliserProducts[[#Headers],[Company]],1)</f>
        <v>8</v>
      </c>
      <c r="N100" s="146" cm="1">
        <f t="array" ref="N100">Common_InputFunctions.Utility_DisplayArrayInTable(Fertiliser_SourceData.Fertiliser_Products_Data1(), FertiliserProducts[[#Headers],[Company]],1)</f>
        <v>5.3</v>
      </c>
      <c r="O100" s="146" t="str" cm="1">
        <f t="array" ref="O100">Common_InputFunctions.Utility_DisplayArrayInTable(Fertiliser_SourceData.Fertiliser_Products_Data1(), FertiliserProducts[[#Headers],[Company]],1)</f>
        <v>Urea</v>
      </c>
      <c r="P100" s="146" cm="1">
        <f t="array" ref="P100">Common_InputFunctions.Utility_DisplayArrayInTable(Fertiliser_SourceData.Fertiliser_Products_Data1(), FertiliserProducts[[#Headers],[Company]],1)</f>
        <v>0.52173899999999995</v>
      </c>
      <c r="Q100" s="146" t="str" cm="1">
        <f t="array" ref="Q100">Common_InputFunctions.Utility_DisplayArrayInTable(Fertiliser_SourceData.Fertiliser_Products_Data1(), FertiliserProducts[[#Headers],[Company]],1)</f>
        <v>Potassium - Generic</v>
      </c>
      <c r="R100" s="146" cm="1">
        <f t="array" ref="R100">Common_InputFunctions.Utility_DisplayArrayInTable(Fertiliser_SourceData.Fertiliser_Products_Data1(), FertiliserProducts[[#Headers],[Company]],1)</f>
        <v>0.08</v>
      </c>
      <c r="S100" s="146" t="str" cm="1">
        <f t="array" ref="S100">Common_InputFunctions.Utility_DisplayArrayInTable(Fertiliser_SourceData.Fertiliser_Products_Data1(), FertiliserProducts[[#Headers],[Company]],1)</f>
        <v>Sulfur - Generic</v>
      </c>
      <c r="T100" s="146" cm="1">
        <f t="array" ref="T100">Common_InputFunctions.Utility_DisplayArrayInTable(Fertiliser_SourceData.Fertiliser_Products_Data1(), FertiliserProducts[[#Headers],[Company]],1)</f>
        <v>5.2999999999999999E-2</v>
      </c>
      <c r="U100" s="146" t="str" cm="1">
        <f t="array" ref="U100">Common_InputFunctions.Utility_DisplayArrayInTable(Fertiliser_SourceData.Fertiliser_Products_Data1(), FertiliserProducts[[#Headers],[Company]],1)</f>
        <v>Phosphorus - Generic</v>
      </c>
      <c r="V100" s="146" cm="1">
        <f t="array" ref="V100">Common_InputFunctions.Utility_DisplayArrayInTable(Fertiliser_SourceData.Fertiliser_Products_Data1(), FertiliserProducts[[#Headers],[Company]],1)</f>
        <v>5.1999999999999998E-2</v>
      </c>
      <c r="W100" s="146" t="str" cm="1">
        <f t="array" ref="W100">Common_InputFunctions.Utility_DisplayArrayInTable(Fertiliser_SourceData.Fertiliser_Products_Data1(), FertiliserProducts[[#Headers],[Company]],1)</f>
        <v>Magnesium</v>
      </c>
      <c r="X100" s="146" cm="1">
        <f t="array" ref="X100">Common_InputFunctions.Utility_DisplayArrayInTable(Fertiliser_SourceData.Fertiliser_Products_Data1(), FertiliserProducts[[#Headers],[Company]],1)</f>
        <v>1.2999999999999999E-2</v>
      </c>
      <c r="Y100" s="146" t="str" cm="1">
        <f t="array" ref="Y100">Common_InputFunctions.Utility_DisplayArrayInTable(Fertiliser_SourceData.Fertiliser_Products_Data1(), FertiliserProducts[[#Headers],[Company]],1)</f>
        <v>Zinc</v>
      </c>
      <c r="Z100" s="146" cm="1">
        <f t="array" ref="Z100">Common_InputFunctions.Utility_DisplayArrayInTable(Fertiliser_SourceData.Fertiliser_Products_Data1(), FertiliserProducts[[#Headers],[Company]],1)</f>
        <v>2E-3</v>
      </c>
      <c r="AA100" s="146" t="str" cm="1">
        <f t="array" ref="AA100">Common_InputFunctions.Utility_DisplayArrayInTable(Fertiliser_SourceData.Fertiliser_Products_Data1(), FertiliserProducts[[#Headers],[Company]],1)</f>
        <v>Manganese</v>
      </c>
      <c r="AB100" s="146" cm="1">
        <f t="array" ref="AB100">Common_InputFunctions.Utility_DisplayArrayInTable(Fertiliser_SourceData.Fertiliser_Products_Data1(), FertiliserProducts[[#Headers],[Company]],1)</f>
        <v>3.5000000000000001E-3</v>
      </c>
      <c r="AC100" s="146" t="str" cm="1">
        <f t="array" ref="AC100">Common_InputFunctions.Utility_DisplayArrayInTable(Fertiliser_SourceData.Fertiliser_Products_Data1(), FertiliserProducts[[#Headers],[Company]],1)</f>
        <v>Iron</v>
      </c>
      <c r="AD100" s="146" cm="1">
        <f t="array" ref="AD100">Common_InputFunctions.Utility_DisplayArrayInTable(Fertiliser_SourceData.Fertiliser_Products_Data1(), FertiliserProducts[[#Headers],[Company]],1)</f>
        <v>1.2999999999999999E-3</v>
      </c>
      <c r="AE100" s="146" t="str" cm="1">
        <f t="array" ref="AE100">Common_InputFunctions.Utility_DisplayArrayInTable(Fertiliser_SourceData.Fertiliser_Products_Data1(), FertiliserProducts[[#Headers],[Company]],1)</f>
        <v>Copper</v>
      </c>
      <c r="AF100" s="146" cm="1">
        <f t="array" ref="AF100">Common_InputFunctions.Utility_DisplayArrayInTable(Fertiliser_SourceData.Fertiliser_Products_Data1(), FertiliserProducts[[#Headers],[Company]],1)</f>
        <v>6.9999999999999999E-4</v>
      </c>
      <c r="AG100" s="146" t="str" cm="1">
        <f t="array" ref="AG100">Common_InputFunctions.Utility_DisplayArrayInTable(Fertiliser_SourceData.Fertiliser_Products_Data1(), FertiliserProducts[[#Headers],[Company]],1)</f>
        <v>Boron</v>
      </c>
      <c r="AH100" s="146" cm="1">
        <f t="array" ref="AH100">Common_InputFunctions.Utility_DisplayArrayInTable(Fertiliser_SourceData.Fertiliser_Products_Data1(), FertiliserProducts[[#Headers],[Company]],1)</f>
        <v>6.9999999999999999E-4</v>
      </c>
      <c r="AK100" s="1"/>
      <c r="AL100" s="1"/>
      <c r="AM100" s="1"/>
    </row>
    <row r="101" spans="4:39" ht="20.100000000000001" customHeight="1" x14ac:dyDescent="0.2">
      <c r="D101" s="146" t="str" cm="1">
        <f t="array" ref="D101">Common_InputFunctions.Utility_DisplayArrayInTable(Fertiliser_SourceData.Fertiliser_Products_Data1(), FertiliserProducts[[#Headers],[Company]],1)</f>
        <v>Campbells fertilisers Australia</v>
      </c>
      <c r="E101" s="146" t="str" cm="1">
        <f t="array" ref="E101">Common_InputFunctions.Utility_DisplayArrayInTable(Fertiliser_SourceData.Fertiliser_Products_Data1(), FertiliserProducts[[#Headers],[Company]],1)</f>
        <v>Bronze</v>
      </c>
      <c r="F101" s="146" t="str" cm="1">
        <f t="array" ref="F101">Common_InputFunctions.Utility_DisplayArrayInTable(Fertiliser_SourceData.Fertiliser_Products_Data1(), FertiliserProducts[[#Headers],[Company]],1)</f>
        <v>kg</v>
      </c>
      <c r="G101" s="146" cm="1">
        <f t="array" ref="G101">Common_InputFunctions.Utility_DisplayArrayInTable(Fertiliser_SourceData.Fertiliser_Products_Data1(), FertiliserProducts[[#Headers],[Company]],1)</f>
        <v>1</v>
      </c>
      <c r="H101" s="146" t="str" cm="1">
        <f t="array" ref="H101">Common_InputFunctions.Utility_DisplayArrayInTable(Fertiliser_SourceData.Fertiliser_Products_Data1(), FertiliserProducts[[#Headers],[Company]],1)</f>
        <v/>
      </c>
      <c r="I101" s="146" t="str" cm="1">
        <f t="array" ref="I101">Common_InputFunctions.Utility_DisplayArrayInTable(Fertiliser_SourceData.Fertiliser_Products_Data1(), FertiliserProducts[[#Headers],[Company]],1)</f>
        <v/>
      </c>
      <c r="J101" s="146" t="str" cm="1">
        <f t="array" ref="J101">Common_InputFunctions.Utility_DisplayArrayInTable(Fertiliser_SourceData.Fertiliser_Products_Data1(), FertiliserProducts[[#Headers],[Company]],1)</f>
        <v/>
      </c>
      <c r="K101" s="146" cm="1">
        <f t="array" ref="K101">Common_InputFunctions.Utility_DisplayArrayInTable(Fertiliser_SourceData.Fertiliser_Products_Data1(), FertiliserProducts[[#Headers],[Company]],1)</f>
        <v>17</v>
      </c>
      <c r="L101" s="146" cm="1">
        <f t="array" ref="L101">Common_InputFunctions.Utility_DisplayArrayInTable(Fertiliser_SourceData.Fertiliser_Products_Data1(), FertiliserProducts[[#Headers],[Company]],1)</f>
        <v>0.04</v>
      </c>
      <c r="M101" s="146" cm="1">
        <f t="array" ref="M101">Common_InputFunctions.Utility_DisplayArrayInTable(Fertiliser_SourceData.Fertiliser_Products_Data1(), FertiliserProducts[[#Headers],[Company]],1)</f>
        <v>11.6</v>
      </c>
      <c r="N101" s="146" cm="1">
        <f t="array" ref="N101">Common_InputFunctions.Utility_DisplayArrayInTable(Fertiliser_SourceData.Fertiliser_Products_Data1(), FertiliserProducts[[#Headers],[Company]],1)</f>
        <v>0.5</v>
      </c>
      <c r="O101" s="146" t="str" cm="1">
        <f t="array" ref="O101">Common_InputFunctions.Utility_DisplayArrayInTable(Fertiliser_SourceData.Fertiliser_Products_Data1(), FertiliserProducts[[#Headers],[Company]],1)</f>
        <v>Muriate of potash (MOP)</v>
      </c>
      <c r="P101" s="146" cm="1">
        <f t="array" ref="P101">Common_InputFunctions.Utility_DisplayArrayInTable(Fertiliser_SourceData.Fertiliser_Products_Data1(), FertiliserProducts[[#Headers],[Company]],1)</f>
        <v>0.23200000000000001</v>
      </c>
      <c r="Q101" s="146" t="str" cm="1">
        <f t="array" ref="Q101">Common_InputFunctions.Utility_DisplayArrayInTable(Fertiliser_SourceData.Fertiliser_Products_Data1(), FertiliserProducts[[#Headers],[Company]],1)</f>
        <v>Nitrogen - Generic</v>
      </c>
      <c r="R101" s="146" cm="1">
        <f t="array" ref="R101">Common_InputFunctions.Utility_DisplayArrayInTable(Fertiliser_SourceData.Fertiliser_Products_Data1(), FertiliserProducts[[#Headers],[Company]],1)</f>
        <v>0.17</v>
      </c>
      <c r="S101" s="146" t="str" cm="1">
        <f t="array" ref="S101">Common_InputFunctions.Utility_DisplayArrayInTable(Fertiliser_SourceData.Fertiliser_Products_Data1(), FertiliserProducts[[#Headers],[Company]],1)</f>
        <v>Sulfur - Generic</v>
      </c>
      <c r="T101" s="146" cm="1">
        <f t="array" ref="T101">Common_InputFunctions.Utility_DisplayArrayInTable(Fertiliser_SourceData.Fertiliser_Products_Data1(), FertiliserProducts[[#Headers],[Company]],1)</f>
        <v>5.0000000000000001E-3</v>
      </c>
      <c r="U101" s="146" t="str" cm="1">
        <f t="array" ref="U101">Common_InputFunctions.Utility_DisplayArrayInTable(Fertiliser_SourceData.Fertiliser_Products_Data1(), FertiliserProducts[[#Headers],[Company]],1)</f>
        <v>Magnesium</v>
      </c>
      <c r="V101" s="146" cm="1">
        <f t="array" ref="V101">Common_InputFunctions.Utility_DisplayArrayInTable(Fertiliser_SourceData.Fertiliser_Products_Data1(), FertiliserProducts[[#Headers],[Company]],1)</f>
        <v>2.3999999999999998E-3</v>
      </c>
      <c r="W101" s="146" t="str" cm="1">
        <f t="array" ref="W101">Common_InputFunctions.Utility_DisplayArrayInTable(Fertiliser_SourceData.Fertiliser_Products_Data1(), FertiliserProducts[[#Headers],[Company]],1)</f>
        <v>Phosphorus - Generic</v>
      </c>
      <c r="X101" s="146" cm="1">
        <f t="array" ref="X101">Common_InputFunctions.Utility_DisplayArrayInTable(Fertiliser_SourceData.Fertiliser_Products_Data1(), FertiliserProducts[[#Headers],[Company]],1)</f>
        <v>4.0000000000000002E-4</v>
      </c>
      <c r="Y101" s="146" t="str" cm="1">
        <f t="array" ref="Y101">Common_InputFunctions.Utility_DisplayArrayInTable(Fertiliser_SourceData.Fertiliser_Products_Data1(), FertiliserProducts[[#Headers],[Company]],1)</f>
        <v/>
      </c>
      <c r="Z101" s="146" t="str" cm="1">
        <f t="array" ref="Z101">Common_InputFunctions.Utility_DisplayArrayInTable(Fertiliser_SourceData.Fertiliser_Products_Data1(), FertiliserProducts[[#Headers],[Company]],1)</f>
        <v/>
      </c>
      <c r="AA101" s="146" t="str" cm="1">
        <f t="array" ref="AA101">Common_InputFunctions.Utility_DisplayArrayInTable(Fertiliser_SourceData.Fertiliser_Products_Data1(), FertiliserProducts[[#Headers],[Company]],1)</f>
        <v/>
      </c>
      <c r="AB101" s="146" t="str" cm="1">
        <f t="array" ref="AB101">Common_InputFunctions.Utility_DisplayArrayInTable(Fertiliser_SourceData.Fertiliser_Products_Data1(), FertiliserProducts[[#Headers],[Company]],1)</f>
        <v/>
      </c>
      <c r="AC101" s="146" t="str" cm="1">
        <f t="array" ref="AC101">Common_InputFunctions.Utility_DisplayArrayInTable(Fertiliser_SourceData.Fertiliser_Products_Data1(), FertiliserProducts[[#Headers],[Company]],1)</f>
        <v/>
      </c>
      <c r="AD101" s="146" t="str" cm="1">
        <f t="array" ref="AD101">Common_InputFunctions.Utility_DisplayArrayInTable(Fertiliser_SourceData.Fertiliser_Products_Data1(), FertiliserProducts[[#Headers],[Company]],1)</f>
        <v/>
      </c>
      <c r="AE101" s="146" t="str" cm="1">
        <f t="array" ref="AE101">Common_InputFunctions.Utility_DisplayArrayInTable(Fertiliser_SourceData.Fertiliser_Products_Data1(), FertiliserProducts[[#Headers],[Company]],1)</f>
        <v/>
      </c>
      <c r="AF101" s="146" t="str" cm="1">
        <f t="array" ref="AF101">Common_InputFunctions.Utility_DisplayArrayInTable(Fertiliser_SourceData.Fertiliser_Products_Data1(), FertiliserProducts[[#Headers],[Company]],1)</f>
        <v/>
      </c>
      <c r="AG101" s="146" t="str" cm="1">
        <f t="array" ref="AG101">Common_InputFunctions.Utility_DisplayArrayInTable(Fertiliser_SourceData.Fertiliser_Products_Data1(), FertiliserProducts[[#Headers],[Company]],1)</f>
        <v/>
      </c>
      <c r="AH101" s="146" t="str" cm="1">
        <f t="array" ref="AH101">Common_InputFunctions.Utility_DisplayArrayInTable(Fertiliser_SourceData.Fertiliser_Products_Data1(), FertiliserProducts[[#Headers],[Company]],1)</f>
        <v/>
      </c>
      <c r="AK101" s="1"/>
      <c r="AL101" s="1"/>
      <c r="AM101" s="1"/>
    </row>
    <row r="102" spans="4:39" ht="20.100000000000001" customHeight="1" x14ac:dyDescent="0.2">
      <c r="D102" s="146" t="str" cm="1">
        <f t="array" ref="D102">Common_InputFunctions.Utility_DisplayArrayInTable(Fertiliser_SourceData.Fertiliser_Products_Data1(), FertiliserProducts[[#Headers],[Company]],1)</f>
        <v>Campbells fertilisers Australia</v>
      </c>
      <c r="E102" s="146" t="str" cm="1">
        <f t="array" ref="E102">Common_InputFunctions.Utility_DisplayArrayInTable(Fertiliser_SourceData.Fertiliser_Products_Data1(), FertiliserProducts[[#Headers],[Company]],1)</f>
        <v>Calbit C</v>
      </c>
      <c r="F102" s="146" t="str" cm="1">
        <f t="array" ref="F102">Common_InputFunctions.Utility_DisplayArrayInTable(Fertiliser_SourceData.Fertiliser_Products_Data1(), FertiliserProducts[[#Headers],[Company]],1)</f>
        <v>L</v>
      </c>
      <c r="G102" s="146" cm="1">
        <f t="array" ref="G102">Common_InputFunctions.Utility_DisplayArrayInTable(Fertiliser_SourceData.Fertiliser_Products_Data1(), FertiliserProducts[[#Headers],[Company]],1)</f>
        <v>1.45</v>
      </c>
      <c r="H102" s="146" t="str" cm="1">
        <f t="array" ref="H102">Common_InputFunctions.Utility_DisplayArrayInTable(Fertiliser_SourceData.Fertiliser_Products_Data1(), FertiliserProducts[[#Headers],[Company]],1)</f>
        <v/>
      </c>
      <c r="I102" s="146" t="str" cm="1">
        <f t="array" ref="I102">Common_InputFunctions.Utility_DisplayArrayInTable(Fertiliser_SourceData.Fertiliser_Products_Data1(), FertiliserProducts[[#Headers],[Company]],1)</f>
        <v/>
      </c>
      <c r="J102" s="146" t="str" cm="1">
        <f t="array" ref="J102">Common_InputFunctions.Utility_DisplayArrayInTable(Fertiliser_SourceData.Fertiliser_Products_Data1(), FertiliserProducts[[#Headers],[Company]],1)</f>
        <v/>
      </c>
      <c r="K102" s="146" t="str" cm="1">
        <f t="array" ref="K102">Common_InputFunctions.Utility_DisplayArrayInTable(Fertiliser_SourceData.Fertiliser_Products_Data1(), FertiliserProducts[[#Headers],[Company]],1)</f>
        <v/>
      </c>
      <c r="L102" s="146" t="str" cm="1">
        <f t="array" ref="L102">Common_InputFunctions.Utility_DisplayArrayInTable(Fertiliser_SourceData.Fertiliser_Products_Data1(), FertiliserProducts[[#Headers],[Company]],1)</f>
        <v/>
      </c>
      <c r="M102" s="146" t="str" cm="1">
        <f t="array" ref="M102">Common_InputFunctions.Utility_DisplayArrayInTable(Fertiliser_SourceData.Fertiliser_Products_Data1(), FertiliserProducts[[#Headers],[Company]],1)</f>
        <v/>
      </c>
      <c r="N102" s="146" t="str" cm="1">
        <f t="array" ref="N102">Common_InputFunctions.Utility_DisplayArrayInTable(Fertiliser_SourceData.Fertiliser_Products_Data1(), FertiliserProducts[[#Headers],[Company]],1)</f>
        <v/>
      </c>
      <c r="O102" s="146" t="str" cm="1">
        <f t="array" ref="O102">Common_InputFunctions.Utility_DisplayArrayInTable(Fertiliser_SourceData.Fertiliser_Products_Data1(), FertiliserProducts[[#Headers],[Company]],1)</f>
        <v>Calcium</v>
      </c>
      <c r="P102" s="146" cm="1">
        <f t="array" ref="P102">Common_InputFunctions.Utility_DisplayArrayInTable(Fertiliser_SourceData.Fertiliser_Products_Data1(), FertiliserProducts[[#Headers],[Company]],1)</f>
        <v>0.107</v>
      </c>
      <c r="Q102" s="146" t="str" cm="1">
        <f t="array" ref="Q102">Common_InputFunctions.Utility_DisplayArrayInTable(Fertiliser_SourceData.Fertiliser_Products_Data1(), FertiliserProducts[[#Headers],[Company]],1)</f>
        <v/>
      </c>
      <c r="R102" s="146" t="str" cm="1">
        <f t="array" ref="R102">Common_InputFunctions.Utility_DisplayArrayInTable(Fertiliser_SourceData.Fertiliser_Products_Data1(), FertiliserProducts[[#Headers],[Company]],1)</f>
        <v/>
      </c>
      <c r="S102" s="146" t="str" cm="1">
        <f t="array" ref="S102">Common_InputFunctions.Utility_DisplayArrayInTable(Fertiliser_SourceData.Fertiliser_Products_Data1(), FertiliserProducts[[#Headers],[Company]],1)</f>
        <v/>
      </c>
      <c r="T102" s="146" t="str" cm="1">
        <f t="array" ref="T102">Common_InputFunctions.Utility_DisplayArrayInTable(Fertiliser_SourceData.Fertiliser_Products_Data1(), FertiliserProducts[[#Headers],[Company]],1)</f>
        <v/>
      </c>
      <c r="U102" s="146" t="str" cm="1">
        <f t="array" ref="U102">Common_InputFunctions.Utility_DisplayArrayInTable(Fertiliser_SourceData.Fertiliser_Products_Data1(), FertiliserProducts[[#Headers],[Company]],1)</f>
        <v/>
      </c>
      <c r="V102" s="146" t="str" cm="1">
        <f t="array" ref="V102">Common_InputFunctions.Utility_DisplayArrayInTable(Fertiliser_SourceData.Fertiliser_Products_Data1(), FertiliserProducts[[#Headers],[Company]],1)</f>
        <v/>
      </c>
      <c r="W102" s="146" t="str" cm="1">
        <f t="array" ref="W102">Common_InputFunctions.Utility_DisplayArrayInTable(Fertiliser_SourceData.Fertiliser_Products_Data1(), FertiliserProducts[[#Headers],[Company]],1)</f>
        <v/>
      </c>
      <c r="X102" s="146" t="str" cm="1">
        <f t="array" ref="X102">Common_InputFunctions.Utility_DisplayArrayInTable(Fertiliser_SourceData.Fertiliser_Products_Data1(), FertiliserProducts[[#Headers],[Company]],1)</f>
        <v/>
      </c>
      <c r="Y102" s="146" t="str" cm="1">
        <f t="array" ref="Y102">Common_InputFunctions.Utility_DisplayArrayInTable(Fertiliser_SourceData.Fertiliser_Products_Data1(), FertiliserProducts[[#Headers],[Company]],1)</f>
        <v/>
      </c>
      <c r="Z102" s="146" t="str" cm="1">
        <f t="array" ref="Z102">Common_InputFunctions.Utility_DisplayArrayInTable(Fertiliser_SourceData.Fertiliser_Products_Data1(), FertiliserProducts[[#Headers],[Company]],1)</f>
        <v/>
      </c>
      <c r="AA102" s="146" t="str" cm="1">
        <f t="array" ref="AA102">Common_InputFunctions.Utility_DisplayArrayInTable(Fertiliser_SourceData.Fertiliser_Products_Data1(), FertiliserProducts[[#Headers],[Company]],1)</f>
        <v/>
      </c>
      <c r="AB102" s="146" t="str" cm="1">
        <f t="array" ref="AB102">Common_InputFunctions.Utility_DisplayArrayInTable(Fertiliser_SourceData.Fertiliser_Products_Data1(), FertiliserProducts[[#Headers],[Company]],1)</f>
        <v/>
      </c>
      <c r="AC102" s="146" t="str" cm="1">
        <f t="array" ref="AC102">Common_InputFunctions.Utility_DisplayArrayInTable(Fertiliser_SourceData.Fertiliser_Products_Data1(), FertiliserProducts[[#Headers],[Company]],1)</f>
        <v/>
      </c>
      <c r="AD102" s="146" t="str" cm="1">
        <f t="array" ref="AD102">Common_InputFunctions.Utility_DisplayArrayInTable(Fertiliser_SourceData.Fertiliser_Products_Data1(), FertiliserProducts[[#Headers],[Company]],1)</f>
        <v/>
      </c>
      <c r="AE102" s="146" t="str" cm="1">
        <f t="array" ref="AE102">Common_InputFunctions.Utility_DisplayArrayInTable(Fertiliser_SourceData.Fertiliser_Products_Data1(), FertiliserProducts[[#Headers],[Company]],1)</f>
        <v/>
      </c>
      <c r="AF102" s="146" t="str" cm="1">
        <f t="array" ref="AF102">Common_InputFunctions.Utility_DisplayArrayInTable(Fertiliser_SourceData.Fertiliser_Products_Data1(), FertiliserProducts[[#Headers],[Company]],1)</f>
        <v/>
      </c>
      <c r="AG102" s="146" t="str" cm="1">
        <f t="array" ref="AG102">Common_InputFunctions.Utility_DisplayArrayInTable(Fertiliser_SourceData.Fertiliser_Products_Data1(), FertiliserProducts[[#Headers],[Company]],1)</f>
        <v/>
      </c>
      <c r="AH102" s="146" t="str" cm="1">
        <f t="array" ref="AH102">Common_InputFunctions.Utility_DisplayArrayInTable(Fertiliser_SourceData.Fertiliser_Products_Data1(), FertiliserProducts[[#Headers],[Company]],1)</f>
        <v/>
      </c>
      <c r="AK102" s="1"/>
      <c r="AL102" s="1"/>
      <c r="AM102" s="1"/>
    </row>
    <row r="103" spans="4:39" ht="20.100000000000001" customHeight="1" x14ac:dyDescent="0.2">
      <c r="D103" s="146" t="str" cm="1">
        <f t="array" ref="D103">Common_InputFunctions.Utility_DisplayArrayInTable(Fertiliser_SourceData.Fertiliser_Products_Data1(), FertiliserProducts[[#Headers],[Company]],1)</f>
        <v>Campbells fertilisers Australia</v>
      </c>
      <c r="E103" s="146" t="str" cm="1">
        <f t="array" ref="E103">Common_InputFunctions.Utility_DisplayArrayInTable(Fertiliser_SourceData.Fertiliser_Products_Data1(), FertiliserProducts[[#Headers],[Company]],1)</f>
        <v>Compass</v>
      </c>
      <c r="F103" s="146" t="str" cm="1">
        <f t="array" ref="F103">Common_InputFunctions.Utility_DisplayArrayInTable(Fertiliser_SourceData.Fertiliser_Products_Data1(), FertiliserProducts[[#Headers],[Company]],1)</f>
        <v>kg</v>
      </c>
      <c r="G103" s="146" cm="1">
        <f t="array" ref="G103">Common_InputFunctions.Utility_DisplayArrayInTable(Fertiliser_SourceData.Fertiliser_Products_Data1(), FertiliserProducts[[#Headers],[Company]],1)</f>
        <v>1</v>
      </c>
      <c r="H103" s="146" t="str" cm="1">
        <f t="array" ref="H103">Common_InputFunctions.Utility_DisplayArrayInTable(Fertiliser_SourceData.Fertiliser_Products_Data1(), FertiliserProducts[[#Headers],[Company]],1)</f>
        <v/>
      </c>
      <c r="I103" s="146" t="str" cm="1">
        <f t="array" ref="I103">Common_InputFunctions.Utility_DisplayArrayInTable(Fertiliser_SourceData.Fertiliser_Products_Data1(), FertiliserProducts[[#Headers],[Company]],1)</f>
        <v/>
      </c>
      <c r="J103" s="146" t="str" cm="1">
        <f t="array" ref="J103">Common_InputFunctions.Utility_DisplayArrayInTable(Fertiliser_SourceData.Fertiliser_Products_Data1(), FertiliserProducts[[#Headers],[Company]],1)</f>
        <v/>
      </c>
      <c r="K103" s="146" cm="1">
        <f t="array" ref="K103">Common_InputFunctions.Utility_DisplayArrayInTable(Fertiliser_SourceData.Fertiliser_Products_Data1(), FertiliserProducts[[#Headers],[Company]],1)</f>
        <v>15</v>
      </c>
      <c r="L103" s="146" cm="1">
        <f t="array" ref="L103">Common_InputFunctions.Utility_DisplayArrayInTable(Fertiliser_SourceData.Fertiliser_Products_Data1(), FertiliserProducts[[#Headers],[Company]],1)</f>
        <v>6.5</v>
      </c>
      <c r="M103" s="146" cm="1">
        <f t="array" ref="M103">Common_InputFunctions.Utility_DisplayArrayInTable(Fertiliser_SourceData.Fertiliser_Products_Data1(), FertiliserProducts[[#Headers],[Company]],1)</f>
        <v>12.5</v>
      </c>
      <c r="N103" s="146" cm="1">
        <f t="array" ref="N103">Common_InputFunctions.Utility_DisplayArrayInTable(Fertiliser_SourceData.Fertiliser_Products_Data1(), FertiliserProducts[[#Headers],[Company]],1)</f>
        <v>6</v>
      </c>
      <c r="O103" s="146" t="str" cm="1">
        <f t="array" ref="O103">Common_InputFunctions.Utility_DisplayArrayInTable(Fertiliser_SourceData.Fertiliser_Products_Data1(), FertiliserProducts[[#Headers],[Company]],1)</f>
        <v>Nitrogen - Ammoniacal</v>
      </c>
      <c r="P103" s="146" cm="1">
        <f t="array" ref="P103">Common_InputFunctions.Utility_DisplayArrayInTable(Fertiliser_SourceData.Fertiliser_Products_Data1(), FertiliserProducts[[#Headers],[Company]],1)</f>
        <v>7.4999999999999997E-2</v>
      </c>
      <c r="Q103" s="146" t="str" cm="1">
        <f t="array" ref="Q103">Common_InputFunctions.Utility_DisplayArrayInTable(Fertiliser_SourceData.Fertiliser_Products_Data1(), FertiliserProducts[[#Headers],[Company]],1)</f>
        <v>Nitrogen - Nitrate</v>
      </c>
      <c r="R103" s="146" cm="1">
        <f t="array" ref="R103">Common_InputFunctions.Utility_DisplayArrayInTable(Fertiliser_SourceData.Fertiliser_Products_Data1(), FertiliserProducts[[#Headers],[Company]],1)</f>
        <v>7.4999999999999997E-2</v>
      </c>
      <c r="S103" s="146" t="str" cm="1">
        <f t="array" ref="S103">Common_InputFunctions.Utility_DisplayArrayInTable(Fertiliser_SourceData.Fertiliser_Products_Data1(), FertiliserProducts[[#Headers],[Company]],1)</f>
        <v>Potassium - Generic</v>
      </c>
      <c r="T103" s="146" cm="1">
        <f t="array" ref="T103">Common_InputFunctions.Utility_DisplayArrayInTable(Fertiliser_SourceData.Fertiliser_Products_Data1(), FertiliserProducts[[#Headers],[Company]],1)</f>
        <v>0.125</v>
      </c>
      <c r="U103" s="146" t="str" cm="1">
        <f t="array" ref="U103">Common_InputFunctions.Utility_DisplayArrayInTable(Fertiliser_SourceData.Fertiliser_Products_Data1(), FertiliserProducts[[#Headers],[Company]],1)</f>
        <v>Phosphorus - Generic</v>
      </c>
      <c r="V103" s="146" cm="1">
        <f t="array" ref="V103">Common_InputFunctions.Utility_DisplayArrayInTable(Fertiliser_SourceData.Fertiliser_Products_Data1(), FertiliserProducts[[#Headers],[Company]],1)</f>
        <v>6.5000000000000002E-2</v>
      </c>
      <c r="W103" s="146" t="str" cm="1">
        <f t="array" ref="W103">Common_InputFunctions.Utility_DisplayArrayInTable(Fertiliser_SourceData.Fertiliser_Products_Data1(), FertiliserProducts[[#Headers],[Company]],1)</f>
        <v>Sulfur - Generic</v>
      </c>
      <c r="X103" s="146" cm="1">
        <f t="array" ref="X103">Common_InputFunctions.Utility_DisplayArrayInTable(Fertiliser_SourceData.Fertiliser_Products_Data1(), FertiliserProducts[[#Headers],[Company]],1)</f>
        <v>0.06</v>
      </c>
      <c r="Y103" s="146" t="str" cm="1">
        <f t="array" ref="Y103">Common_InputFunctions.Utility_DisplayArrayInTable(Fertiliser_SourceData.Fertiliser_Products_Data1(), FertiliserProducts[[#Headers],[Company]],1)</f>
        <v/>
      </c>
      <c r="Z103" s="146" t="str" cm="1">
        <f t="array" ref="Z103">Common_InputFunctions.Utility_DisplayArrayInTable(Fertiliser_SourceData.Fertiliser_Products_Data1(), FertiliserProducts[[#Headers],[Company]],1)</f>
        <v/>
      </c>
      <c r="AA103" s="146" t="str" cm="1">
        <f t="array" ref="AA103">Common_InputFunctions.Utility_DisplayArrayInTable(Fertiliser_SourceData.Fertiliser_Products_Data1(), FertiliserProducts[[#Headers],[Company]],1)</f>
        <v/>
      </c>
      <c r="AB103" s="146" t="str" cm="1">
        <f t="array" ref="AB103">Common_InputFunctions.Utility_DisplayArrayInTable(Fertiliser_SourceData.Fertiliser_Products_Data1(), FertiliserProducts[[#Headers],[Company]],1)</f>
        <v/>
      </c>
      <c r="AC103" s="146" t="str" cm="1">
        <f t="array" ref="AC103">Common_InputFunctions.Utility_DisplayArrayInTable(Fertiliser_SourceData.Fertiliser_Products_Data1(), FertiliserProducts[[#Headers],[Company]],1)</f>
        <v/>
      </c>
      <c r="AD103" s="146" t="str" cm="1">
        <f t="array" ref="AD103">Common_InputFunctions.Utility_DisplayArrayInTable(Fertiliser_SourceData.Fertiliser_Products_Data1(), FertiliserProducts[[#Headers],[Company]],1)</f>
        <v/>
      </c>
      <c r="AE103" s="146" t="str" cm="1">
        <f t="array" ref="AE103">Common_InputFunctions.Utility_DisplayArrayInTable(Fertiliser_SourceData.Fertiliser_Products_Data1(), FertiliserProducts[[#Headers],[Company]],1)</f>
        <v/>
      </c>
      <c r="AF103" s="146" t="str" cm="1">
        <f t="array" ref="AF103">Common_InputFunctions.Utility_DisplayArrayInTable(Fertiliser_SourceData.Fertiliser_Products_Data1(), FertiliserProducts[[#Headers],[Company]],1)</f>
        <v/>
      </c>
      <c r="AG103" s="146" t="str" cm="1">
        <f t="array" ref="AG103">Common_InputFunctions.Utility_DisplayArrayInTable(Fertiliser_SourceData.Fertiliser_Products_Data1(), FertiliserProducts[[#Headers],[Company]],1)</f>
        <v/>
      </c>
      <c r="AH103" s="146" t="str" cm="1">
        <f t="array" ref="AH103">Common_InputFunctions.Utility_DisplayArrayInTable(Fertiliser_SourceData.Fertiliser_Products_Data1(), FertiliserProducts[[#Headers],[Company]],1)</f>
        <v/>
      </c>
      <c r="AK103" s="1"/>
      <c r="AL103" s="1"/>
      <c r="AM103" s="1"/>
    </row>
    <row r="104" spans="4:39" ht="20.100000000000001" customHeight="1" x14ac:dyDescent="0.2">
      <c r="D104" s="146" t="str" cm="1">
        <f t="array" ref="D104">Common_InputFunctions.Utility_DisplayArrayInTable(Fertiliser_SourceData.Fertiliser_Products_Data1(), FertiliserProducts[[#Headers],[Company]],1)</f>
        <v>Campbells fertilisers Australia</v>
      </c>
      <c r="E104" s="146" t="str" cm="1">
        <f t="array" ref="E104">Common_InputFunctions.Utility_DisplayArrayInTable(Fertiliser_SourceData.Fertiliser_Products_Data1(), FertiliserProducts[[#Headers],[Company]],1)</f>
        <v>CoRoN 12-0-10</v>
      </c>
      <c r="F104" s="146" t="str" cm="1">
        <f t="array" ref="F104">Common_InputFunctions.Utility_DisplayArrayInTable(Fertiliser_SourceData.Fertiliser_Products_Data1(), FertiliserProducts[[#Headers],[Company]],1)</f>
        <v>L</v>
      </c>
      <c r="G104" s="146" cm="1">
        <f t="array" ref="G104">Common_InputFunctions.Utility_DisplayArrayInTable(Fertiliser_SourceData.Fertiliser_Products_Data1(), FertiliserProducts[[#Headers],[Company]],1)</f>
        <v>1.2150000000000001</v>
      </c>
      <c r="H104" s="146" t="str" cm="1">
        <f t="array" ref="H104">Common_InputFunctions.Utility_DisplayArrayInTable(Fertiliser_SourceData.Fertiliser_Products_Data1(), FertiliserProducts[[#Headers],[Company]],1)</f>
        <v/>
      </c>
      <c r="I104" s="146" t="str" cm="1">
        <f t="array" ref="I104">Common_InputFunctions.Utility_DisplayArrayInTable(Fertiliser_SourceData.Fertiliser_Products_Data1(), FertiliserProducts[[#Headers],[Company]],1)</f>
        <v/>
      </c>
      <c r="J104" s="146" t="str" cm="1">
        <f t="array" ref="J104">Common_InputFunctions.Utility_DisplayArrayInTable(Fertiliser_SourceData.Fertiliser_Products_Data1(), FertiliserProducts[[#Headers],[Company]],1)</f>
        <v/>
      </c>
      <c r="K104" s="146" cm="1">
        <f t="array" ref="K104">Common_InputFunctions.Utility_DisplayArrayInTable(Fertiliser_SourceData.Fertiliser_Products_Data1(), FertiliserProducts[[#Headers],[Company]],1)</f>
        <v>12</v>
      </c>
      <c r="L104" s="146" t="str" cm="1">
        <f t="array" ref="L104">Common_InputFunctions.Utility_DisplayArrayInTable(Fertiliser_SourceData.Fertiliser_Products_Data1(), FertiliserProducts[[#Headers],[Company]],1)</f>
        <v/>
      </c>
      <c r="M104" s="146" cm="1">
        <f t="array" ref="M104">Common_InputFunctions.Utility_DisplayArrayInTable(Fertiliser_SourceData.Fertiliser_Products_Data1(), FertiliserProducts[[#Headers],[Company]],1)</f>
        <v>10</v>
      </c>
      <c r="N104" s="146" t="str" cm="1">
        <f t="array" ref="N104">Common_InputFunctions.Utility_DisplayArrayInTable(Fertiliser_SourceData.Fertiliser_Products_Data1(), FertiliserProducts[[#Headers],[Company]],1)</f>
        <v/>
      </c>
      <c r="O104" s="146" t="str" cm="1">
        <f t="array" ref="O104">Common_InputFunctions.Utility_DisplayArrayInTable(Fertiliser_SourceData.Fertiliser_Products_Data1(), FertiliserProducts[[#Headers],[Company]],1)</f>
        <v>Urea</v>
      </c>
      <c r="P104" s="146" cm="1">
        <f t="array" ref="P104">Common_InputFunctions.Utility_DisplayArrayInTable(Fertiliser_SourceData.Fertiliser_Products_Data1(), FertiliserProducts[[#Headers],[Company]],1)</f>
        <v>0.19565199999999999</v>
      </c>
      <c r="Q104" s="146" t="str" cm="1">
        <f t="array" ref="Q104">Common_InputFunctions.Utility_DisplayArrayInTable(Fertiliser_SourceData.Fertiliser_Products_Data1(), FertiliserProducts[[#Headers],[Company]],1)</f>
        <v>Potassium - Generic</v>
      </c>
      <c r="R104" s="146" cm="1">
        <f t="array" ref="R104">Common_InputFunctions.Utility_DisplayArrayInTable(Fertiliser_SourceData.Fertiliser_Products_Data1(), FertiliserProducts[[#Headers],[Company]],1)</f>
        <v>0.1</v>
      </c>
      <c r="S104" s="146" t="str" cm="1">
        <f t="array" ref="S104">Common_InputFunctions.Utility_DisplayArrayInTable(Fertiliser_SourceData.Fertiliser_Products_Data1(), FertiliserProducts[[#Headers],[Company]],1)</f>
        <v>Nitrogen - Generic</v>
      </c>
      <c r="T104" s="146" cm="1">
        <f t="array" ref="T104">Common_InputFunctions.Utility_DisplayArrayInTable(Fertiliser_SourceData.Fertiliser_Products_Data1(), FertiliserProducts[[#Headers],[Company]],1)</f>
        <v>0.03</v>
      </c>
      <c r="U104" s="146" t="str" cm="1">
        <f t="array" ref="U104">Common_InputFunctions.Utility_DisplayArrayInTable(Fertiliser_SourceData.Fertiliser_Products_Data1(), FertiliserProducts[[#Headers],[Company]],1)</f>
        <v>Boron</v>
      </c>
      <c r="V104" s="146" cm="1">
        <f t="array" ref="V104">Common_InputFunctions.Utility_DisplayArrayInTable(Fertiliser_SourceData.Fertiliser_Products_Data1(), FertiliserProducts[[#Headers],[Company]],1)</f>
        <v>5.0000000000000001E-3</v>
      </c>
      <c r="W104" s="146" t="str" cm="1">
        <f t="array" ref="W104">Common_InputFunctions.Utility_DisplayArrayInTable(Fertiliser_SourceData.Fertiliser_Products_Data1(), FertiliserProducts[[#Headers],[Company]],1)</f>
        <v/>
      </c>
      <c r="X104" s="146" t="str" cm="1">
        <f t="array" ref="X104">Common_InputFunctions.Utility_DisplayArrayInTable(Fertiliser_SourceData.Fertiliser_Products_Data1(), FertiliserProducts[[#Headers],[Company]],1)</f>
        <v/>
      </c>
      <c r="Y104" s="146" t="str" cm="1">
        <f t="array" ref="Y104">Common_InputFunctions.Utility_DisplayArrayInTable(Fertiliser_SourceData.Fertiliser_Products_Data1(), FertiliserProducts[[#Headers],[Company]],1)</f>
        <v/>
      </c>
      <c r="Z104" s="146" t="str" cm="1">
        <f t="array" ref="Z104">Common_InputFunctions.Utility_DisplayArrayInTable(Fertiliser_SourceData.Fertiliser_Products_Data1(), FertiliserProducts[[#Headers],[Company]],1)</f>
        <v/>
      </c>
      <c r="AA104" s="146" t="str" cm="1">
        <f t="array" ref="AA104">Common_InputFunctions.Utility_DisplayArrayInTable(Fertiliser_SourceData.Fertiliser_Products_Data1(), FertiliserProducts[[#Headers],[Company]],1)</f>
        <v/>
      </c>
      <c r="AB104" s="146" t="str" cm="1">
        <f t="array" ref="AB104">Common_InputFunctions.Utility_DisplayArrayInTable(Fertiliser_SourceData.Fertiliser_Products_Data1(), FertiliserProducts[[#Headers],[Company]],1)</f>
        <v/>
      </c>
      <c r="AC104" s="146" t="str" cm="1">
        <f t="array" ref="AC104">Common_InputFunctions.Utility_DisplayArrayInTable(Fertiliser_SourceData.Fertiliser_Products_Data1(), FertiliserProducts[[#Headers],[Company]],1)</f>
        <v/>
      </c>
      <c r="AD104" s="146" t="str" cm="1">
        <f t="array" ref="AD104">Common_InputFunctions.Utility_DisplayArrayInTable(Fertiliser_SourceData.Fertiliser_Products_Data1(), FertiliserProducts[[#Headers],[Company]],1)</f>
        <v/>
      </c>
      <c r="AE104" s="146" t="str" cm="1">
        <f t="array" ref="AE104">Common_InputFunctions.Utility_DisplayArrayInTable(Fertiliser_SourceData.Fertiliser_Products_Data1(), FertiliserProducts[[#Headers],[Company]],1)</f>
        <v/>
      </c>
      <c r="AF104" s="146" t="str" cm="1">
        <f t="array" ref="AF104">Common_InputFunctions.Utility_DisplayArrayInTable(Fertiliser_SourceData.Fertiliser_Products_Data1(), FertiliserProducts[[#Headers],[Company]],1)</f>
        <v/>
      </c>
      <c r="AG104" s="146" t="str" cm="1">
        <f t="array" ref="AG104">Common_InputFunctions.Utility_DisplayArrayInTable(Fertiliser_SourceData.Fertiliser_Products_Data1(), FertiliserProducts[[#Headers],[Company]],1)</f>
        <v/>
      </c>
      <c r="AH104" s="146" t="str" cm="1">
        <f t="array" ref="AH104">Common_InputFunctions.Utility_DisplayArrayInTable(Fertiliser_SourceData.Fertiliser_Products_Data1(), FertiliserProducts[[#Headers],[Company]],1)</f>
        <v/>
      </c>
      <c r="AK104" s="1"/>
      <c r="AL104" s="1"/>
      <c r="AM104" s="1"/>
    </row>
    <row r="105" spans="4:39" ht="20.100000000000001" customHeight="1" x14ac:dyDescent="0.2">
      <c r="D105" s="146" t="str" cm="1">
        <f t="array" ref="D105">Common_InputFunctions.Utility_DisplayArrayInTable(Fertiliser_SourceData.Fertiliser_Products_Data1(), FertiliserProducts[[#Headers],[Company]],1)</f>
        <v>Campbells fertilisers Australia</v>
      </c>
      <c r="E105" s="146" t="str" cm="1">
        <f t="array" ref="E105">Common_InputFunctions.Utility_DisplayArrayInTable(Fertiliser_SourceData.Fertiliser_Products_Data1(), FertiliserProducts[[#Headers],[Company]],1)</f>
        <v>Maximum Quick-N</v>
      </c>
      <c r="F105" s="146" t="str" cm="1">
        <f t="array" ref="F105">Common_InputFunctions.Utility_DisplayArrayInTable(Fertiliser_SourceData.Fertiliser_Products_Data1(), FertiliserProducts[[#Headers],[Company]],1)</f>
        <v>kg</v>
      </c>
      <c r="G105" s="146" cm="1">
        <f t="array" ref="G105">Common_InputFunctions.Utility_DisplayArrayInTable(Fertiliser_SourceData.Fertiliser_Products_Data1(), FertiliserProducts[[#Headers],[Company]],1)</f>
        <v>1</v>
      </c>
      <c r="H105" s="146" t="str" cm="1">
        <f t="array" ref="H105">Common_InputFunctions.Utility_DisplayArrayInTable(Fertiliser_SourceData.Fertiliser_Products_Data1(), FertiliserProducts[[#Headers],[Company]],1)</f>
        <v/>
      </c>
      <c r="I105" s="146" t="str" cm="1">
        <f t="array" ref="I105">Common_InputFunctions.Utility_DisplayArrayInTable(Fertiliser_SourceData.Fertiliser_Products_Data1(), FertiliserProducts[[#Headers],[Company]],1)</f>
        <v/>
      </c>
      <c r="J105" s="146" t="str" cm="1">
        <f t="array" ref="J105">Common_InputFunctions.Utility_DisplayArrayInTable(Fertiliser_SourceData.Fertiliser_Products_Data1(), FertiliserProducts[[#Headers],[Company]],1)</f>
        <v/>
      </c>
      <c r="K105" s="146" cm="1">
        <f t="array" ref="K105">Common_InputFunctions.Utility_DisplayArrayInTable(Fertiliser_SourceData.Fertiliser_Products_Data1(), FertiliserProducts[[#Headers],[Company]],1)</f>
        <v>21.66</v>
      </c>
      <c r="L105" s="146" t="str" cm="1">
        <f t="array" ref="L105">Common_InputFunctions.Utility_DisplayArrayInTable(Fertiliser_SourceData.Fertiliser_Products_Data1(), FertiliserProducts[[#Headers],[Company]],1)</f>
        <v/>
      </c>
      <c r="M105" s="146" t="str" cm="1">
        <f t="array" ref="M105">Common_InputFunctions.Utility_DisplayArrayInTable(Fertiliser_SourceData.Fertiliser_Products_Data1(), FertiliserProducts[[#Headers],[Company]],1)</f>
        <v/>
      </c>
      <c r="N105" s="146" cm="1">
        <f t="array" ref="N105">Common_InputFunctions.Utility_DisplayArrayInTable(Fertiliser_SourceData.Fertiliser_Products_Data1(), FertiliserProducts[[#Headers],[Company]],1)</f>
        <v>13.2</v>
      </c>
      <c r="O105" s="146" t="str" cm="1">
        <f t="array" ref="O105">Common_InputFunctions.Utility_DisplayArrayInTable(Fertiliser_SourceData.Fertiliser_Products_Data1(), FertiliserProducts[[#Headers],[Company]],1)</f>
        <v>Sulphate of ammonia (SOA)</v>
      </c>
      <c r="P105" s="146" cm="1">
        <f t="array" ref="P105">Common_InputFunctions.Utility_DisplayArrayInTable(Fertiliser_SourceData.Fertiliser_Products_Data1(), FertiliserProducts[[#Headers],[Company]],1)</f>
        <v>0.55000000000000004</v>
      </c>
      <c r="Q105" s="146" t="str" cm="1">
        <f t="array" ref="Q105">Common_InputFunctions.Utility_DisplayArrayInTable(Fertiliser_SourceData.Fertiliser_Products_Data1(), FertiliserProducts[[#Headers],[Company]],1)</f>
        <v>Ammonium nitrate (AN)</v>
      </c>
      <c r="R105" s="146" cm="1">
        <f t="array" ref="R105">Common_InputFunctions.Utility_DisplayArrayInTable(Fertiliser_SourceData.Fertiliser_Products_Data1(), FertiliserProducts[[#Headers],[Company]],1)</f>
        <v>0.3</v>
      </c>
      <c r="S105" s="146" t="str" cm="1">
        <f t="array" ref="S105">Common_InputFunctions.Utility_DisplayArrayInTable(Fertiliser_SourceData.Fertiliser_Products_Data1(), FertiliserProducts[[#Headers],[Company]],1)</f>
        <v/>
      </c>
      <c r="T105" s="146" t="str" cm="1">
        <f t="array" ref="T105">Common_InputFunctions.Utility_DisplayArrayInTable(Fertiliser_SourceData.Fertiliser_Products_Data1(), FertiliserProducts[[#Headers],[Company]],1)</f>
        <v/>
      </c>
      <c r="U105" s="146" t="str" cm="1">
        <f t="array" ref="U105">Common_InputFunctions.Utility_DisplayArrayInTable(Fertiliser_SourceData.Fertiliser_Products_Data1(), FertiliserProducts[[#Headers],[Company]],1)</f>
        <v/>
      </c>
      <c r="V105" s="146" t="str" cm="1">
        <f t="array" ref="V105">Common_InputFunctions.Utility_DisplayArrayInTable(Fertiliser_SourceData.Fertiliser_Products_Data1(), FertiliserProducts[[#Headers],[Company]],1)</f>
        <v/>
      </c>
      <c r="W105" s="146" t="str" cm="1">
        <f t="array" ref="W105">Common_InputFunctions.Utility_DisplayArrayInTable(Fertiliser_SourceData.Fertiliser_Products_Data1(), FertiliserProducts[[#Headers],[Company]],1)</f>
        <v/>
      </c>
      <c r="X105" s="146" t="str" cm="1">
        <f t="array" ref="X105">Common_InputFunctions.Utility_DisplayArrayInTable(Fertiliser_SourceData.Fertiliser_Products_Data1(), FertiliserProducts[[#Headers],[Company]],1)</f>
        <v/>
      </c>
      <c r="Y105" s="146" t="str" cm="1">
        <f t="array" ref="Y105">Common_InputFunctions.Utility_DisplayArrayInTable(Fertiliser_SourceData.Fertiliser_Products_Data1(), FertiliserProducts[[#Headers],[Company]],1)</f>
        <v/>
      </c>
      <c r="Z105" s="146" t="str" cm="1">
        <f t="array" ref="Z105">Common_InputFunctions.Utility_DisplayArrayInTable(Fertiliser_SourceData.Fertiliser_Products_Data1(), FertiliserProducts[[#Headers],[Company]],1)</f>
        <v/>
      </c>
      <c r="AA105" s="146" t="str" cm="1">
        <f t="array" ref="AA105">Common_InputFunctions.Utility_DisplayArrayInTable(Fertiliser_SourceData.Fertiliser_Products_Data1(), FertiliserProducts[[#Headers],[Company]],1)</f>
        <v/>
      </c>
      <c r="AB105" s="146" t="str" cm="1">
        <f t="array" ref="AB105">Common_InputFunctions.Utility_DisplayArrayInTable(Fertiliser_SourceData.Fertiliser_Products_Data1(), FertiliserProducts[[#Headers],[Company]],1)</f>
        <v/>
      </c>
      <c r="AC105" s="146" t="str" cm="1">
        <f t="array" ref="AC105">Common_InputFunctions.Utility_DisplayArrayInTable(Fertiliser_SourceData.Fertiliser_Products_Data1(), FertiliserProducts[[#Headers],[Company]],1)</f>
        <v/>
      </c>
      <c r="AD105" s="146" t="str" cm="1">
        <f t="array" ref="AD105">Common_InputFunctions.Utility_DisplayArrayInTable(Fertiliser_SourceData.Fertiliser_Products_Data1(), FertiliserProducts[[#Headers],[Company]],1)</f>
        <v/>
      </c>
      <c r="AE105" s="146" t="str" cm="1">
        <f t="array" ref="AE105">Common_InputFunctions.Utility_DisplayArrayInTable(Fertiliser_SourceData.Fertiliser_Products_Data1(), FertiliserProducts[[#Headers],[Company]],1)</f>
        <v/>
      </c>
      <c r="AF105" s="146" t="str" cm="1">
        <f t="array" ref="AF105">Common_InputFunctions.Utility_DisplayArrayInTable(Fertiliser_SourceData.Fertiliser_Products_Data1(), FertiliserProducts[[#Headers],[Company]],1)</f>
        <v/>
      </c>
      <c r="AG105" s="146" t="str" cm="1">
        <f t="array" ref="AG105">Common_InputFunctions.Utility_DisplayArrayInTable(Fertiliser_SourceData.Fertiliser_Products_Data1(), FertiliserProducts[[#Headers],[Company]],1)</f>
        <v/>
      </c>
      <c r="AH105" s="146" t="str" cm="1">
        <f t="array" ref="AH105">Common_InputFunctions.Utility_DisplayArrayInTable(Fertiliser_SourceData.Fertiliser_Products_Data1(), FertiliserProducts[[#Headers],[Company]],1)</f>
        <v/>
      </c>
      <c r="AK105" s="1"/>
      <c r="AL105" s="1"/>
      <c r="AM105" s="1"/>
    </row>
    <row r="106" spans="4:39" ht="20.100000000000001" customHeight="1" x14ac:dyDescent="0.2">
      <c r="D106" s="146" t="str" cm="1">
        <f t="array" ref="D106">Common_InputFunctions.Utility_DisplayArrayInTable(Fertiliser_SourceData.Fertiliser_Products_Data1(), FertiliserProducts[[#Headers],[Company]],1)</f>
        <v>SL Tec</v>
      </c>
      <c r="E106" s="146" t="str" cm="1">
        <f t="array" ref="E106">Common_InputFunctions.Utility_DisplayArrayInTable(Fertiliser_SourceData.Fertiliser_Products_Data1(), FertiliserProducts[[#Headers],[Company]],1)</f>
        <v>Crop Booster PLUS</v>
      </c>
      <c r="F106" s="146" t="str" cm="1">
        <f t="array" ref="F106">Common_InputFunctions.Utility_DisplayArrayInTable(Fertiliser_SourceData.Fertiliser_Products_Data1(), FertiliserProducts[[#Headers],[Company]],1)</f>
        <v>L</v>
      </c>
      <c r="G106" s="146" cm="1">
        <f t="array" ref="G106">Common_InputFunctions.Utility_DisplayArrayInTable(Fertiliser_SourceData.Fertiliser_Products_Data1(), FertiliserProducts[[#Headers],[Company]],1)</f>
        <v>1.319</v>
      </c>
      <c r="H106" s="146" t="str" cm="1">
        <f t="array" ref="H106">Common_InputFunctions.Utility_DisplayArrayInTable(Fertiliser_SourceData.Fertiliser_Products_Data1(), FertiliserProducts[[#Headers],[Company]],1)</f>
        <v/>
      </c>
      <c r="I106" s="146" t="str" cm="1">
        <f t="array" ref="I106">Common_InputFunctions.Utility_DisplayArrayInTable(Fertiliser_SourceData.Fertiliser_Products_Data1(), FertiliserProducts[[#Headers],[Company]],1)</f>
        <v/>
      </c>
      <c r="J106" s="146" t="str" cm="1">
        <f t="array" ref="J106">Common_InputFunctions.Utility_DisplayArrayInTable(Fertiliser_SourceData.Fertiliser_Products_Data1(), FertiliserProducts[[#Headers],[Company]],1)</f>
        <v/>
      </c>
      <c r="K106" s="146" cm="1">
        <f t="array" ref="K106">Common_InputFunctions.Utility_DisplayArrayInTable(Fertiliser_SourceData.Fertiliser_Products_Data1(), FertiliserProducts[[#Headers],[Company]],1)</f>
        <v>5</v>
      </c>
      <c r="L106" s="146" cm="1">
        <f t="array" ref="L106">Common_InputFunctions.Utility_DisplayArrayInTable(Fertiliser_SourceData.Fertiliser_Products_Data1(), FertiliserProducts[[#Headers],[Company]],1)</f>
        <v>15</v>
      </c>
      <c r="M106" s="146" cm="1">
        <f t="array" ref="M106">Common_InputFunctions.Utility_DisplayArrayInTable(Fertiliser_SourceData.Fertiliser_Products_Data1(), FertiliserProducts[[#Headers],[Company]],1)</f>
        <v>2.1</v>
      </c>
      <c r="N106" s="146" t="str" cm="1">
        <f t="array" ref="N106">Common_InputFunctions.Utility_DisplayArrayInTable(Fertiliser_SourceData.Fertiliser_Products_Data1(), FertiliserProducts[[#Headers],[Company]],1)</f>
        <v/>
      </c>
      <c r="O106" s="146" t="str" cm="1">
        <f t="array" ref="O106">Common_InputFunctions.Utility_DisplayArrayInTable(Fertiliser_SourceData.Fertiliser_Products_Data1(), FertiliserProducts[[#Headers],[Company]],1)</f>
        <v>Phosphorus - Generic</v>
      </c>
      <c r="P106" s="146" cm="1">
        <f t="array" ref="P106">Common_InputFunctions.Utility_DisplayArrayInTable(Fertiliser_SourceData.Fertiliser_Products_Data1(), FertiliserProducts[[#Headers],[Company]],1)</f>
        <v>0.15</v>
      </c>
      <c r="Q106" s="146" t="str" cm="1">
        <f t="array" ref="Q106">Common_InputFunctions.Utility_DisplayArrayInTable(Fertiliser_SourceData.Fertiliser_Products_Data1(), FertiliserProducts[[#Headers],[Company]],1)</f>
        <v>Calcium</v>
      </c>
      <c r="R106" s="146" cm="1">
        <f t="array" ref="R106">Common_InputFunctions.Utility_DisplayArrayInTable(Fertiliser_SourceData.Fertiliser_Products_Data1(), FertiliserProducts[[#Headers],[Company]],1)</f>
        <v>0.04</v>
      </c>
      <c r="S106" s="146" t="str" cm="1">
        <f t="array" ref="S106">Common_InputFunctions.Utility_DisplayArrayInTable(Fertiliser_SourceData.Fertiliser_Products_Data1(), FertiliserProducts[[#Headers],[Company]],1)</f>
        <v>Nitrogen - Ammoniacal</v>
      </c>
      <c r="T106" s="146" cm="1">
        <f t="array" ref="T106">Common_InputFunctions.Utility_DisplayArrayInTable(Fertiliser_SourceData.Fertiliser_Products_Data1(), FertiliserProducts[[#Headers],[Company]],1)</f>
        <v>2.9000000000000001E-2</v>
      </c>
      <c r="U106" s="146" t="str" cm="1">
        <f t="array" ref="U106">Common_InputFunctions.Utility_DisplayArrayInTable(Fertiliser_SourceData.Fertiliser_Products_Data1(), FertiliserProducts[[#Headers],[Company]],1)</f>
        <v>Nitrogen - Nitrate</v>
      </c>
      <c r="V106" s="146" cm="1">
        <f t="array" ref="V106">Common_InputFunctions.Utility_DisplayArrayInTable(Fertiliser_SourceData.Fertiliser_Products_Data1(), FertiliserProducts[[#Headers],[Company]],1)</f>
        <v>2.1000000000000001E-2</v>
      </c>
      <c r="W106" s="146" t="str" cm="1">
        <f t="array" ref="W106">Common_InputFunctions.Utility_DisplayArrayInTable(Fertiliser_SourceData.Fertiliser_Products_Data1(), FertiliserProducts[[#Headers],[Company]],1)</f>
        <v>Potassium - Generic</v>
      </c>
      <c r="X106" s="146" cm="1">
        <f t="array" ref="X106">Common_InputFunctions.Utility_DisplayArrayInTable(Fertiliser_SourceData.Fertiliser_Products_Data1(), FertiliserProducts[[#Headers],[Company]],1)</f>
        <v>2.1000000000000001E-2</v>
      </c>
      <c r="Y106" s="146" t="str" cm="1">
        <f t="array" ref="Y106">Common_InputFunctions.Utility_DisplayArrayInTable(Fertiliser_SourceData.Fertiliser_Products_Data1(), FertiliserProducts[[#Headers],[Company]],1)</f>
        <v>Copper</v>
      </c>
      <c r="Z106" s="146" cm="1">
        <f t="array" ref="Z106">Common_InputFunctions.Utility_DisplayArrayInTable(Fertiliser_SourceData.Fertiliser_Products_Data1(), FertiliserProducts[[#Headers],[Company]],1)</f>
        <v>5.0000000000000001E-3</v>
      </c>
      <c r="AA106" s="146" t="str" cm="1">
        <f t="array" ref="AA106">Common_InputFunctions.Utility_DisplayArrayInTable(Fertiliser_SourceData.Fertiliser_Products_Data1(), FertiliserProducts[[#Headers],[Company]],1)</f>
        <v>Zinc</v>
      </c>
      <c r="AB106" s="146" cm="1">
        <f t="array" ref="AB106">Common_InputFunctions.Utility_DisplayArrayInTable(Fertiliser_SourceData.Fertiliser_Products_Data1(), FertiliserProducts[[#Headers],[Company]],1)</f>
        <v>4.0000000000000001E-3</v>
      </c>
      <c r="AC106" s="146" t="str" cm="1">
        <f t="array" ref="AC106">Common_InputFunctions.Utility_DisplayArrayInTable(Fertiliser_SourceData.Fertiliser_Products_Data1(), FertiliserProducts[[#Headers],[Company]],1)</f>
        <v>Manganese</v>
      </c>
      <c r="AD106" s="146" cm="1">
        <f t="array" ref="AD106">Common_InputFunctions.Utility_DisplayArrayInTable(Fertiliser_SourceData.Fertiliser_Products_Data1(), FertiliserProducts[[#Headers],[Company]],1)</f>
        <v>4.0000000000000001E-3</v>
      </c>
      <c r="AE106" s="146" t="str" cm="1">
        <f t="array" ref="AE106">Common_InputFunctions.Utility_DisplayArrayInTable(Fertiliser_SourceData.Fertiliser_Products_Data1(), FertiliserProducts[[#Headers],[Company]],1)</f>
        <v>Magnesium</v>
      </c>
      <c r="AF106" s="146" cm="1">
        <f t="array" ref="AF106">Common_InputFunctions.Utility_DisplayArrayInTable(Fertiliser_SourceData.Fertiliser_Products_Data1(), FertiliserProducts[[#Headers],[Company]],1)</f>
        <v>2E-3</v>
      </c>
      <c r="AG106" s="146" t="str" cm="1">
        <f t="array" ref="AG106">Common_InputFunctions.Utility_DisplayArrayInTable(Fertiliser_SourceData.Fertiliser_Products_Data1(), FertiliserProducts[[#Headers],[Company]],1)</f>
        <v/>
      </c>
      <c r="AH106" s="146" t="str" cm="1">
        <f t="array" ref="AH106">Common_InputFunctions.Utility_DisplayArrayInTable(Fertiliser_SourceData.Fertiliser_Products_Data1(), FertiliserProducts[[#Headers],[Company]],1)</f>
        <v/>
      </c>
      <c r="AK106" s="1"/>
      <c r="AL106" s="1"/>
      <c r="AM106" s="1"/>
    </row>
    <row r="107" spans="4:39" ht="20.100000000000001" customHeight="1" x14ac:dyDescent="0.2">
      <c r="D107" s="146" t="str" cm="1">
        <f t="array" ref="D107">Common_InputFunctions.Utility_DisplayArrayInTable(Fertiliser_SourceData.Fertiliser_Products_Data1(), FertiliserProducts[[#Headers],[Company]],1)</f>
        <v>Risso-Chemical</v>
      </c>
      <c r="E107" s="146" t="str" cm="1">
        <f t="array" ref="E107">Common_InputFunctions.Utility_DisplayArrayInTable(Fertiliser_SourceData.Fertiliser_Products_Data1(), FertiliserProducts[[#Headers],[Company]],1)</f>
        <v>Ammonium Bicarbonate</v>
      </c>
      <c r="F107" s="146" t="str" cm="1">
        <f t="array" ref="F107">Common_InputFunctions.Utility_DisplayArrayInTable(Fertiliser_SourceData.Fertiliser_Products_Data1(), FertiliserProducts[[#Headers],[Company]],1)</f>
        <v>kg</v>
      </c>
      <c r="G107" s="146" cm="1">
        <f t="array" ref="G107">Common_InputFunctions.Utility_DisplayArrayInTable(Fertiliser_SourceData.Fertiliser_Products_Data1(), FertiliserProducts[[#Headers],[Company]],1)</f>
        <v>1</v>
      </c>
      <c r="H107" s="146" t="str" cm="1">
        <f t="array" ref="H107">Common_InputFunctions.Utility_DisplayArrayInTable(Fertiliser_SourceData.Fertiliser_Products_Data1(), FertiliserProducts[[#Headers],[Company]],1)</f>
        <v/>
      </c>
      <c r="I107" s="146" t="str" cm="1">
        <f t="array" ref="I107">Common_InputFunctions.Utility_DisplayArrayInTable(Fertiliser_SourceData.Fertiliser_Products_Data1(), FertiliserProducts[[#Headers],[Company]],1)</f>
        <v/>
      </c>
      <c r="J107" s="146" t="str" cm="1">
        <f t="array" ref="J107">Common_InputFunctions.Utility_DisplayArrayInTable(Fertiliser_SourceData.Fertiliser_Products_Data1(), FertiliserProducts[[#Headers],[Company]],1)</f>
        <v>China</v>
      </c>
      <c r="K107" s="146" cm="1">
        <f t="array" ref="K107">Common_InputFunctions.Utility_DisplayArrayInTable(Fertiliser_SourceData.Fertiliser_Products_Data1(), FertiliserProducts[[#Headers],[Company]],1)</f>
        <v>17.7</v>
      </c>
      <c r="L107" s="146" t="str" cm="1">
        <f t="array" ref="L107">Common_InputFunctions.Utility_DisplayArrayInTable(Fertiliser_SourceData.Fertiliser_Products_Data1(), FertiliserProducts[[#Headers],[Company]],1)</f>
        <v/>
      </c>
      <c r="M107" s="146" t="str" cm="1">
        <f t="array" ref="M107">Common_InputFunctions.Utility_DisplayArrayInTable(Fertiliser_SourceData.Fertiliser_Products_Data1(), FertiliserProducts[[#Headers],[Company]],1)</f>
        <v/>
      </c>
      <c r="N107" s="146" t="str" cm="1">
        <f t="array" ref="N107">Common_InputFunctions.Utility_DisplayArrayInTable(Fertiliser_SourceData.Fertiliser_Products_Data1(), FertiliserProducts[[#Headers],[Company]],1)</f>
        <v/>
      </c>
      <c r="O107" s="146" t="str" cm="1">
        <f t="array" ref="O107">Common_InputFunctions.Utility_DisplayArrayInTable(Fertiliser_SourceData.Fertiliser_Products_Data1(), FertiliserProducts[[#Headers],[Company]],1)</f>
        <v>Nitrogen - Ammoniacal</v>
      </c>
      <c r="P107" s="146" cm="1">
        <f t="array" ref="P107">Common_InputFunctions.Utility_DisplayArrayInTable(Fertiliser_SourceData.Fertiliser_Products_Data1(), FertiliserProducts[[#Headers],[Company]],1)</f>
        <v>0.17699999999999999</v>
      </c>
      <c r="Q107" s="146" t="str" cm="1">
        <f t="array" ref="Q107">Common_InputFunctions.Utility_DisplayArrayInTable(Fertiliser_SourceData.Fertiliser_Products_Data1(), FertiliserProducts[[#Headers],[Company]],1)</f>
        <v/>
      </c>
      <c r="R107" s="146" t="str" cm="1">
        <f t="array" ref="R107">Common_InputFunctions.Utility_DisplayArrayInTable(Fertiliser_SourceData.Fertiliser_Products_Data1(), FertiliserProducts[[#Headers],[Company]],1)</f>
        <v/>
      </c>
      <c r="S107" s="146" t="str" cm="1">
        <f t="array" ref="S107">Common_InputFunctions.Utility_DisplayArrayInTable(Fertiliser_SourceData.Fertiliser_Products_Data1(), FertiliserProducts[[#Headers],[Company]],1)</f>
        <v/>
      </c>
      <c r="T107" s="146" t="str" cm="1">
        <f t="array" ref="T107">Common_InputFunctions.Utility_DisplayArrayInTable(Fertiliser_SourceData.Fertiliser_Products_Data1(), FertiliserProducts[[#Headers],[Company]],1)</f>
        <v/>
      </c>
      <c r="U107" s="146" t="str" cm="1">
        <f t="array" ref="U107">Common_InputFunctions.Utility_DisplayArrayInTable(Fertiliser_SourceData.Fertiliser_Products_Data1(), FertiliserProducts[[#Headers],[Company]],1)</f>
        <v/>
      </c>
      <c r="V107" s="146" t="str" cm="1">
        <f t="array" ref="V107">Common_InputFunctions.Utility_DisplayArrayInTable(Fertiliser_SourceData.Fertiliser_Products_Data1(), FertiliserProducts[[#Headers],[Company]],1)</f>
        <v/>
      </c>
      <c r="W107" s="146" t="str" cm="1">
        <f t="array" ref="W107">Common_InputFunctions.Utility_DisplayArrayInTable(Fertiliser_SourceData.Fertiliser_Products_Data1(), FertiliserProducts[[#Headers],[Company]],1)</f>
        <v/>
      </c>
      <c r="X107" s="146" t="str" cm="1">
        <f t="array" ref="X107">Common_InputFunctions.Utility_DisplayArrayInTable(Fertiliser_SourceData.Fertiliser_Products_Data1(), FertiliserProducts[[#Headers],[Company]],1)</f>
        <v/>
      </c>
      <c r="Y107" s="146" t="str" cm="1">
        <f t="array" ref="Y107">Common_InputFunctions.Utility_DisplayArrayInTable(Fertiliser_SourceData.Fertiliser_Products_Data1(), FertiliserProducts[[#Headers],[Company]],1)</f>
        <v/>
      </c>
      <c r="Z107" s="146" t="str" cm="1">
        <f t="array" ref="Z107">Common_InputFunctions.Utility_DisplayArrayInTable(Fertiliser_SourceData.Fertiliser_Products_Data1(), FertiliserProducts[[#Headers],[Company]],1)</f>
        <v/>
      </c>
      <c r="AA107" s="146" t="str" cm="1">
        <f t="array" ref="AA107">Common_InputFunctions.Utility_DisplayArrayInTable(Fertiliser_SourceData.Fertiliser_Products_Data1(), FertiliserProducts[[#Headers],[Company]],1)</f>
        <v/>
      </c>
      <c r="AB107" s="146" t="str" cm="1">
        <f t="array" ref="AB107">Common_InputFunctions.Utility_DisplayArrayInTable(Fertiliser_SourceData.Fertiliser_Products_Data1(), FertiliserProducts[[#Headers],[Company]],1)</f>
        <v/>
      </c>
      <c r="AC107" s="146" t="str" cm="1">
        <f t="array" ref="AC107">Common_InputFunctions.Utility_DisplayArrayInTable(Fertiliser_SourceData.Fertiliser_Products_Data1(), FertiliserProducts[[#Headers],[Company]],1)</f>
        <v/>
      </c>
      <c r="AD107" s="146" t="str" cm="1">
        <f t="array" ref="AD107">Common_InputFunctions.Utility_DisplayArrayInTable(Fertiliser_SourceData.Fertiliser_Products_Data1(), FertiliserProducts[[#Headers],[Company]],1)</f>
        <v/>
      </c>
      <c r="AE107" s="146" t="str" cm="1">
        <f t="array" ref="AE107">Common_InputFunctions.Utility_DisplayArrayInTable(Fertiliser_SourceData.Fertiliser_Products_Data1(), FertiliserProducts[[#Headers],[Company]],1)</f>
        <v/>
      </c>
      <c r="AF107" s="146" t="str" cm="1">
        <f t="array" ref="AF107">Common_InputFunctions.Utility_DisplayArrayInTable(Fertiliser_SourceData.Fertiliser_Products_Data1(), FertiliserProducts[[#Headers],[Company]],1)</f>
        <v/>
      </c>
      <c r="AG107" s="146" t="str" cm="1">
        <f t="array" ref="AG107">Common_InputFunctions.Utility_DisplayArrayInTable(Fertiliser_SourceData.Fertiliser_Products_Data1(), FertiliserProducts[[#Headers],[Company]],1)</f>
        <v/>
      </c>
      <c r="AH107" s="146" t="str" cm="1">
        <f t="array" ref="AH107">Common_InputFunctions.Utility_DisplayArrayInTable(Fertiliser_SourceData.Fertiliser_Products_Data1(), FertiliserProducts[[#Headers],[Company]],1)</f>
        <v/>
      </c>
      <c r="AK107" s="1"/>
      <c r="AL107" s="1"/>
      <c r="AM107" s="1"/>
    </row>
    <row r="108" spans="4:39" ht="20.100000000000001" customHeight="1" x14ac:dyDescent="0.2">
      <c r="D108" s="146" t="str" cm="1">
        <f t="array" ref="D108">Common_InputFunctions.Utility_DisplayArrayInTable(Fertiliser_SourceData.Fertiliser_Products_Data1(), FertiliserProducts[[#Headers],[Company]],1)</f>
        <v>Risso-Chemical</v>
      </c>
      <c r="E108" s="146" t="str" cm="1">
        <f t="array" ref="E108">Common_InputFunctions.Utility_DisplayArrayInTable(Fertiliser_SourceData.Fertiliser_Products_Data1(), FertiliserProducts[[#Headers],[Company]],1)</f>
        <v>Ammonium Sulfate</v>
      </c>
      <c r="F108" s="146" t="str" cm="1">
        <f t="array" ref="F108">Common_InputFunctions.Utility_DisplayArrayInTable(Fertiliser_SourceData.Fertiliser_Products_Data1(), FertiliserProducts[[#Headers],[Company]],1)</f>
        <v>kg</v>
      </c>
      <c r="G108" s="146" cm="1">
        <f t="array" ref="G108">Common_InputFunctions.Utility_DisplayArrayInTable(Fertiliser_SourceData.Fertiliser_Products_Data1(), FertiliserProducts[[#Headers],[Company]],1)</f>
        <v>1</v>
      </c>
      <c r="H108" s="146" t="str" cm="1">
        <f t="array" ref="H108">Common_InputFunctions.Utility_DisplayArrayInTable(Fertiliser_SourceData.Fertiliser_Products_Data1(), FertiliserProducts[[#Headers],[Company]],1)</f>
        <v/>
      </c>
      <c r="I108" s="146" t="str" cm="1">
        <f t="array" ref="I108">Common_InputFunctions.Utility_DisplayArrayInTable(Fertiliser_SourceData.Fertiliser_Products_Data1(), FertiliserProducts[[#Headers],[Company]],1)</f>
        <v/>
      </c>
      <c r="J108" s="146" t="str" cm="1">
        <f t="array" ref="J108">Common_InputFunctions.Utility_DisplayArrayInTable(Fertiliser_SourceData.Fertiliser_Products_Data1(), FertiliserProducts[[#Headers],[Company]],1)</f>
        <v>China</v>
      </c>
      <c r="K108" s="146" cm="1">
        <f t="array" ref="K108">Common_InputFunctions.Utility_DisplayArrayInTable(Fertiliser_SourceData.Fertiliser_Products_Data1(), FertiliserProducts[[#Headers],[Company]],1)</f>
        <v>21</v>
      </c>
      <c r="L108" s="146" t="str" cm="1">
        <f t="array" ref="L108">Common_InputFunctions.Utility_DisplayArrayInTable(Fertiliser_SourceData.Fertiliser_Products_Data1(), FertiliserProducts[[#Headers],[Company]],1)</f>
        <v/>
      </c>
      <c r="M108" s="146" t="str" cm="1">
        <f t="array" ref="M108">Common_InputFunctions.Utility_DisplayArrayInTable(Fertiliser_SourceData.Fertiliser_Products_Data1(), FertiliserProducts[[#Headers],[Company]],1)</f>
        <v/>
      </c>
      <c r="N108" s="146" cm="1">
        <f t="array" ref="N108">Common_InputFunctions.Utility_DisplayArrayInTable(Fertiliser_SourceData.Fertiliser_Products_Data1(), FertiliserProducts[[#Headers],[Company]],1)</f>
        <v>24</v>
      </c>
      <c r="O108" s="146" t="str" cm="1">
        <f t="array" ref="O108">Common_InputFunctions.Utility_DisplayArrayInTable(Fertiliser_SourceData.Fertiliser_Products_Data1(), FertiliserProducts[[#Headers],[Company]],1)</f>
        <v>Sulfur - Generic</v>
      </c>
      <c r="P108" s="146" cm="1">
        <f t="array" ref="P108">Common_InputFunctions.Utility_DisplayArrayInTable(Fertiliser_SourceData.Fertiliser_Products_Data1(), FertiliserProducts[[#Headers],[Company]],1)</f>
        <v>0.24</v>
      </c>
      <c r="Q108" s="146" t="str" cm="1">
        <f t="array" ref="Q108">Common_InputFunctions.Utility_DisplayArrayInTable(Fertiliser_SourceData.Fertiliser_Products_Data1(), FertiliserProducts[[#Headers],[Company]],1)</f>
        <v>Nitrogen - Ammoniacal</v>
      </c>
      <c r="R108" s="146" cm="1">
        <f t="array" ref="R108">Common_InputFunctions.Utility_DisplayArrayInTable(Fertiliser_SourceData.Fertiliser_Products_Data1(), FertiliserProducts[[#Headers],[Company]],1)</f>
        <v>0.21</v>
      </c>
      <c r="S108" s="146" t="str" cm="1">
        <f t="array" ref="S108">Common_InputFunctions.Utility_DisplayArrayInTable(Fertiliser_SourceData.Fertiliser_Products_Data1(), FertiliserProducts[[#Headers],[Company]],1)</f>
        <v/>
      </c>
      <c r="T108" s="146" t="str" cm="1">
        <f t="array" ref="T108">Common_InputFunctions.Utility_DisplayArrayInTable(Fertiliser_SourceData.Fertiliser_Products_Data1(), FertiliserProducts[[#Headers],[Company]],1)</f>
        <v/>
      </c>
      <c r="U108" s="146" t="str" cm="1">
        <f t="array" ref="U108">Common_InputFunctions.Utility_DisplayArrayInTable(Fertiliser_SourceData.Fertiliser_Products_Data1(), FertiliserProducts[[#Headers],[Company]],1)</f>
        <v/>
      </c>
      <c r="V108" s="146" t="str" cm="1">
        <f t="array" ref="V108">Common_InputFunctions.Utility_DisplayArrayInTable(Fertiliser_SourceData.Fertiliser_Products_Data1(), FertiliserProducts[[#Headers],[Company]],1)</f>
        <v/>
      </c>
      <c r="W108" s="146" t="str" cm="1">
        <f t="array" ref="W108">Common_InputFunctions.Utility_DisplayArrayInTable(Fertiliser_SourceData.Fertiliser_Products_Data1(), FertiliserProducts[[#Headers],[Company]],1)</f>
        <v/>
      </c>
      <c r="X108" s="146" t="str" cm="1">
        <f t="array" ref="X108">Common_InputFunctions.Utility_DisplayArrayInTable(Fertiliser_SourceData.Fertiliser_Products_Data1(), FertiliserProducts[[#Headers],[Company]],1)</f>
        <v/>
      </c>
      <c r="Y108" s="146" t="str" cm="1">
        <f t="array" ref="Y108">Common_InputFunctions.Utility_DisplayArrayInTable(Fertiliser_SourceData.Fertiliser_Products_Data1(), FertiliserProducts[[#Headers],[Company]],1)</f>
        <v/>
      </c>
      <c r="Z108" s="146" t="str" cm="1">
        <f t="array" ref="Z108">Common_InputFunctions.Utility_DisplayArrayInTable(Fertiliser_SourceData.Fertiliser_Products_Data1(), FertiliserProducts[[#Headers],[Company]],1)</f>
        <v/>
      </c>
      <c r="AA108" s="146" t="str" cm="1">
        <f t="array" ref="AA108">Common_InputFunctions.Utility_DisplayArrayInTable(Fertiliser_SourceData.Fertiliser_Products_Data1(), FertiliserProducts[[#Headers],[Company]],1)</f>
        <v/>
      </c>
      <c r="AB108" s="146" t="str" cm="1">
        <f t="array" ref="AB108">Common_InputFunctions.Utility_DisplayArrayInTable(Fertiliser_SourceData.Fertiliser_Products_Data1(), FertiliserProducts[[#Headers],[Company]],1)</f>
        <v/>
      </c>
      <c r="AC108" s="146" t="str" cm="1">
        <f t="array" ref="AC108">Common_InputFunctions.Utility_DisplayArrayInTable(Fertiliser_SourceData.Fertiliser_Products_Data1(), FertiliserProducts[[#Headers],[Company]],1)</f>
        <v/>
      </c>
      <c r="AD108" s="146" t="str" cm="1">
        <f t="array" ref="AD108">Common_InputFunctions.Utility_DisplayArrayInTable(Fertiliser_SourceData.Fertiliser_Products_Data1(), FertiliserProducts[[#Headers],[Company]],1)</f>
        <v/>
      </c>
      <c r="AE108" s="146" t="str" cm="1">
        <f t="array" ref="AE108">Common_InputFunctions.Utility_DisplayArrayInTable(Fertiliser_SourceData.Fertiliser_Products_Data1(), FertiliserProducts[[#Headers],[Company]],1)</f>
        <v/>
      </c>
      <c r="AF108" s="146" t="str" cm="1">
        <f t="array" ref="AF108">Common_InputFunctions.Utility_DisplayArrayInTable(Fertiliser_SourceData.Fertiliser_Products_Data1(), FertiliserProducts[[#Headers],[Company]],1)</f>
        <v/>
      </c>
      <c r="AG108" s="146" t="str" cm="1">
        <f t="array" ref="AG108">Common_InputFunctions.Utility_DisplayArrayInTable(Fertiliser_SourceData.Fertiliser_Products_Data1(), FertiliserProducts[[#Headers],[Company]],1)</f>
        <v/>
      </c>
      <c r="AH108" s="146" t="str" cm="1">
        <f t="array" ref="AH108">Common_InputFunctions.Utility_DisplayArrayInTable(Fertiliser_SourceData.Fertiliser_Products_Data1(), FertiliserProducts[[#Headers],[Company]],1)</f>
        <v/>
      </c>
      <c r="AK108" s="1"/>
      <c r="AL108" s="1"/>
      <c r="AM108" s="1"/>
    </row>
    <row r="109" spans="4:39" ht="20.100000000000001" customHeight="1" x14ac:dyDescent="0.2">
      <c r="D109" s="146" t="str" cm="1">
        <f t="array" ref="D109">Common_InputFunctions.Utility_DisplayArrayInTable(Fertiliser_SourceData.Fertiliser_Products_Data1(), FertiliserProducts[[#Headers],[Company]],1)</f>
        <v>Ravensdown</v>
      </c>
      <c r="E109" s="146" t="str" cm="1">
        <f t="array" ref="E109">Common_InputFunctions.Utility_DisplayArrayInTable(Fertiliser_SourceData.Fertiliser_Products_Data1(), FertiliserProducts[[#Headers],[Company]],1)</f>
        <v>Ammonium Sulphate - Granular</v>
      </c>
      <c r="F109" s="146" t="str" cm="1">
        <f t="array" ref="F109">Common_InputFunctions.Utility_DisplayArrayInTable(Fertiliser_SourceData.Fertiliser_Products_Data1(), FertiliserProducts[[#Headers],[Company]],1)</f>
        <v>kg</v>
      </c>
      <c r="G109" s="146" cm="1">
        <f t="array" ref="G109">Common_InputFunctions.Utility_DisplayArrayInTable(Fertiliser_SourceData.Fertiliser_Products_Data1(), FertiliserProducts[[#Headers],[Company]],1)</f>
        <v>1</v>
      </c>
      <c r="H109" s="146" t="str" cm="1">
        <f t="array" ref="H109">Common_InputFunctions.Utility_DisplayArrayInTable(Fertiliser_SourceData.Fertiliser_Products_Data1(), FertiliserProducts[[#Headers],[Company]],1)</f>
        <v/>
      </c>
      <c r="I109" s="146" t="str" cm="1">
        <f t="array" ref="I109">Common_InputFunctions.Utility_DisplayArrayInTable(Fertiliser_SourceData.Fertiliser_Products_Data1(), FertiliserProducts[[#Headers],[Company]],1)</f>
        <v/>
      </c>
      <c r="J109" s="146" t="str" cm="1">
        <f t="array" ref="J109">Common_InputFunctions.Utility_DisplayArrayInTable(Fertiliser_SourceData.Fertiliser_Products_Data1(), FertiliserProducts[[#Headers],[Company]],1)</f>
        <v/>
      </c>
      <c r="K109" s="146" cm="1">
        <f t="array" ref="K109">Common_InputFunctions.Utility_DisplayArrayInTable(Fertiliser_SourceData.Fertiliser_Products_Data1(), FertiliserProducts[[#Headers],[Company]],1)</f>
        <v>21</v>
      </c>
      <c r="L109" s="146" t="str" cm="1">
        <f t="array" ref="L109">Common_InputFunctions.Utility_DisplayArrayInTable(Fertiliser_SourceData.Fertiliser_Products_Data1(), FertiliserProducts[[#Headers],[Company]],1)</f>
        <v/>
      </c>
      <c r="M109" s="146" t="str" cm="1">
        <f t="array" ref="M109">Common_InputFunctions.Utility_DisplayArrayInTable(Fertiliser_SourceData.Fertiliser_Products_Data1(), FertiliserProducts[[#Headers],[Company]],1)</f>
        <v/>
      </c>
      <c r="N109" s="146" cm="1">
        <f t="array" ref="N109">Common_InputFunctions.Utility_DisplayArrayInTable(Fertiliser_SourceData.Fertiliser_Products_Data1(), FertiliserProducts[[#Headers],[Company]],1)</f>
        <v>24</v>
      </c>
      <c r="O109" s="146" t="str" cm="1">
        <f t="array" ref="O109">Common_InputFunctions.Utility_DisplayArrayInTable(Fertiliser_SourceData.Fertiliser_Products_Data1(), FertiliserProducts[[#Headers],[Company]],1)</f>
        <v>Sulphate of ammonia (SOA)</v>
      </c>
      <c r="P109" s="146" cm="1">
        <f t="array" ref="P109">Common_InputFunctions.Utility_DisplayArrayInTable(Fertiliser_SourceData.Fertiliser_Products_Data1(), FertiliserProducts[[#Headers],[Company]],1)</f>
        <v>1</v>
      </c>
      <c r="Q109" s="146" t="str" cm="1">
        <f t="array" ref="Q109">Common_InputFunctions.Utility_DisplayArrayInTable(Fertiliser_SourceData.Fertiliser_Products_Data1(), FertiliserProducts[[#Headers],[Company]],1)</f>
        <v/>
      </c>
      <c r="R109" s="146" t="str" cm="1">
        <f t="array" ref="R109">Common_InputFunctions.Utility_DisplayArrayInTable(Fertiliser_SourceData.Fertiliser_Products_Data1(), FertiliserProducts[[#Headers],[Company]],1)</f>
        <v/>
      </c>
      <c r="S109" s="146" t="str" cm="1">
        <f t="array" ref="S109">Common_InputFunctions.Utility_DisplayArrayInTable(Fertiliser_SourceData.Fertiliser_Products_Data1(), FertiliserProducts[[#Headers],[Company]],1)</f>
        <v/>
      </c>
      <c r="T109" s="146" t="str" cm="1">
        <f t="array" ref="T109">Common_InputFunctions.Utility_DisplayArrayInTable(Fertiliser_SourceData.Fertiliser_Products_Data1(), FertiliserProducts[[#Headers],[Company]],1)</f>
        <v/>
      </c>
      <c r="U109" s="146" t="str" cm="1">
        <f t="array" ref="U109">Common_InputFunctions.Utility_DisplayArrayInTable(Fertiliser_SourceData.Fertiliser_Products_Data1(), FertiliserProducts[[#Headers],[Company]],1)</f>
        <v/>
      </c>
      <c r="V109" s="146" t="str" cm="1">
        <f t="array" ref="V109">Common_InputFunctions.Utility_DisplayArrayInTable(Fertiliser_SourceData.Fertiliser_Products_Data1(), FertiliserProducts[[#Headers],[Company]],1)</f>
        <v/>
      </c>
      <c r="W109" s="146" t="str" cm="1">
        <f t="array" ref="W109">Common_InputFunctions.Utility_DisplayArrayInTable(Fertiliser_SourceData.Fertiliser_Products_Data1(), FertiliserProducts[[#Headers],[Company]],1)</f>
        <v/>
      </c>
      <c r="X109" s="146" t="str" cm="1">
        <f t="array" ref="X109">Common_InputFunctions.Utility_DisplayArrayInTable(Fertiliser_SourceData.Fertiliser_Products_Data1(), FertiliserProducts[[#Headers],[Company]],1)</f>
        <v/>
      </c>
      <c r="Y109" s="146" t="str" cm="1">
        <f t="array" ref="Y109">Common_InputFunctions.Utility_DisplayArrayInTable(Fertiliser_SourceData.Fertiliser_Products_Data1(), FertiliserProducts[[#Headers],[Company]],1)</f>
        <v/>
      </c>
      <c r="Z109" s="146" t="str" cm="1">
        <f t="array" ref="Z109">Common_InputFunctions.Utility_DisplayArrayInTable(Fertiliser_SourceData.Fertiliser_Products_Data1(), FertiliserProducts[[#Headers],[Company]],1)</f>
        <v/>
      </c>
      <c r="AA109" s="146" t="str" cm="1">
        <f t="array" ref="AA109">Common_InputFunctions.Utility_DisplayArrayInTable(Fertiliser_SourceData.Fertiliser_Products_Data1(), FertiliserProducts[[#Headers],[Company]],1)</f>
        <v/>
      </c>
      <c r="AB109" s="146" t="str" cm="1">
        <f t="array" ref="AB109">Common_InputFunctions.Utility_DisplayArrayInTable(Fertiliser_SourceData.Fertiliser_Products_Data1(), FertiliserProducts[[#Headers],[Company]],1)</f>
        <v/>
      </c>
      <c r="AC109" s="146" t="str" cm="1">
        <f t="array" ref="AC109">Common_InputFunctions.Utility_DisplayArrayInTable(Fertiliser_SourceData.Fertiliser_Products_Data1(), FertiliserProducts[[#Headers],[Company]],1)</f>
        <v/>
      </c>
      <c r="AD109" s="146" t="str" cm="1">
        <f t="array" ref="AD109">Common_InputFunctions.Utility_DisplayArrayInTable(Fertiliser_SourceData.Fertiliser_Products_Data1(), FertiliserProducts[[#Headers],[Company]],1)</f>
        <v/>
      </c>
      <c r="AE109" s="146" t="str" cm="1">
        <f t="array" ref="AE109">Common_InputFunctions.Utility_DisplayArrayInTable(Fertiliser_SourceData.Fertiliser_Products_Data1(), FertiliserProducts[[#Headers],[Company]],1)</f>
        <v/>
      </c>
      <c r="AF109" s="146" t="str" cm="1">
        <f t="array" ref="AF109">Common_InputFunctions.Utility_DisplayArrayInTable(Fertiliser_SourceData.Fertiliser_Products_Data1(), FertiliserProducts[[#Headers],[Company]],1)</f>
        <v/>
      </c>
      <c r="AG109" s="146" t="str" cm="1">
        <f t="array" ref="AG109">Common_InputFunctions.Utility_DisplayArrayInTable(Fertiliser_SourceData.Fertiliser_Products_Data1(), FertiliserProducts[[#Headers],[Company]],1)</f>
        <v/>
      </c>
      <c r="AH109" s="146" t="str" cm="1">
        <f t="array" ref="AH109">Common_InputFunctions.Utility_DisplayArrayInTable(Fertiliser_SourceData.Fertiliser_Products_Data1(), FertiliserProducts[[#Headers],[Company]],1)</f>
        <v/>
      </c>
      <c r="AK109" s="1"/>
      <c r="AL109" s="1"/>
      <c r="AM109" s="1"/>
    </row>
    <row r="110" spans="4:39" ht="20.100000000000001" customHeight="1" x14ac:dyDescent="0.2">
      <c r="D110" s="146" t="str" cm="1">
        <f t="array" ref="D110">Common_InputFunctions.Utility_DisplayArrayInTable(Fertiliser_SourceData.Fertiliser_Products_Data1(), FertiliserProducts[[#Headers],[Company]],1)</f>
        <v>Impact Fertilisers</v>
      </c>
      <c r="E110" s="146" t="str" cm="1">
        <f t="array" ref="E110">Common_InputFunctions.Utility_DisplayArrayInTable(Fertiliser_SourceData.Fertiliser_Products_Data1(), FertiliserProducts[[#Headers],[Company]],1)</f>
        <v>Di-Ammonium Phosphate (DAP)</v>
      </c>
      <c r="F110" s="146" t="str" cm="1">
        <f t="array" ref="F110">Common_InputFunctions.Utility_DisplayArrayInTable(Fertiliser_SourceData.Fertiliser_Products_Data1(), FertiliserProducts[[#Headers],[Company]],1)</f>
        <v>kg</v>
      </c>
      <c r="G110" s="146" cm="1">
        <f t="array" ref="G110">Common_InputFunctions.Utility_DisplayArrayInTable(Fertiliser_SourceData.Fertiliser_Products_Data1(), FertiliserProducts[[#Headers],[Company]],1)</f>
        <v>1</v>
      </c>
      <c r="H110" s="146" t="str" cm="1">
        <f t="array" ref="H110">Common_InputFunctions.Utility_DisplayArrayInTable(Fertiliser_SourceData.Fertiliser_Products_Data1(), FertiliserProducts[[#Headers],[Company]],1)</f>
        <v/>
      </c>
      <c r="I110" s="146" t="str" cm="1">
        <f t="array" ref="I110">Common_InputFunctions.Utility_DisplayArrayInTable(Fertiliser_SourceData.Fertiliser_Products_Data1(), FertiliserProducts[[#Headers],[Company]],1)</f>
        <v/>
      </c>
      <c r="J110" s="146" t="str" cm="1">
        <f t="array" ref="J110">Common_InputFunctions.Utility_DisplayArrayInTable(Fertiliser_SourceData.Fertiliser_Products_Data1(), FertiliserProducts[[#Headers],[Company]],1)</f>
        <v/>
      </c>
      <c r="K110" s="146" cm="1">
        <f t="array" ref="K110">Common_InputFunctions.Utility_DisplayArrayInTable(Fertiliser_SourceData.Fertiliser_Products_Data1(), FertiliserProducts[[#Headers],[Company]],1)</f>
        <v>18</v>
      </c>
      <c r="L110" s="146" cm="1">
        <f t="array" ref="L110">Common_InputFunctions.Utility_DisplayArrayInTable(Fertiliser_SourceData.Fertiliser_Products_Data1(), FertiliserProducts[[#Headers],[Company]],1)</f>
        <v>20</v>
      </c>
      <c r="M110" s="146" t="str" cm="1">
        <f t="array" ref="M110">Common_InputFunctions.Utility_DisplayArrayInTable(Fertiliser_SourceData.Fertiliser_Products_Data1(), FertiliserProducts[[#Headers],[Company]],1)</f>
        <v/>
      </c>
      <c r="N110" s="146" t="str" cm="1">
        <f t="array" ref="N110">Common_InputFunctions.Utility_DisplayArrayInTable(Fertiliser_SourceData.Fertiliser_Products_Data1(), FertiliserProducts[[#Headers],[Company]],1)</f>
        <v/>
      </c>
      <c r="O110" s="146" t="str" cm="1">
        <f t="array" ref="O110">Common_InputFunctions.Utility_DisplayArrayInTable(Fertiliser_SourceData.Fertiliser_Products_Data1(), FertiliserProducts[[#Headers],[Company]],1)</f>
        <v>Diammonium phosphate (DAP)</v>
      </c>
      <c r="P110" s="146" cm="1">
        <f t="array" ref="P110">Common_InputFunctions.Utility_DisplayArrayInTable(Fertiliser_SourceData.Fertiliser_Products_Data1(), FertiliserProducts[[#Headers],[Company]],1)</f>
        <v>1</v>
      </c>
      <c r="Q110" s="146" t="str" cm="1">
        <f t="array" ref="Q110">Common_InputFunctions.Utility_DisplayArrayInTable(Fertiliser_SourceData.Fertiliser_Products_Data1(), FertiliserProducts[[#Headers],[Company]],1)</f>
        <v/>
      </c>
      <c r="R110" s="146" t="str" cm="1">
        <f t="array" ref="R110">Common_InputFunctions.Utility_DisplayArrayInTable(Fertiliser_SourceData.Fertiliser_Products_Data1(), FertiliserProducts[[#Headers],[Company]],1)</f>
        <v/>
      </c>
      <c r="S110" s="146" t="str" cm="1">
        <f t="array" ref="S110">Common_InputFunctions.Utility_DisplayArrayInTable(Fertiliser_SourceData.Fertiliser_Products_Data1(), FertiliserProducts[[#Headers],[Company]],1)</f>
        <v/>
      </c>
      <c r="T110" s="146" t="str" cm="1">
        <f t="array" ref="T110">Common_InputFunctions.Utility_DisplayArrayInTable(Fertiliser_SourceData.Fertiliser_Products_Data1(), FertiliserProducts[[#Headers],[Company]],1)</f>
        <v/>
      </c>
      <c r="U110" s="146" t="str" cm="1">
        <f t="array" ref="U110">Common_InputFunctions.Utility_DisplayArrayInTable(Fertiliser_SourceData.Fertiliser_Products_Data1(), FertiliserProducts[[#Headers],[Company]],1)</f>
        <v/>
      </c>
      <c r="V110" s="146" t="str" cm="1">
        <f t="array" ref="V110">Common_InputFunctions.Utility_DisplayArrayInTable(Fertiliser_SourceData.Fertiliser_Products_Data1(), FertiliserProducts[[#Headers],[Company]],1)</f>
        <v/>
      </c>
      <c r="W110" s="146" t="str" cm="1">
        <f t="array" ref="W110">Common_InputFunctions.Utility_DisplayArrayInTable(Fertiliser_SourceData.Fertiliser_Products_Data1(), FertiliserProducts[[#Headers],[Company]],1)</f>
        <v/>
      </c>
      <c r="X110" s="146" t="str" cm="1">
        <f t="array" ref="X110">Common_InputFunctions.Utility_DisplayArrayInTable(Fertiliser_SourceData.Fertiliser_Products_Data1(), FertiliserProducts[[#Headers],[Company]],1)</f>
        <v/>
      </c>
      <c r="Y110" s="146" t="str" cm="1">
        <f t="array" ref="Y110">Common_InputFunctions.Utility_DisplayArrayInTable(Fertiliser_SourceData.Fertiliser_Products_Data1(), FertiliserProducts[[#Headers],[Company]],1)</f>
        <v/>
      </c>
      <c r="Z110" s="146" t="str" cm="1">
        <f t="array" ref="Z110">Common_InputFunctions.Utility_DisplayArrayInTable(Fertiliser_SourceData.Fertiliser_Products_Data1(), FertiliserProducts[[#Headers],[Company]],1)</f>
        <v/>
      </c>
      <c r="AA110" s="146" t="str" cm="1">
        <f t="array" ref="AA110">Common_InputFunctions.Utility_DisplayArrayInTable(Fertiliser_SourceData.Fertiliser_Products_Data1(), FertiliserProducts[[#Headers],[Company]],1)</f>
        <v/>
      </c>
      <c r="AB110" s="146" t="str" cm="1">
        <f t="array" ref="AB110">Common_InputFunctions.Utility_DisplayArrayInTable(Fertiliser_SourceData.Fertiliser_Products_Data1(), FertiliserProducts[[#Headers],[Company]],1)</f>
        <v/>
      </c>
      <c r="AC110" s="146" t="str" cm="1">
        <f t="array" ref="AC110">Common_InputFunctions.Utility_DisplayArrayInTable(Fertiliser_SourceData.Fertiliser_Products_Data1(), FertiliserProducts[[#Headers],[Company]],1)</f>
        <v/>
      </c>
      <c r="AD110" s="146" t="str" cm="1">
        <f t="array" ref="AD110">Common_InputFunctions.Utility_DisplayArrayInTable(Fertiliser_SourceData.Fertiliser_Products_Data1(), FertiliserProducts[[#Headers],[Company]],1)</f>
        <v/>
      </c>
      <c r="AE110" s="146" t="str" cm="1">
        <f t="array" ref="AE110">Common_InputFunctions.Utility_DisplayArrayInTable(Fertiliser_SourceData.Fertiliser_Products_Data1(), FertiliserProducts[[#Headers],[Company]],1)</f>
        <v/>
      </c>
      <c r="AF110" s="146" t="str" cm="1">
        <f t="array" ref="AF110">Common_InputFunctions.Utility_DisplayArrayInTable(Fertiliser_SourceData.Fertiliser_Products_Data1(), FertiliserProducts[[#Headers],[Company]],1)</f>
        <v/>
      </c>
      <c r="AG110" s="146" t="str" cm="1">
        <f t="array" ref="AG110">Common_InputFunctions.Utility_DisplayArrayInTable(Fertiliser_SourceData.Fertiliser_Products_Data1(), FertiliserProducts[[#Headers],[Company]],1)</f>
        <v/>
      </c>
      <c r="AH110" s="146" t="str" cm="1">
        <f t="array" ref="AH110">Common_InputFunctions.Utility_DisplayArrayInTable(Fertiliser_SourceData.Fertiliser_Products_Data1(), FertiliserProducts[[#Headers],[Company]],1)</f>
        <v/>
      </c>
      <c r="AK110" s="1"/>
      <c r="AL110" s="1"/>
      <c r="AM110" s="1"/>
    </row>
    <row r="111" spans="4:39" ht="20.100000000000001" customHeight="1" x14ac:dyDescent="0.2">
      <c r="D111" s="146" t="str" cm="1">
        <f t="array" ref="D111">Common_InputFunctions.Utility_DisplayArrayInTable(Fertiliser_SourceData.Fertiliser_Products_Data1(), FertiliserProducts[[#Headers],[Company]],1)</f>
        <v>Incitec Pivot Fertilisers</v>
      </c>
      <c r="E111" s="146" t="str" cm="1">
        <f t="array" ref="E111">Common_InputFunctions.Utility_DisplayArrayInTable(Fertiliser_SourceData.Fertiliser_Products_Data1(), FertiliserProducts[[#Headers],[Company]],1)</f>
        <v>Basalt BooSSta</v>
      </c>
      <c r="F111" s="146" t="str" cm="1">
        <f t="array" ref="F111">Common_InputFunctions.Utility_DisplayArrayInTable(Fertiliser_SourceData.Fertiliser_Products_Data1(), FertiliserProducts[[#Headers],[Company]],1)</f>
        <v>kg</v>
      </c>
      <c r="G111" s="146" cm="1">
        <f t="array" ref="G111">Common_InputFunctions.Utility_DisplayArrayInTable(Fertiliser_SourceData.Fertiliser_Products_Data1(), FertiliserProducts[[#Headers],[Company]],1)</f>
        <v>1</v>
      </c>
      <c r="H111" s="146" t="str" cm="1">
        <f t="array" ref="H111">Common_InputFunctions.Utility_DisplayArrayInTable(Fertiliser_SourceData.Fertiliser_Products_Data1(), FertiliserProducts[[#Headers],[Company]],1)</f>
        <v/>
      </c>
      <c r="I111" s="146" t="str" cm="1">
        <f t="array" ref="I111">Common_InputFunctions.Utility_DisplayArrayInTable(Fertiliser_SourceData.Fertiliser_Products_Data1(), FertiliserProducts[[#Headers],[Company]],1)</f>
        <v/>
      </c>
      <c r="J111" s="146" t="str" cm="1">
        <f t="array" ref="J111">Common_InputFunctions.Utility_DisplayArrayInTable(Fertiliser_SourceData.Fertiliser_Products_Data1(), FertiliserProducts[[#Headers],[Company]],1)</f>
        <v/>
      </c>
      <c r="K111" s="146" cm="1">
        <f t="array" ref="K111">Common_InputFunctions.Utility_DisplayArrayInTable(Fertiliser_SourceData.Fertiliser_Products_Data1(), FertiliserProducts[[#Headers],[Company]],1)</f>
        <v>8</v>
      </c>
      <c r="L111" s="146" cm="1">
        <f t="array" ref="L111">Common_InputFunctions.Utility_DisplayArrayInTable(Fertiliser_SourceData.Fertiliser_Products_Data1(), FertiliserProducts[[#Headers],[Company]],1)</f>
        <v>14</v>
      </c>
      <c r="M111" s="146" t="str" cm="1">
        <f t="array" ref="M111">Common_InputFunctions.Utility_DisplayArrayInTable(Fertiliser_SourceData.Fertiliser_Products_Data1(), FertiliserProducts[[#Headers],[Company]],1)</f>
        <v/>
      </c>
      <c r="N111" s="146" cm="1">
        <f t="array" ref="N111">Common_InputFunctions.Utility_DisplayArrayInTable(Fertiliser_SourceData.Fertiliser_Products_Data1(), FertiliserProducts[[#Headers],[Company]],1)</f>
        <v>27.6</v>
      </c>
      <c r="O111" s="146" t="str" cm="1">
        <f t="array" ref="O111">Common_InputFunctions.Utility_DisplayArrayInTable(Fertiliser_SourceData.Fertiliser_Products_Data1(), FertiliserProducts[[#Headers],[Company]],1)</f>
        <v>Sulfur - Generic</v>
      </c>
      <c r="P111" s="146" cm="1">
        <f t="array" ref="P111">Common_InputFunctions.Utility_DisplayArrayInTable(Fertiliser_SourceData.Fertiliser_Products_Data1(), FertiliserProducts[[#Headers],[Company]],1)</f>
        <v>0.27600000000000002</v>
      </c>
      <c r="Q111" s="146" t="str" cm="1">
        <f t="array" ref="Q111">Common_InputFunctions.Utility_DisplayArrayInTable(Fertiliser_SourceData.Fertiliser_Products_Data1(), FertiliserProducts[[#Headers],[Company]],1)</f>
        <v>Phosphorus - Generic</v>
      </c>
      <c r="R111" s="146" cm="1">
        <f t="array" ref="R111">Common_InputFunctions.Utility_DisplayArrayInTable(Fertiliser_SourceData.Fertiliser_Products_Data1(), FertiliserProducts[[#Headers],[Company]],1)</f>
        <v>0.14000000000000001</v>
      </c>
      <c r="S111" s="146" t="str" cm="1">
        <f t="array" ref="S111">Common_InputFunctions.Utility_DisplayArrayInTable(Fertiliser_SourceData.Fertiliser_Products_Data1(), FertiliserProducts[[#Headers],[Company]],1)</f>
        <v>Nitrogen - Generic</v>
      </c>
      <c r="T111" s="146" cm="1">
        <f t="array" ref="T111">Common_InputFunctions.Utility_DisplayArrayInTable(Fertiliser_SourceData.Fertiliser_Products_Data1(), FertiliserProducts[[#Headers],[Company]],1)</f>
        <v>0.08</v>
      </c>
      <c r="U111" s="146" t="str" cm="1">
        <f t="array" ref="U111">Common_InputFunctions.Utility_DisplayArrayInTable(Fertiliser_SourceData.Fertiliser_Products_Data1(), FertiliserProducts[[#Headers],[Company]],1)</f>
        <v>Fluoride</v>
      </c>
      <c r="V111" s="146" cm="1">
        <f t="array" ref="V111">Common_InputFunctions.Utility_DisplayArrayInTable(Fertiliser_SourceData.Fertiliser_Products_Data1(), FertiliserProducts[[#Headers],[Company]],1)</f>
        <v>2.4E-2</v>
      </c>
      <c r="W111" s="146" t="str" cm="1">
        <f t="array" ref="W111">Common_InputFunctions.Utility_DisplayArrayInTable(Fertiliser_SourceData.Fertiliser_Products_Data1(), FertiliserProducts[[#Headers],[Company]],1)</f>
        <v/>
      </c>
      <c r="X111" s="146" t="str" cm="1">
        <f t="array" ref="X111">Common_InputFunctions.Utility_DisplayArrayInTable(Fertiliser_SourceData.Fertiliser_Products_Data1(), FertiliserProducts[[#Headers],[Company]],1)</f>
        <v/>
      </c>
      <c r="Y111" s="146" t="str" cm="1">
        <f t="array" ref="Y111">Common_InputFunctions.Utility_DisplayArrayInTable(Fertiliser_SourceData.Fertiliser_Products_Data1(), FertiliserProducts[[#Headers],[Company]],1)</f>
        <v/>
      </c>
      <c r="Z111" s="146" t="str" cm="1">
        <f t="array" ref="Z111">Common_InputFunctions.Utility_DisplayArrayInTable(Fertiliser_SourceData.Fertiliser_Products_Data1(), FertiliserProducts[[#Headers],[Company]],1)</f>
        <v/>
      </c>
      <c r="AA111" s="146" t="str" cm="1">
        <f t="array" ref="AA111">Common_InputFunctions.Utility_DisplayArrayInTable(Fertiliser_SourceData.Fertiliser_Products_Data1(), FertiliserProducts[[#Headers],[Company]],1)</f>
        <v/>
      </c>
      <c r="AB111" s="146" t="str" cm="1">
        <f t="array" ref="AB111">Common_InputFunctions.Utility_DisplayArrayInTable(Fertiliser_SourceData.Fertiliser_Products_Data1(), FertiliserProducts[[#Headers],[Company]],1)</f>
        <v/>
      </c>
      <c r="AC111" s="146" t="str" cm="1">
        <f t="array" ref="AC111">Common_InputFunctions.Utility_DisplayArrayInTable(Fertiliser_SourceData.Fertiliser_Products_Data1(), FertiliserProducts[[#Headers],[Company]],1)</f>
        <v/>
      </c>
      <c r="AD111" s="146" t="str" cm="1">
        <f t="array" ref="AD111">Common_InputFunctions.Utility_DisplayArrayInTable(Fertiliser_SourceData.Fertiliser_Products_Data1(), FertiliserProducts[[#Headers],[Company]],1)</f>
        <v/>
      </c>
      <c r="AE111" s="146" t="str" cm="1">
        <f t="array" ref="AE111">Common_InputFunctions.Utility_DisplayArrayInTable(Fertiliser_SourceData.Fertiliser_Products_Data1(), FertiliserProducts[[#Headers],[Company]],1)</f>
        <v/>
      </c>
      <c r="AF111" s="146" t="str" cm="1">
        <f t="array" ref="AF111">Common_InputFunctions.Utility_DisplayArrayInTable(Fertiliser_SourceData.Fertiliser_Products_Data1(), FertiliserProducts[[#Headers],[Company]],1)</f>
        <v/>
      </c>
      <c r="AG111" s="146" t="str" cm="1">
        <f t="array" ref="AG111">Common_InputFunctions.Utility_DisplayArrayInTable(Fertiliser_SourceData.Fertiliser_Products_Data1(), FertiliserProducts[[#Headers],[Company]],1)</f>
        <v/>
      </c>
      <c r="AH111" s="146" t="str" cm="1">
        <f t="array" ref="AH111">Common_InputFunctions.Utility_DisplayArrayInTable(Fertiliser_SourceData.Fertiliser_Products_Data1(), FertiliserProducts[[#Headers],[Company]],1)</f>
        <v/>
      </c>
      <c r="AK111" s="1"/>
      <c r="AL111" s="1"/>
      <c r="AM111" s="1"/>
    </row>
    <row r="112" spans="4:39" ht="20.100000000000001" customHeight="1" x14ac:dyDescent="0.2">
      <c r="D112" s="146" t="str" cm="1">
        <f t="array" ref="D112">Common_InputFunctions.Utility_DisplayArrayInTable(Fertiliser_SourceData.Fertiliser_Products_Data1(), FertiliserProducts[[#Headers],[Company]],1)</f>
        <v>Summit Fertilizers</v>
      </c>
      <c r="E112" s="146" t="str" cm="1">
        <f t="array" ref="E112">Common_InputFunctions.Utility_DisplayArrayInTable(Fertiliser_SourceData.Fertiliser_Products_Data1(), FertiliserProducts[[#Headers],[Company]],1)</f>
        <v>DAPSZC</v>
      </c>
      <c r="F112" s="146" t="str" cm="1">
        <f t="array" ref="F112">Common_InputFunctions.Utility_DisplayArrayInTable(Fertiliser_SourceData.Fertiliser_Products_Data1(), FertiliserProducts[[#Headers],[Company]],1)</f>
        <v>kg</v>
      </c>
      <c r="G112" s="146" cm="1">
        <f t="array" ref="G112">Common_InputFunctions.Utility_DisplayArrayInTable(Fertiliser_SourceData.Fertiliser_Products_Data1(), FertiliserProducts[[#Headers],[Company]],1)</f>
        <v>1</v>
      </c>
      <c r="H112" s="146" t="str" cm="1">
        <f t="array" ref="H112">Common_InputFunctions.Utility_DisplayArrayInTable(Fertiliser_SourceData.Fertiliser_Products_Data1(), FertiliserProducts[[#Headers],[Company]],1)</f>
        <v/>
      </c>
      <c r="I112" s="146" t="str" cm="1">
        <f t="array" ref="I112">Common_InputFunctions.Utility_DisplayArrayInTable(Fertiliser_SourceData.Fertiliser_Products_Data1(), FertiliserProducts[[#Headers],[Company]],1)</f>
        <v/>
      </c>
      <c r="J112" s="146" t="str" cm="1">
        <f t="array" ref="J112">Common_InputFunctions.Utility_DisplayArrayInTable(Fertiliser_SourceData.Fertiliser_Products_Data1(), FertiliserProducts[[#Headers],[Company]],1)</f>
        <v/>
      </c>
      <c r="K112" s="146" cm="1">
        <f t="array" ref="K112">Common_InputFunctions.Utility_DisplayArrayInTable(Fertiliser_SourceData.Fertiliser_Products_Data1(), FertiliserProducts[[#Headers],[Company]],1)</f>
        <v>16.899999999999999</v>
      </c>
      <c r="L112" s="146" cm="1">
        <f t="array" ref="L112">Common_InputFunctions.Utility_DisplayArrayInTable(Fertiliser_SourceData.Fertiliser_Products_Data1(), FertiliserProducts[[#Headers],[Company]],1)</f>
        <v>18.2</v>
      </c>
      <c r="M112" s="146" t="str" cm="1">
        <f t="array" ref="M112">Common_InputFunctions.Utility_DisplayArrayInTable(Fertiliser_SourceData.Fertiliser_Products_Data1(), FertiliserProducts[[#Headers],[Company]],1)</f>
        <v/>
      </c>
      <c r="N112" s="146" cm="1">
        <f t="array" ref="N112">Common_InputFunctions.Utility_DisplayArrayInTable(Fertiliser_SourceData.Fertiliser_Products_Data1(), FertiliserProducts[[#Headers],[Company]],1)</f>
        <v>8</v>
      </c>
      <c r="O112" s="146" t="str" cm="1">
        <f t="array" ref="O112">Common_InputFunctions.Utility_DisplayArrayInTable(Fertiliser_SourceData.Fertiliser_Products_Data1(), FertiliserProducts[[#Headers],[Company]],1)</f>
        <v>Phosphorus - Generic</v>
      </c>
      <c r="P112" s="146" cm="1">
        <f t="array" ref="P112">Common_InputFunctions.Utility_DisplayArrayInTable(Fertiliser_SourceData.Fertiliser_Products_Data1(), FertiliserProducts[[#Headers],[Company]],1)</f>
        <v>0.182</v>
      </c>
      <c r="Q112" s="146" t="str" cm="1">
        <f t="array" ref="Q112">Common_InputFunctions.Utility_DisplayArrayInTable(Fertiliser_SourceData.Fertiliser_Products_Data1(), FertiliserProducts[[#Headers],[Company]],1)</f>
        <v>Nitrogen - Generic</v>
      </c>
      <c r="R112" s="146" cm="1">
        <f t="array" ref="R112">Common_InputFunctions.Utility_DisplayArrayInTable(Fertiliser_SourceData.Fertiliser_Products_Data1(), FertiliserProducts[[#Headers],[Company]],1)</f>
        <v>0.16900000000000001</v>
      </c>
      <c r="S112" s="146" t="str" cm="1">
        <f t="array" ref="S112">Common_InputFunctions.Utility_DisplayArrayInTable(Fertiliser_SourceData.Fertiliser_Products_Data1(), FertiliserProducts[[#Headers],[Company]],1)</f>
        <v>Sulfur - Generic</v>
      </c>
      <c r="T112" s="146" cm="1">
        <f t="array" ref="T112">Common_InputFunctions.Utility_DisplayArrayInTable(Fertiliser_SourceData.Fertiliser_Products_Data1(), FertiliserProducts[[#Headers],[Company]],1)</f>
        <v>0.08</v>
      </c>
      <c r="U112" s="146" t="str" cm="1">
        <f t="array" ref="U112">Common_InputFunctions.Utility_DisplayArrayInTable(Fertiliser_SourceData.Fertiliser_Products_Data1(), FertiliserProducts[[#Headers],[Company]],1)</f>
        <v>Zinc</v>
      </c>
      <c r="V112" s="146" cm="1">
        <f t="array" ref="V112">Common_InputFunctions.Utility_DisplayArrayInTable(Fertiliser_SourceData.Fertiliser_Products_Data1(), FertiliserProducts[[#Headers],[Company]],1)</f>
        <v>2E-3</v>
      </c>
      <c r="W112" s="146" t="str" cm="1">
        <f t="array" ref="W112">Common_InputFunctions.Utility_DisplayArrayInTable(Fertiliser_SourceData.Fertiliser_Products_Data1(), FertiliserProducts[[#Headers],[Company]],1)</f>
        <v>Copper</v>
      </c>
      <c r="X112" s="146" cm="1">
        <f t="array" ref="X112">Common_InputFunctions.Utility_DisplayArrayInTable(Fertiliser_SourceData.Fertiliser_Products_Data1(), FertiliserProducts[[#Headers],[Company]],1)</f>
        <v>1E-3</v>
      </c>
      <c r="Y112" s="146" t="str" cm="1">
        <f t="array" ref="Y112">Common_InputFunctions.Utility_DisplayArrayInTable(Fertiliser_SourceData.Fertiliser_Products_Data1(), FertiliserProducts[[#Headers],[Company]],1)</f>
        <v/>
      </c>
      <c r="Z112" s="146" t="str" cm="1">
        <f t="array" ref="Z112">Common_InputFunctions.Utility_DisplayArrayInTable(Fertiliser_SourceData.Fertiliser_Products_Data1(), FertiliserProducts[[#Headers],[Company]],1)</f>
        <v/>
      </c>
      <c r="AA112" s="146" t="str" cm="1">
        <f t="array" ref="AA112">Common_InputFunctions.Utility_DisplayArrayInTable(Fertiliser_SourceData.Fertiliser_Products_Data1(), FertiliserProducts[[#Headers],[Company]],1)</f>
        <v/>
      </c>
      <c r="AB112" s="146" t="str" cm="1">
        <f t="array" ref="AB112">Common_InputFunctions.Utility_DisplayArrayInTable(Fertiliser_SourceData.Fertiliser_Products_Data1(), FertiliserProducts[[#Headers],[Company]],1)</f>
        <v/>
      </c>
      <c r="AC112" s="146" t="str" cm="1">
        <f t="array" ref="AC112">Common_InputFunctions.Utility_DisplayArrayInTable(Fertiliser_SourceData.Fertiliser_Products_Data1(), FertiliserProducts[[#Headers],[Company]],1)</f>
        <v/>
      </c>
      <c r="AD112" s="146" t="str" cm="1">
        <f t="array" ref="AD112">Common_InputFunctions.Utility_DisplayArrayInTable(Fertiliser_SourceData.Fertiliser_Products_Data1(), FertiliserProducts[[#Headers],[Company]],1)</f>
        <v/>
      </c>
      <c r="AE112" s="146" t="str" cm="1">
        <f t="array" ref="AE112">Common_InputFunctions.Utility_DisplayArrayInTable(Fertiliser_SourceData.Fertiliser_Products_Data1(), FertiliserProducts[[#Headers],[Company]],1)</f>
        <v/>
      </c>
      <c r="AF112" s="146" t="str" cm="1">
        <f t="array" ref="AF112">Common_InputFunctions.Utility_DisplayArrayInTable(Fertiliser_SourceData.Fertiliser_Products_Data1(), FertiliserProducts[[#Headers],[Company]],1)</f>
        <v/>
      </c>
      <c r="AG112" s="146" t="str" cm="1">
        <f t="array" ref="AG112">Common_InputFunctions.Utility_DisplayArrayInTable(Fertiliser_SourceData.Fertiliser_Products_Data1(), FertiliserProducts[[#Headers],[Company]],1)</f>
        <v/>
      </c>
      <c r="AH112" s="146" t="str" cm="1">
        <f t="array" ref="AH112">Common_InputFunctions.Utility_DisplayArrayInTable(Fertiliser_SourceData.Fertiliser_Products_Data1(), FertiliserProducts[[#Headers],[Company]],1)</f>
        <v/>
      </c>
      <c r="AK112" s="1"/>
      <c r="AL112" s="1"/>
      <c r="AM112" s="1"/>
    </row>
    <row r="113" spans="1:39" ht="20.100000000000001" customHeight="1" x14ac:dyDescent="0.2">
      <c r="D113" s="146" t="str" cm="1">
        <f t="array" ref="D113">Common_InputFunctions.Utility_DisplayArrayInTable(Fertiliser_SourceData.Fertiliser_Products_Data1(), FertiliserProducts[[#Headers],[Company]],1)</f>
        <v>Incitec Pivot Fertilisers</v>
      </c>
      <c r="E113" s="146" t="str" cm="1">
        <f t="array" ref="E113">Common_InputFunctions.Utility_DisplayArrayInTable(Fertiliser_SourceData.Fertiliser_Products_Data1(), FertiliserProducts[[#Headers],[Company]],1)</f>
        <v>Easy N</v>
      </c>
      <c r="F113" s="146" t="str" cm="1">
        <f t="array" ref="F113">Common_InputFunctions.Utility_DisplayArrayInTable(Fertiliser_SourceData.Fertiliser_Products_Data1(), FertiliserProducts[[#Headers],[Company]],1)</f>
        <v>L</v>
      </c>
      <c r="G113" s="146" cm="1">
        <f t="array" ref="G113">Common_InputFunctions.Utility_DisplayArrayInTable(Fertiliser_SourceData.Fertiliser_Products_Data1(), FertiliserProducts[[#Headers],[Company]],1)</f>
        <v>1.32</v>
      </c>
      <c r="H113" s="146" t="str" cm="1">
        <f t="array" ref="H113">Common_InputFunctions.Utility_DisplayArrayInTable(Fertiliser_SourceData.Fertiliser_Products_Data1(), FertiliserProducts[[#Headers],[Company]],1)</f>
        <v/>
      </c>
      <c r="I113" s="146" t="str" cm="1">
        <f t="array" ref="I113">Common_InputFunctions.Utility_DisplayArrayInTable(Fertiliser_SourceData.Fertiliser_Products_Data1(), FertiliserProducts[[#Headers],[Company]],1)</f>
        <v/>
      </c>
      <c r="J113" s="146" t="str" cm="1">
        <f t="array" ref="J113">Common_InputFunctions.Utility_DisplayArrayInTable(Fertiliser_SourceData.Fertiliser_Products_Data1(), FertiliserProducts[[#Headers],[Company]],1)</f>
        <v/>
      </c>
      <c r="K113" s="146" cm="1">
        <f t="array" ref="K113">Common_InputFunctions.Utility_DisplayArrayInTable(Fertiliser_SourceData.Fertiliser_Products_Data1(), FertiliserProducts[[#Headers],[Company]],1)</f>
        <v>42.5</v>
      </c>
      <c r="L113" s="146" t="str" cm="1">
        <f t="array" ref="L113">Common_InputFunctions.Utility_DisplayArrayInTable(Fertiliser_SourceData.Fertiliser_Products_Data1(), FertiliserProducts[[#Headers],[Company]],1)</f>
        <v/>
      </c>
      <c r="M113" s="146" t="str" cm="1">
        <f t="array" ref="M113">Common_InputFunctions.Utility_DisplayArrayInTable(Fertiliser_SourceData.Fertiliser_Products_Data1(), FertiliserProducts[[#Headers],[Company]],1)</f>
        <v/>
      </c>
      <c r="N113" s="146" t="str" cm="1">
        <f t="array" ref="N113">Common_InputFunctions.Utility_DisplayArrayInTable(Fertiliser_SourceData.Fertiliser_Products_Data1(), FertiliserProducts[[#Headers],[Company]],1)</f>
        <v/>
      </c>
      <c r="O113" s="146" t="str" cm="1">
        <f t="array" ref="O113">Common_InputFunctions.Utility_DisplayArrayInTable(Fertiliser_SourceData.Fertiliser_Products_Data1(), FertiliserProducts[[#Headers],[Company]],1)</f>
        <v>Urea</v>
      </c>
      <c r="P113" s="146" cm="1">
        <f t="array" ref="P113">Common_InputFunctions.Utility_DisplayArrayInTable(Fertiliser_SourceData.Fertiliser_Products_Data1(), FertiliserProducts[[#Headers],[Company]],1)</f>
        <v>0.467391</v>
      </c>
      <c r="Q113" s="146" t="str" cm="1">
        <f t="array" ref="Q113">Common_InputFunctions.Utility_DisplayArrayInTable(Fertiliser_SourceData.Fertiliser_Products_Data1(), FertiliserProducts[[#Headers],[Company]],1)</f>
        <v>Nitrogen - Nitrate</v>
      </c>
      <c r="R113" s="146" cm="1">
        <f t="array" ref="R113">Common_InputFunctions.Utility_DisplayArrayInTable(Fertiliser_SourceData.Fertiliser_Products_Data1(), FertiliserProducts[[#Headers],[Company]],1)</f>
        <v>0.105</v>
      </c>
      <c r="S113" s="146" t="str" cm="1">
        <f t="array" ref="S113">Common_InputFunctions.Utility_DisplayArrayInTable(Fertiliser_SourceData.Fertiliser_Products_Data1(), FertiliserProducts[[#Headers],[Company]],1)</f>
        <v>Nitrogen - Ammoniacal</v>
      </c>
      <c r="T113" s="146" cm="1">
        <f t="array" ref="T113">Common_InputFunctions.Utility_DisplayArrayInTable(Fertiliser_SourceData.Fertiliser_Products_Data1(), FertiliserProducts[[#Headers],[Company]],1)</f>
        <v>0.105</v>
      </c>
      <c r="U113" s="146" t="str" cm="1">
        <f t="array" ref="U113">Common_InputFunctions.Utility_DisplayArrayInTable(Fertiliser_SourceData.Fertiliser_Products_Data1(), FertiliserProducts[[#Headers],[Company]],1)</f>
        <v>Biuret</v>
      </c>
      <c r="V113" s="146" cm="1">
        <f t="array" ref="V113">Common_InputFunctions.Utility_DisplayArrayInTable(Fertiliser_SourceData.Fertiliser_Products_Data1(), FertiliserProducts[[#Headers],[Company]],1)</f>
        <v>6.0000000000000001E-3</v>
      </c>
      <c r="W113" s="146" t="str" cm="1">
        <f t="array" ref="W113">Common_InputFunctions.Utility_DisplayArrayInTable(Fertiliser_SourceData.Fertiliser_Products_Data1(), FertiliserProducts[[#Headers],[Company]],1)</f>
        <v/>
      </c>
      <c r="X113" s="146" t="str" cm="1">
        <f t="array" ref="X113">Common_InputFunctions.Utility_DisplayArrayInTable(Fertiliser_SourceData.Fertiliser_Products_Data1(), FertiliserProducts[[#Headers],[Company]],1)</f>
        <v/>
      </c>
      <c r="Y113" s="146" t="str" cm="1">
        <f t="array" ref="Y113">Common_InputFunctions.Utility_DisplayArrayInTable(Fertiliser_SourceData.Fertiliser_Products_Data1(), FertiliserProducts[[#Headers],[Company]],1)</f>
        <v/>
      </c>
      <c r="Z113" s="146" t="str" cm="1">
        <f t="array" ref="Z113">Common_InputFunctions.Utility_DisplayArrayInTable(Fertiliser_SourceData.Fertiliser_Products_Data1(), FertiliserProducts[[#Headers],[Company]],1)</f>
        <v/>
      </c>
      <c r="AA113" s="146" t="str" cm="1">
        <f t="array" ref="AA113">Common_InputFunctions.Utility_DisplayArrayInTable(Fertiliser_SourceData.Fertiliser_Products_Data1(), FertiliserProducts[[#Headers],[Company]],1)</f>
        <v/>
      </c>
      <c r="AB113" s="146" t="str" cm="1">
        <f t="array" ref="AB113">Common_InputFunctions.Utility_DisplayArrayInTable(Fertiliser_SourceData.Fertiliser_Products_Data1(), FertiliserProducts[[#Headers],[Company]],1)</f>
        <v/>
      </c>
      <c r="AC113" s="146" t="str" cm="1">
        <f t="array" ref="AC113">Common_InputFunctions.Utility_DisplayArrayInTable(Fertiliser_SourceData.Fertiliser_Products_Data1(), FertiliserProducts[[#Headers],[Company]],1)</f>
        <v/>
      </c>
      <c r="AD113" s="146" t="str" cm="1">
        <f t="array" ref="AD113">Common_InputFunctions.Utility_DisplayArrayInTable(Fertiliser_SourceData.Fertiliser_Products_Data1(), FertiliserProducts[[#Headers],[Company]],1)</f>
        <v/>
      </c>
      <c r="AE113" s="146" t="str" cm="1">
        <f t="array" ref="AE113">Common_InputFunctions.Utility_DisplayArrayInTable(Fertiliser_SourceData.Fertiliser_Products_Data1(), FertiliserProducts[[#Headers],[Company]],1)</f>
        <v/>
      </c>
      <c r="AF113" s="146" t="str" cm="1">
        <f t="array" ref="AF113">Common_InputFunctions.Utility_DisplayArrayInTable(Fertiliser_SourceData.Fertiliser_Products_Data1(), FertiliserProducts[[#Headers],[Company]],1)</f>
        <v/>
      </c>
      <c r="AG113" s="146" t="str" cm="1">
        <f t="array" ref="AG113">Common_InputFunctions.Utility_DisplayArrayInTable(Fertiliser_SourceData.Fertiliser_Products_Data1(), FertiliserProducts[[#Headers],[Company]],1)</f>
        <v/>
      </c>
      <c r="AH113" s="146" t="str" cm="1">
        <f t="array" ref="AH113">Common_InputFunctions.Utility_DisplayArrayInTable(Fertiliser_SourceData.Fertiliser_Products_Data1(), FertiliserProducts[[#Headers],[Company]],1)</f>
        <v/>
      </c>
      <c r="AK113" s="1"/>
      <c r="AL113" s="1"/>
      <c r="AM113" s="1"/>
    </row>
    <row r="114" spans="1:39" ht="20.100000000000001" customHeight="1" x14ac:dyDescent="0.2">
      <c r="D114" s="146" t="str" cm="1">
        <f t="array" ref="D114">Common_InputFunctions.Utility_DisplayArrayInTable(Fertiliser_SourceData.Fertiliser_Products_Data1(), FertiliserProducts[[#Headers],[Company]],1)</f>
        <v>Risso-Chemical</v>
      </c>
      <c r="E114" s="146" t="str" cm="1">
        <f t="array" ref="E114">Common_InputFunctions.Utility_DisplayArrayInTable(Fertiliser_SourceData.Fertiliser_Products_Data1(), FertiliserProducts[[#Headers],[Company]],1)</f>
        <v>Calcium Ammonium nitrate</v>
      </c>
      <c r="F114" s="146" t="str" cm="1">
        <f t="array" ref="F114">Common_InputFunctions.Utility_DisplayArrayInTable(Fertiliser_SourceData.Fertiliser_Products_Data1(), FertiliserProducts[[#Headers],[Company]],1)</f>
        <v>kg</v>
      </c>
      <c r="G114" s="146" cm="1">
        <f t="array" ref="G114">Common_InputFunctions.Utility_DisplayArrayInTable(Fertiliser_SourceData.Fertiliser_Products_Data1(), FertiliserProducts[[#Headers],[Company]],1)</f>
        <v>1</v>
      </c>
      <c r="H114" s="146" t="str" cm="1">
        <f t="array" ref="H114">Common_InputFunctions.Utility_DisplayArrayInTable(Fertiliser_SourceData.Fertiliser_Products_Data1(), FertiliserProducts[[#Headers],[Company]],1)</f>
        <v/>
      </c>
      <c r="I114" s="146" t="str" cm="1">
        <f t="array" ref="I114">Common_InputFunctions.Utility_DisplayArrayInTable(Fertiliser_SourceData.Fertiliser_Products_Data1(), FertiliserProducts[[#Headers],[Company]],1)</f>
        <v/>
      </c>
      <c r="J114" s="146" t="str" cm="1">
        <f t="array" ref="J114">Common_InputFunctions.Utility_DisplayArrayInTable(Fertiliser_SourceData.Fertiliser_Products_Data1(), FertiliserProducts[[#Headers],[Company]],1)</f>
        <v>China</v>
      </c>
      <c r="K114" s="146" cm="1">
        <f t="array" ref="K114">Common_InputFunctions.Utility_DisplayArrayInTable(Fertiliser_SourceData.Fertiliser_Products_Data1(), FertiliserProducts[[#Headers],[Company]],1)</f>
        <v>40.5</v>
      </c>
      <c r="L114" s="146" t="str" cm="1">
        <f t="array" ref="L114">Common_InputFunctions.Utility_DisplayArrayInTable(Fertiliser_SourceData.Fertiliser_Products_Data1(), FertiliserProducts[[#Headers],[Company]],1)</f>
        <v/>
      </c>
      <c r="M114" s="146" t="str" cm="1">
        <f t="array" ref="M114">Common_InputFunctions.Utility_DisplayArrayInTable(Fertiliser_SourceData.Fertiliser_Products_Data1(), FertiliserProducts[[#Headers],[Company]],1)</f>
        <v/>
      </c>
      <c r="N114" s="146" t="str" cm="1">
        <f t="array" ref="N114">Common_InputFunctions.Utility_DisplayArrayInTable(Fertiliser_SourceData.Fertiliser_Products_Data1(), FertiliserProducts[[#Headers],[Company]],1)</f>
        <v/>
      </c>
      <c r="O114" s="146" t="str" cm="1">
        <f t="array" ref="O114">Common_InputFunctions.Utility_DisplayArrayInTable(Fertiliser_SourceData.Fertiliser_Products_Data1(), FertiliserProducts[[#Headers],[Company]],1)</f>
        <v>Nitrogen - Ammoniacal</v>
      </c>
      <c r="P114" s="146" cm="1">
        <f t="array" ref="P114">Common_InputFunctions.Utility_DisplayArrayInTable(Fertiliser_SourceData.Fertiliser_Products_Data1(), FertiliserProducts[[#Headers],[Company]],1)</f>
        <v>0.27</v>
      </c>
      <c r="Q114" s="146" t="str" cm="1">
        <f t="array" ref="Q114">Common_InputFunctions.Utility_DisplayArrayInTable(Fertiliser_SourceData.Fertiliser_Products_Data1(), FertiliserProducts[[#Headers],[Company]],1)</f>
        <v>Nitrogen - Nitrate</v>
      </c>
      <c r="R114" s="146" cm="1">
        <f t="array" ref="R114">Common_InputFunctions.Utility_DisplayArrayInTable(Fertiliser_SourceData.Fertiliser_Products_Data1(), FertiliserProducts[[#Headers],[Company]],1)</f>
        <v>0.13500000000000001</v>
      </c>
      <c r="S114" s="146" t="str" cm="1">
        <f t="array" ref="S114">Common_InputFunctions.Utility_DisplayArrayInTable(Fertiliser_SourceData.Fertiliser_Products_Data1(), FertiliserProducts[[#Headers],[Company]],1)</f>
        <v>Calcium</v>
      </c>
      <c r="T114" s="146" cm="1">
        <f t="array" ref="T114">Common_InputFunctions.Utility_DisplayArrayInTable(Fertiliser_SourceData.Fertiliser_Products_Data1(), FertiliserProducts[[#Headers],[Company]],1)</f>
        <v>0.12</v>
      </c>
      <c r="U114" s="146" t="str" cm="1">
        <f t="array" ref="U114">Common_InputFunctions.Utility_DisplayArrayInTable(Fertiliser_SourceData.Fertiliser_Products_Data1(), FertiliserProducts[[#Headers],[Company]],1)</f>
        <v/>
      </c>
      <c r="V114" s="146" t="str" cm="1">
        <f t="array" ref="V114">Common_InputFunctions.Utility_DisplayArrayInTable(Fertiliser_SourceData.Fertiliser_Products_Data1(), FertiliserProducts[[#Headers],[Company]],1)</f>
        <v/>
      </c>
      <c r="W114" s="146" t="str" cm="1">
        <f t="array" ref="W114">Common_InputFunctions.Utility_DisplayArrayInTable(Fertiliser_SourceData.Fertiliser_Products_Data1(), FertiliserProducts[[#Headers],[Company]],1)</f>
        <v/>
      </c>
      <c r="X114" s="146" t="str" cm="1">
        <f t="array" ref="X114">Common_InputFunctions.Utility_DisplayArrayInTable(Fertiliser_SourceData.Fertiliser_Products_Data1(), FertiliserProducts[[#Headers],[Company]],1)</f>
        <v/>
      </c>
      <c r="Y114" s="146" t="str" cm="1">
        <f t="array" ref="Y114">Common_InputFunctions.Utility_DisplayArrayInTable(Fertiliser_SourceData.Fertiliser_Products_Data1(), FertiliserProducts[[#Headers],[Company]],1)</f>
        <v/>
      </c>
      <c r="Z114" s="146" t="str" cm="1">
        <f t="array" ref="Z114">Common_InputFunctions.Utility_DisplayArrayInTable(Fertiliser_SourceData.Fertiliser_Products_Data1(), FertiliserProducts[[#Headers],[Company]],1)</f>
        <v/>
      </c>
      <c r="AA114" s="146" t="str" cm="1">
        <f t="array" ref="AA114">Common_InputFunctions.Utility_DisplayArrayInTable(Fertiliser_SourceData.Fertiliser_Products_Data1(), FertiliserProducts[[#Headers],[Company]],1)</f>
        <v/>
      </c>
      <c r="AB114" s="146" t="str" cm="1">
        <f t="array" ref="AB114">Common_InputFunctions.Utility_DisplayArrayInTable(Fertiliser_SourceData.Fertiliser_Products_Data1(), FertiliserProducts[[#Headers],[Company]],1)</f>
        <v/>
      </c>
      <c r="AC114" s="146" t="str" cm="1">
        <f t="array" ref="AC114">Common_InputFunctions.Utility_DisplayArrayInTable(Fertiliser_SourceData.Fertiliser_Products_Data1(), FertiliserProducts[[#Headers],[Company]],1)</f>
        <v/>
      </c>
      <c r="AD114" s="146" t="str" cm="1">
        <f t="array" ref="AD114">Common_InputFunctions.Utility_DisplayArrayInTable(Fertiliser_SourceData.Fertiliser_Products_Data1(), FertiliserProducts[[#Headers],[Company]],1)</f>
        <v/>
      </c>
      <c r="AE114" s="146" t="str" cm="1">
        <f t="array" ref="AE114">Common_InputFunctions.Utility_DisplayArrayInTable(Fertiliser_SourceData.Fertiliser_Products_Data1(), FertiliserProducts[[#Headers],[Company]],1)</f>
        <v/>
      </c>
      <c r="AF114" s="146" t="str" cm="1">
        <f t="array" ref="AF114">Common_InputFunctions.Utility_DisplayArrayInTable(Fertiliser_SourceData.Fertiliser_Products_Data1(), FertiliserProducts[[#Headers],[Company]],1)</f>
        <v/>
      </c>
      <c r="AG114" s="146" t="str" cm="1">
        <f t="array" ref="AG114">Common_InputFunctions.Utility_DisplayArrayInTable(Fertiliser_SourceData.Fertiliser_Products_Data1(), FertiliserProducts[[#Headers],[Company]],1)</f>
        <v/>
      </c>
      <c r="AH114" s="146" t="str" cm="1">
        <f t="array" ref="AH114">Common_InputFunctions.Utility_DisplayArrayInTable(Fertiliser_SourceData.Fertiliser_Products_Data1(), FertiliserProducts[[#Headers],[Company]],1)</f>
        <v/>
      </c>
      <c r="AK114" s="1"/>
      <c r="AL114" s="1"/>
      <c r="AM114" s="1"/>
    </row>
    <row r="115" spans="1:39" ht="20.100000000000001" customHeight="1" x14ac:dyDescent="0.2">
      <c r="D115" s="146" t="str" cm="1">
        <f t="array" ref="D115">Common_InputFunctions.Utility_DisplayArrayInTable(Fertiliser_SourceData.Fertiliser_Products_Data1(), FertiliserProducts[[#Headers],[Company]],1)</f>
        <v>SL Tec</v>
      </c>
      <c r="E115" s="146" t="str" cm="1">
        <f t="array" ref="E115">Common_InputFunctions.Utility_DisplayArrayInTable(Fertiliser_SourceData.Fertiliser_Products_Data1(), FertiliserProducts[[#Headers],[Company]],1)</f>
        <v>CellCAL Plus</v>
      </c>
      <c r="F115" s="146" t="str" cm="1">
        <f t="array" ref="F115">Common_InputFunctions.Utility_DisplayArrayInTable(Fertiliser_SourceData.Fertiliser_Products_Data1(), FertiliserProducts[[#Headers],[Company]],1)</f>
        <v>L</v>
      </c>
      <c r="G115" s="146" cm="1">
        <f t="array" ref="G115">Common_InputFunctions.Utility_DisplayArrayInTable(Fertiliser_SourceData.Fertiliser_Products_Data1(), FertiliserProducts[[#Headers],[Company]],1)</f>
        <v>1.1379999999999999</v>
      </c>
      <c r="H115" s="146" t="str" cm="1">
        <f t="array" ref="H115">Common_InputFunctions.Utility_DisplayArrayInTable(Fertiliser_SourceData.Fertiliser_Products_Data1(), FertiliserProducts[[#Headers],[Company]],1)</f>
        <v/>
      </c>
      <c r="I115" s="146" t="str" cm="1">
        <f t="array" ref="I115">Common_InputFunctions.Utility_DisplayArrayInTable(Fertiliser_SourceData.Fertiliser_Products_Data1(), FertiliserProducts[[#Headers],[Company]],1)</f>
        <v/>
      </c>
      <c r="J115" s="146" t="str" cm="1">
        <f t="array" ref="J115">Common_InputFunctions.Utility_DisplayArrayInTable(Fertiliser_SourceData.Fertiliser_Products_Data1(), FertiliserProducts[[#Headers],[Company]],1)</f>
        <v/>
      </c>
      <c r="K115" s="146" t="str" cm="1">
        <f t="array" ref="K115">Common_InputFunctions.Utility_DisplayArrayInTable(Fertiliser_SourceData.Fertiliser_Products_Data1(), FertiliserProducts[[#Headers],[Company]],1)</f>
        <v/>
      </c>
      <c r="L115" s="146" t="str" cm="1">
        <f t="array" ref="L115">Common_InputFunctions.Utility_DisplayArrayInTable(Fertiliser_SourceData.Fertiliser_Products_Data1(), FertiliserProducts[[#Headers],[Company]],1)</f>
        <v/>
      </c>
      <c r="M115" s="146" t="str" cm="1">
        <f t="array" ref="M115">Common_InputFunctions.Utility_DisplayArrayInTable(Fertiliser_SourceData.Fertiliser_Products_Data1(), FertiliserProducts[[#Headers],[Company]],1)</f>
        <v/>
      </c>
      <c r="N115" s="146" t="str" cm="1">
        <f t="array" ref="N115">Common_InputFunctions.Utility_DisplayArrayInTable(Fertiliser_SourceData.Fertiliser_Products_Data1(), FertiliserProducts[[#Headers],[Company]],1)</f>
        <v/>
      </c>
      <c r="O115" s="146" t="str" cm="1">
        <f t="array" ref="O115">Common_InputFunctions.Utility_DisplayArrayInTable(Fertiliser_SourceData.Fertiliser_Products_Data1(), FertiliserProducts[[#Headers],[Company]],1)</f>
        <v>Calcium</v>
      </c>
      <c r="P115" s="146" cm="1">
        <f t="array" ref="P115">Common_InputFunctions.Utility_DisplayArrayInTable(Fertiliser_SourceData.Fertiliser_Products_Data1(), FertiliserProducts[[#Headers],[Company]],1)</f>
        <v>5.8999999999999997E-2</v>
      </c>
      <c r="Q115" s="146" t="str" cm="1">
        <f t="array" ref="Q115">Common_InputFunctions.Utility_DisplayArrayInTable(Fertiliser_SourceData.Fertiliser_Products_Data1(), FertiliserProducts[[#Headers],[Company]],1)</f>
        <v>Copper</v>
      </c>
      <c r="R115" s="146" cm="1">
        <f t="array" ref="R115">Common_InputFunctions.Utility_DisplayArrayInTable(Fertiliser_SourceData.Fertiliser_Products_Data1(), FertiliserProducts[[#Headers],[Company]],1)</f>
        <v>3.0000000000000001E-3</v>
      </c>
      <c r="S115" s="146" t="str" cm="1">
        <f t="array" ref="S115">Common_InputFunctions.Utility_DisplayArrayInTable(Fertiliser_SourceData.Fertiliser_Products_Data1(), FertiliserProducts[[#Headers],[Company]],1)</f>
        <v>Boron</v>
      </c>
      <c r="T115" s="146" cm="1">
        <f t="array" ref="T115">Common_InputFunctions.Utility_DisplayArrayInTable(Fertiliser_SourceData.Fertiliser_Products_Data1(), FertiliserProducts[[#Headers],[Company]],1)</f>
        <v>1E-3</v>
      </c>
      <c r="U115" s="146" t="str" cm="1">
        <f t="array" ref="U115">Common_InputFunctions.Utility_DisplayArrayInTable(Fertiliser_SourceData.Fertiliser_Products_Data1(), FertiliserProducts[[#Headers],[Company]],1)</f>
        <v/>
      </c>
      <c r="V115" s="146" t="str" cm="1">
        <f t="array" ref="V115">Common_InputFunctions.Utility_DisplayArrayInTable(Fertiliser_SourceData.Fertiliser_Products_Data1(), FertiliserProducts[[#Headers],[Company]],1)</f>
        <v/>
      </c>
      <c r="W115" s="146" t="str" cm="1">
        <f t="array" ref="W115">Common_InputFunctions.Utility_DisplayArrayInTable(Fertiliser_SourceData.Fertiliser_Products_Data1(), FertiliserProducts[[#Headers],[Company]],1)</f>
        <v/>
      </c>
      <c r="X115" s="146" t="str" cm="1">
        <f t="array" ref="X115">Common_InputFunctions.Utility_DisplayArrayInTable(Fertiliser_SourceData.Fertiliser_Products_Data1(), FertiliserProducts[[#Headers],[Company]],1)</f>
        <v/>
      </c>
      <c r="Y115" s="146" t="str" cm="1">
        <f t="array" ref="Y115">Common_InputFunctions.Utility_DisplayArrayInTable(Fertiliser_SourceData.Fertiliser_Products_Data1(), FertiliserProducts[[#Headers],[Company]],1)</f>
        <v/>
      </c>
      <c r="Z115" s="146" t="str" cm="1">
        <f t="array" ref="Z115">Common_InputFunctions.Utility_DisplayArrayInTable(Fertiliser_SourceData.Fertiliser_Products_Data1(), FertiliserProducts[[#Headers],[Company]],1)</f>
        <v/>
      </c>
      <c r="AA115" s="146" t="str" cm="1">
        <f t="array" ref="AA115">Common_InputFunctions.Utility_DisplayArrayInTable(Fertiliser_SourceData.Fertiliser_Products_Data1(), FertiliserProducts[[#Headers],[Company]],1)</f>
        <v/>
      </c>
      <c r="AB115" s="146" t="str" cm="1">
        <f t="array" ref="AB115">Common_InputFunctions.Utility_DisplayArrayInTable(Fertiliser_SourceData.Fertiliser_Products_Data1(), FertiliserProducts[[#Headers],[Company]],1)</f>
        <v/>
      </c>
      <c r="AC115" s="146" t="str" cm="1">
        <f t="array" ref="AC115">Common_InputFunctions.Utility_DisplayArrayInTable(Fertiliser_SourceData.Fertiliser_Products_Data1(), FertiliserProducts[[#Headers],[Company]],1)</f>
        <v/>
      </c>
      <c r="AD115" s="146" t="str" cm="1">
        <f t="array" ref="AD115">Common_InputFunctions.Utility_DisplayArrayInTable(Fertiliser_SourceData.Fertiliser_Products_Data1(), FertiliserProducts[[#Headers],[Company]],1)</f>
        <v/>
      </c>
      <c r="AE115" s="146" t="str" cm="1">
        <f t="array" ref="AE115">Common_InputFunctions.Utility_DisplayArrayInTable(Fertiliser_SourceData.Fertiliser_Products_Data1(), FertiliserProducts[[#Headers],[Company]],1)</f>
        <v/>
      </c>
      <c r="AF115" s="146" t="str" cm="1">
        <f t="array" ref="AF115">Common_InputFunctions.Utility_DisplayArrayInTable(Fertiliser_SourceData.Fertiliser_Products_Data1(), FertiliserProducts[[#Headers],[Company]],1)</f>
        <v/>
      </c>
      <c r="AG115" s="146" t="str" cm="1">
        <f t="array" ref="AG115">Common_InputFunctions.Utility_DisplayArrayInTable(Fertiliser_SourceData.Fertiliser_Products_Data1(), FertiliserProducts[[#Headers],[Company]],1)</f>
        <v/>
      </c>
      <c r="AH115" s="146" t="str" cm="1">
        <f t="array" ref="AH115">Common_InputFunctions.Utility_DisplayArrayInTable(Fertiliser_SourceData.Fertiliser_Products_Data1(), FertiliserProducts[[#Headers],[Company]],1)</f>
        <v/>
      </c>
      <c r="AK115" s="1"/>
      <c r="AL115" s="1"/>
      <c r="AM115" s="1"/>
    </row>
    <row r="116" spans="1:39" ht="20.100000000000001" customHeight="1" x14ac:dyDescent="0.2">
      <c r="D116" s="146" t="str" cm="1">
        <f t="array" ref="D116">Common_InputFunctions.Utility_DisplayArrayInTable(Fertiliser_SourceData.Fertiliser_Products_Data1(), FertiliserProducts[[#Headers],[Company]],1)</f>
        <v>Incitec Pivot Fertilisers</v>
      </c>
      <c r="E116" s="146" t="str" cm="1">
        <f t="array" ref="E116">Common_InputFunctions.Utility_DisplayArrayInTable(Fertiliser_SourceData.Fertiliser_Products_Data1(), FertiliserProducts[[#Headers],[Company]],1)</f>
        <v>CK55</v>
      </c>
      <c r="F116" s="146" t="str" cm="1">
        <f t="array" ref="F116">Common_InputFunctions.Utility_DisplayArrayInTable(Fertiliser_SourceData.Fertiliser_Products_Data1(), FertiliserProducts[[#Headers],[Company]],1)</f>
        <v>kg</v>
      </c>
      <c r="G116" s="146" cm="1">
        <f t="array" ref="G116">Common_InputFunctions.Utility_DisplayArrayInTable(Fertiliser_SourceData.Fertiliser_Products_Data1(), FertiliserProducts[[#Headers],[Company]],1)</f>
        <v>1</v>
      </c>
      <c r="H116" s="146" t="str" cm="1">
        <f t="array" ref="H116">Common_InputFunctions.Utility_DisplayArrayInTable(Fertiliser_SourceData.Fertiliser_Products_Data1(), FertiliserProducts[[#Headers],[Company]],1)</f>
        <v/>
      </c>
      <c r="I116" s="146" t="str" cm="1">
        <f t="array" ref="I116">Common_InputFunctions.Utility_DisplayArrayInTable(Fertiliser_SourceData.Fertiliser_Products_Data1(), FertiliserProducts[[#Headers],[Company]],1)</f>
        <v/>
      </c>
      <c r="J116" s="146" t="str" cm="1">
        <f t="array" ref="J116">Common_InputFunctions.Utility_DisplayArrayInTable(Fertiliser_SourceData.Fertiliser_Products_Data1(), FertiliserProducts[[#Headers],[Company]],1)</f>
        <v/>
      </c>
      <c r="K116" s="146" cm="1">
        <f t="array" ref="K116">Common_InputFunctions.Utility_DisplayArrayInTable(Fertiliser_SourceData.Fertiliser_Products_Data1(), FertiliserProducts[[#Headers],[Company]],1)</f>
        <v>13.5</v>
      </c>
      <c r="L116" s="146" cm="1">
        <f t="array" ref="L116">Common_InputFunctions.Utility_DisplayArrayInTable(Fertiliser_SourceData.Fertiliser_Products_Data1(), FertiliserProducts[[#Headers],[Company]],1)</f>
        <v>15</v>
      </c>
      <c r="M116" s="146" cm="1">
        <f t="array" ref="M116">Common_InputFunctions.Utility_DisplayArrayInTable(Fertiliser_SourceData.Fertiliser_Products_Data1(), FertiliserProducts[[#Headers],[Company]],1)</f>
        <v>6.25</v>
      </c>
      <c r="N116" s="146" cm="1">
        <f t="array" ref="N116">Common_InputFunctions.Utility_DisplayArrayInTable(Fertiliser_SourceData.Fertiliser_Products_Data1(), FertiliserProducts[[#Headers],[Company]],1)</f>
        <v>1.2</v>
      </c>
      <c r="O116" s="146" t="str" cm="1">
        <f t="array" ref="O116">Common_InputFunctions.Utility_DisplayArrayInTable(Fertiliser_SourceData.Fertiliser_Products_Data1(), FertiliserProducts[[#Headers],[Company]],1)</f>
        <v>Phosphorus - Generic</v>
      </c>
      <c r="P116" s="146" cm="1">
        <f t="array" ref="P116">Common_InputFunctions.Utility_DisplayArrayInTable(Fertiliser_SourceData.Fertiliser_Products_Data1(), FertiliserProducts[[#Headers],[Company]],1)</f>
        <v>0.15</v>
      </c>
      <c r="Q116" s="146" t="str" cm="1">
        <f t="array" ref="Q116">Common_InputFunctions.Utility_DisplayArrayInTable(Fertiliser_SourceData.Fertiliser_Products_Data1(), FertiliserProducts[[#Headers],[Company]],1)</f>
        <v>Nitrogen - Ammoniacal</v>
      </c>
      <c r="R116" s="146" cm="1">
        <f t="array" ref="R116">Common_InputFunctions.Utility_DisplayArrayInTable(Fertiliser_SourceData.Fertiliser_Products_Data1(), FertiliserProducts[[#Headers],[Company]],1)</f>
        <v>0.13500000000000001</v>
      </c>
      <c r="S116" s="146" t="str" cm="1">
        <f t="array" ref="S116">Common_InputFunctions.Utility_DisplayArrayInTable(Fertiliser_SourceData.Fertiliser_Products_Data1(), FertiliserProducts[[#Headers],[Company]],1)</f>
        <v>Muriate of potash (MOP)</v>
      </c>
      <c r="T116" s="146" cm="1">
        <f t="array" ref="T116">Common_InputFunctions.Utility_DisplayArrayInTable(Fertiliser_SourceData.Fertiliser_Products_Data1(), FertiliserProducts[[#Headers],[Company]],1)</f>
        <v>0.125</v>
      </c>
      <c r="U116" s="146" t="str" cm="1">
        <f t="array" ref="U116">Common_InputFunctions.Utility_DisplayArrayInTable(Fertiliser_SourceData.Fertiliser_Products_Data1(), FertiliserProducts[[#Headers],[Company]],1)</f>
        <v>Fluoride</v>
      </c>
      <c r="V116" s="146" cm="1">
        <f t="array" ref="V116">Common_InputFunctions.Utility_DisplayArrayInTable(Fertiliser_SourceData.Fertiliser_Products_Data1(), FertiliserProducts[[#Headers],[Company]],1)</f>
        <v>2.3E-2</v>
      </c>
      <c r="W116" s="146" t="str" cm="1">
        <f t="array" ref="W116">Common_InputFunctions.Utility_DisplayArrayInTable(Fertiliser_SourceData.Fertiliser_Products_Data1(), FertiliserProducts[[#Headers],[Company]],1)</f>
        <v>Sulfur - Generic</v>
      </c>
      <c r="X116" s="146" cm="1">
        <f t="array" ref="X116">Common_InputFunctions.Utility_DisplayArrayInTable(Fertiliser_SourceData.Fertiliser_Products_Data1(), FertiliserProducts[[#Headers],[Company]],1)</f>
        <v>1.2E-2</v>
      </c>
      <c r="Y116" s="146" t="str" cm="1">
        <f t="array" ref="Y116">Common_InputFunctions.Utility_DisplayArrayInTable(Fertiliser_SourceData.Fertiliser_Products_Data1(), FertiliserProducts[[#Headers],[Company]],1)</f>
        <v/>
      </c>
      <c r="Z116" s="146" t="str" cm="1">
        <f t="array" ref="Z116">Common_InputFunctions.Utility_DisplayArrayInTable(Fertiliser_SourceData.Fertiliser_Products_Data1(), FertiliserProducts[[#Headers],[Company]],1)</f>
        <v/>
      </c>
      <c r="AA116" s="146" t="str" cm="1">
        <f t="array" ref="AA116">Common_InputFunctions.Utility_DisplayArrayInTable(Fertiliser_SourceData.Fertiliser_Products_Data1(), FertiliserProducts[[#Headers],[Company]],1)</f>
        <v/>
      </c>
      <c r="AB116" s="146" t="str" cm="1">
        <f t="array" ref="AB116">Common_InputFunctions.Utility_DisplayArrayInTable(Fertiliser_SourceData.Fertiliser_Products_Data1(), FertiliserProducts[[#Headers],[Company]],1)</f>
        <v/>
      </c>
      <c r="AC116" s="146" t="str" cm="1">
        <f t="array" ref="AC116">Common_InputFunctions.Utility_DisplayArrayInTable(Fertiliser_SourceData.Fertiliser_Products_Data1(), FertiliserProducts[[#Headers],[Company]],1)</f>
        <v/>
      </c>
      <c r="AD116" s="146" t="str" cm="1">
        <f t="array" ref="AD116">Common_InputFunctions.Utility_DisplayArrayInTable(Fertiliser_SourceData.Fertiliser_Products_Data1(), FertiliserProducts[[#Headers],[Company]],1)</f>
        <v/>
      </c>
      <c r="AE116" s="146" t="str" cm="1">
        <f t="array" ref="AE116">Common_InputFunctions.Utility_DisplayArrayInTable(Fertiliser_SourceData.Fertiliser_Products_Data1(), FertiliserProducts[[#Headers],[Company]],1)</f>
        <v/>
      </c>
      <c r="AF116" s="146" t="str" cm="1">
        <f t="array" ref="AF116">Common_InputFunctions.Utility_DisplayArrayInTable(Fertiliser_SourceData.Fertiliser_Products_Data1(), FertiliserProducts[[#Headers],[Company]],1)</f>
        <v/>
      </c>
      <c r="AG116" s="146" t="str" cm="1">
        <f t="array" ref="AG116">Common_InputFunctions.Utility_DisplayArrayInTable(Fertiliser_SourceData.Fertiliser_Products_Data1(), FertiliserProducts[[#Headers],[Company]],1)</f>
        <v/>
      </c>
      <c r="AH116" s="146" t="str" cm="1">
        <f t="array" ref="AH116">Common_InputFunctions.Utility_DisplayArrayInTable(Fertiliser_SourceData.Fertiliser_Products_Data1(), FertiliserProducts[[#Headers],[Company]],1)</f>
        <v/>
      </c>
      <c r="AK116" s="1"/>
      <c r="AL116" s="1"/>
      <c r="AM116" s="1"/>
    </row>
    <row r="117" spans="1:39" ht="20.100000000000001" customHeight="1" x14ac:dyDescent="0.2">
      <c r="D117" s="146" t="str" cm="1">
        <f t="array" ref="D117">Common_InputFunctions.Utility_DisplayArrayInTable(Fertiliser_SourceData.Fertiliser_Products_Data1(), FertiliserProducts[[#Headers],[Company]],1)</f>
        <v>Switch Ag</v>
      </c>
      <c r="E117" s="146" t="str" cm="1">
        <f t="array" ref="E117">Common_InputFunctions.Utility_DisplayArrayInTable(Fertiliser_SourceData.Fertiliser_Products_Data1(), FertiliserProducts[[#Headers],[Company]],1)</f>
        <v>Crop K</v>
      </c>
      <c r="F117" s="146" t="str" cm="1">
        <f t="array" ref="F117">Common_InputFunctions.Utility_DisplayArrayInTable(Fertiliser_SourceData.Fertiliser_Products_Data1(), FertiliserProducts[[#Headers],[Company]],1)</f>
        <v>L</v>
      </c>
      <c r="G117" s="146" cm="1">
        <f t="array" ref="G117">Common_InputFunctions.Utility_DisplayArrayInTable(Fertiliser_SourceData.Fertiliser_Products_Data1(), FertiliserProducts[[#Headers],[Company]],1)</f>
        <v>1.25</v>
      </c>
      <c r="H117" s="146" t="str" cm="1">
        <f t="array" ref="H117">Common_InputFunctions.Utility_DisplayArrayInTable(Fertiliser_SourceData.Fertiliser_Products_Data1(), FertiliserProducts[[#Headers],[Company]],1)</f>
        <v/>
      </c>
      <c r="I117" s="146" t="str" cm="1">
        <f t="array" ref="I117">Common_InputFunctions.Utility_DisplayArrayInTable(Fertiliser_SourceData.Fertiliser_Products_Data1(), FertiliserProducts[[#Headers],[Company]],1)</f>
        <v/>
      </c>
      <c r="J117" s="146" t="str" cm="1">
        <f t="array" ref="J117">Common_InputFunctions.Utility_DisplayArrayInTable(Fertiliser_SourceData.Fertiliser_Products_Data1(), FertiliserProducts[[#Headers],[Company]],1)</f>
        <v/>
      </c>
      <c r="K117" s="146" cm="1">
        <f t="array" ref="K117">Common_InputFunctions.Utility_DisplayArrayInTable(Fertiliser_SourceData.Fertiliser_Products_Data1(), FertiliserProducts[[#Headers],[Company]],1)</f>
        <v>3</v>
      </c>
      <c r="L117" s="146" t="str" cm="1">
        <f t="array" ref="L117">Common_InputFunctions.Utility_DisplayArrayInTable(Fertiliser_SourceData.Fertiliser_Products_Data1(), FertiliserProducts[[#Headers],[Company]],1)</f>
        <v/>
      </c>
      <c r="M117" s="146" cm="1">
        <f t="array" ref="M117">Common_InputFunctions.Utility_DisplayArrayInTable(Fertiliser_SourceData.Fertiliser_Products_Data1(), FertiliserProducts[[#Headers],[Company]],1)</f>
        <v>21</v>
      </c>
      <c r="N117" s="146" t="str" cm="1">
        <f t="array" ref="N117">Common_InputFunctions.Utility_DisplayArrayInTable(Fertiliser_SourceData.Fertiliser_Products_Data1(), FertiliserProducts[[#Headers],[Company]],1)</f>
        <v/>
      </c>
      <c r="O117" s="146" t="str" cm="1">
        <f t="array" ref="O117">Common_InputFunctions.Utility_DisplayArrayInTable(Fertiliser_SourceData.Fertiliser_Products_Data1(), FertiliserProducts[[#Headers],[Company]],1)</f>
        <v>Potassium - Generic</v>
      </c>
      <c r="P117" s="146" cm="1">
        <f t="array" ref="P117">Common_InputFunctions.Utility_DisplayArrayInTable(Fertiliser_SourceData.Fertiliser_Products_Data1(), FertiliserProducts[[#Headers],[Company]],1)</f>
        <v>0.21</v>
      </c>
      <c r="Q117" s="146" t="str" cm="1">
        <f t="array" ref="Q117">Common_InputFunctions.Utility_DisplayArrayInTable(Fertiliser_SourceData.Fertiliser_Products_Data1(), FertiliserProducts[[#Headers],[Company]],1)</f>
        <v>Nitrogen - Generic</v>
      </c>
      <c r="R117" s="146" cm="1">
        <f t="array" ref="R117">Common_InputFunctions.Utility_DisplayArrayInTable(Fertiliser_SourceData.Fertiliser_Products_Data1(), FertiliserProducts[[#Headers],[Company]],1)</f>
        <v>0.03</v>
      </c>
      <c r="S117" s="146" t="str" cm="1">
        <f t="array" ref="S117">Common_InputFunctions.Utility_DisplayArrayInTable(Fertiliser_SourceData.Fertiliser_Products_Data1(), FertiliserProducts[[#Headers],[Company]],1)</f>
        <v/>
      </c>
      <c r="T117" s="146" t="str" cm="1">
        <f t="array" ref="T117">Common_InputFunctions.Utility_DisplayArrayInTable(Fertiliser_SourceData.Fertiliser_Products_Data1(), FertiliserProducts[[#Headers],[Company]],1)</f>
        <v/>
      </c>
      <c r="U117" s="146" t="str" cm="1">
        <f t="array" ref="U117">Common_InputFunctions.Utility_DisplayArrayInTable(Fertiliser_SourceData.Fertiliser_Products_Data1(), FertiliserProducts[[#Headers],[Company]],1)</f>
        <v/>
      </c>
      <c r="V117" s="146" t="str" cm="1">
        <f t="array" ref="V117">Common_InputFunctions.Utility_DisplayArrayInTable(Fertiliser_SourceData.Fertiliser_Products_Data1(), FertiliserProducts[[#Headers],[Company]],1)</f>
        <v/>
      </c>
      <c r="W117" s="146" t="str" cm="1">
        <f t="array" ref="W117">Common_InputFunctions.Utility_DisplayArrayInTable(Fertiliser_SourceData.Fertiliser_Products_Data1(), FertiliserProducts[[#Headers],[Company]],1)</f>
        <v/>
      </c>
      <c r="X117" s="146" t="str" cm="1">
        <f t="array" ref="X117">Common_InputFunctions.Utility_DisplayArrayInTable(Fertiliser_SourceData.Fertiliser_Products_Data1(), FertiliserProducts[[#Headers],[Company]],1)</f>
        <v/>
      </c>
      <c r="Y117" s="146" t="str" cm="1">
        <f t="array" ref="Y117">Common_InputFunctions.Utility_DisplayArrayInTable(Fertiliser_SourceData.Fertiliser_Products_Data1(), FertiliserProducts[[#Headers],[Company]],1)</f>
        <v/>
      </c>
      <c r="Z117" s="146" t="str" cm="1">
        <f t="array" ref="Z117">Common_InputFunctions.Utility_DisplayArrayInTable(Fertiliser_SourceData.Fertiliser_Products_Data1(), FertiliserProducts[[#Headers],[Company]],1)</f>
        <v/>
      </c>
      <c r="AA117" s="146" t="str" cm="1">
        <f t="array" ref="AA117">Common_InputFunctions.Utility_DisplayArrayInTable(Fertiliser_SourceData.Fertiliser_Products_Data1(), FertiliserProducts[[#Headers],[Company]],1)</f>
        <v/>
      </c>
      <c r="AB117" s="146" t="str" cm="1">
        <f t="array" ref="AB117">Common_InputFunctions.Utility_DisplayArrayInTable(Fertiliser_SourceData.Fertiliser_Products_Data1(), FertiliserProducts[[#Headers],[Company]],1)</f>
        <v/>
      </c>
      <c r="AC117" s="146" t="str" cm="1">
        <f t="array" ref="AC117">Common_InputFunctions.Utility_DisplayArrayInTable(Fertiliser_SourceData.Fertiliser_Products_Data1(), FertiliserProducts[[#Headers],[Company]],1)</f>
        <v/>
      </c>
      <c r="AD117" s="146" t="str" cm="1">
        <f t="array" ref="AD117">Common_InputFunctions.Utility_DisplayArrayInTable(Fertiliser_SourceData.Fertiliser_Products_Data1(), FertiliserProducts[[#Headers],[Company]],1)</f>
        <v/>
      </c>
      <c r="AE117" s="146" t="str" cm="1">
        <f t="array" ref="AE117">Common_InputFunctions.Utility_DisplayArrayInTable(Fertiliser_SourceData.Fertiliser_Products_Data1(), FertiliserProducts[[#Headers],[Company]],1)</f>
        <v/>
      </c>
      <c r="AF117" s="146" t="str" cm="1">
        <f t="array" ref="AF117">Common_InputFunctions.Utility_DisplayArrayInTable(Fertiliser_SourceData.Fertiliser_Products_Data1(), FertiliserProducts[[#Headers],[Company]],1)</f>
        <v/>
      </c>
      <c r="AG117" s="146" t="str" cm="1">
        <f t="array" ref="AG117">Common_InputFunctions.Utility_DisplayArrayInTable(Fertiliser_SourceData.Fertiliser_Products_Data1(), FertiliserProducts[[#Headers],[Company]],1)</f>
        <v/>
      </c>
      <c r="AH117" s="146" t="str" cm="1">
        <f t="array" ref="AH117">Common_InputFunctions.Utility_DisplayArrayInTable(Fertiliser_SourceData.Fertiliser_Products_Data1(), FertiliserProducts[[#Headers],[Company]],1)</f>
        <v/>
      </c>
      <c r="AK117" s="1"/>
      <c r="AL117" s="1"/>
      <c r="AM117" s="1"/>
    </row>
    <row r="118" spans="1:39" ht="20.100000000000001" customHeight="1" x14ac:dyDescent="0.2">
      <c r="D118" s="146" t="str" cm="1">
        <f t="array" ref="D118">Common_InputFunctions.Utility_DisplayArrayInTable(Fertiliser_SourceData.Fertiliser_Products_Data1(), FertiliserProducts[[#Headers],[Company]],1)</f>
        <v>Switch Ag</v>
      </c>
      <c r="E118" s="146" t="str" cm="1">
        <f t="array" ref="E118">Common_InputFunctions.Utility_DisplayArrayInTable(Fertiliser_SourceData.Fertiliser_Products_Data1(), FertiliserProducts[[#Headers],[Company]],1)</f>
        <v>Crop Starter</v>
      </c>
      <c r="F118" s="146" t="str" cm="1">
        <f t="array" ref="F118">Common_InputFunctions.Utility_DisplayArrayInTable(Fertiliser_SourceData.Fertiliser_Products_Data1(), FertiliserProducts[[#Headers],[Company]],1)</f>
        <v>L</v>
      </c>
      <c r="G118" s="146" cm="1">
        <f t="array" ref="G118">Common_InputFunctions.Utility_DisplayArrayInTable(Fertiliser_SourceData.Fertiliser_Products_Data1(), FertiliserProducts[[#Headers],[Company]],1)</f>
        <v>1.2</v>
      </c>
      <c r="H118" s="146" t="str" cm="1">
        <f t="array" ref="H118">Common_InputFunctions.Utility_DisplayArrayInTable(Fertiliser_SourceData.Fertiliser_Products_Data1(), FertiliserProducts[[#Headers],[Company]],1)</f>
        <v/>
      </c>
      <c r="I118" s="146" t="str" cm="1">
        <f t="array" ref="I118">Common_InputFunctions.Utility_DisplayArrayInTable(Fertiliser_SourceData.Fertiliser_Products_Data1(), FertiliserProducts[[#Headers],[Company]],1)</f>
        <v/>
      </c>
      <c r="J118" s="146" t="str" cm="1">
        <f t="array" ref="J118">Common_InputFunctions.Utility_DisplayArrayInTable(Fertiliser_SourceData.Fertiliser_Products_Data1(), FertiliserProducts[[#Headers],[Company]],1)</f>
        <v/>
      </c>
      <c r="K118" s="146" cm="1">
        <f t="array" ref="K118">Common_InputFunctions.Utility_DisplayArrayInTable(Fertiliser_SourceData.Fertiliser_Products_Data1(), FertiliserProducts[[#Headers],[Company]],1)</f>
        <v>5</v>
      </c>
      <c r="L118" s="146" cm="1">
        <f t="array" ref="L118">Common_InputFunctions.Utility_DisplayArrayInTable(Fertiliser_SourceData.Fertiliser_Products_Data1(), FertiliserProducts[[#Headers],[Company]],1)</f>
        <v>3</v>
      </c>
      <c r="M118" s="146" cm="1">
        <f t="array" ref="M118">Common_InputFunctions.Utility_DisplayArrayInTable(Fertiliser_SourceData.Fertiliser_Products_Data1(), FertiliserProducts[[#Headers],[Company]],1)</f>
        <v>8</v>
      </c>
      <c r="N118" s="146" t="str" cm="1">
        <f t="array" ref="N118">Common_InputFunctions.Utility_DisplayArrayInTable(Fertiliser_SourceData.Fertiliser_Products_Data1(), FertiliserProducts[[#Headers],[Company]],1)</f>
        <v/>
      </c>
      <c r="O118" s="146" t="str" cm="1">
        <f t="array" ref="O118">Common_InputFunctions.Utility_DisplayArrayInTable(Fertiliser_SourceData.Fertiliser_Products_Data1(), FertiliserProducts[[#Headers],[Company]],1)</f>
        <v>Potassium - Generic</v>
      </c>
      <c r="P118" s="146" cm="1">
        <f t="array" ref="P118">Common_InputFunctions.Utility_DisplayArrayInTable(Fertiliser_SourceData.Fertiliser_Products_Data1(), FertiliserProducts[[#Headers],[Company]],1)</f>
        <v>0.08</v>
      </c>
      <c r="Q118" s="146" t="str" cm="1">
        <f t="array" ref="Q118">Common_InputFunctions.Utility_DisplayArrayInTable(Fertiliser_SourceData.Fertiliser_Products_Data1(), FertiliserProducts[[#Headers],[Company]],1)</f>
        <v>Nitrogen - Generic</v>
      </c>
      <c r="R118" s="146" cm="1">
        <f t="array" ref="R118">Common_InputFunctions.Utility_DisplayArrayInTable(Fertiliser_SourceData.Fertiliser_Products_Data1(), FertiliserProducts[[#Headers],[Company]],1)</f>
        <v>0.05</v>
      </c>
      <c r="S118" s="146" t="str" cm="1">
        <f t="array" ref="S118">Common_InputFunctions.Utility_DisplayArrayInTable(Fertiliser_SourceData.Fertiliser_Products_Data1(), FertiliserProducts[[#Headers],[Company]],1)</f>
        <v>Phosphorus - Generic</v>
      </c>
      <c r="T118" s="146" cm="1">
        <f t="array" ref="T118">Common_InputFunctions.Utility_DisplayArrayInTable(Fertiliser_SourceData.Fertiliser_Products_Data1(), FertiliserProducts[[#Headers],[Company]],1)</f>
        <v>0.03</v>
      </c>
      <c r="U118" s="146" t="str" cm="1">
        <f t="array" ref="U118">Common_InputFunctions.Utility_DisplayArrayInTable(Fertiliser_SourceData.Fertiliser_Products_Data1(), FertiliserProducts[[#Headers],[Company]],1)</f>
        <v/>
      </c>
      <c r="V118" s="146" t="str" cm="1">
        <f t="array" ref="V118">Common_InputFunctions.Utility_DisplayArrayInTable(Fertiliser_SourceData.Fertiliser_Products_Data1(), FertiliserProducts[[#Headers],[Company]],1)</f>
        <v/>
      </c>
      <c r="W118" s="146" t="str" cm="1">
        <f t="array" ref="W118">Common_InputFunctions.Utility_DisplayArrayInTable(Fertiliser_SourceData.Fertiliser_Products_Data1(), FertiliserProducts[[#Headers],[Company]],1)</f>
        <v/>
      </c>
      <c r="X118" s="146" t="str" cm="1">
        <f t="array" ref="X118">Common_InputFunctions.Utility_DisplayArrayInTable(Fertiliser_SourceData.Fertiliser_Products_Data1(), FertiliserProducts[[#Headers],[Company]],1)</f>
        <v/>
      </c>
      <c r="Y118" s="146" t="str" cm="1">
        <f t="array" ref="Y118">Common_InputFunctions.Utility_DisplayArrayInTable(Fertiliser_SourceData.Fertiliser_Products_Data1(), FertiliserProducts[[#Headers],[Company]],1)</f>
        <v/>
      </c>
      <c r="Z118" s="146" t="str" cm="1">
        <f t="array" ref="Z118">Common_InputFunctions.Utility_DisplayArrayInTable(Fertiliser_SourceData.Fertiliser_Products_Data1(), FertiliserProducts[[#Headers],[Company]],1)</f>
        <v/>
      </c>
      <c r="AA118" s="146" t="str" cm="1">
        <f t="array" ref="AA118">Common_InputFunctions.Utility_DisplayArrayInTable(Fertiliser_SourceData.Fertiliser_Products_Data1(), FertiliserProducts[[#Headers],[Company]],1)</f>
        <v/>
      </c>
      <c r="AB118" s="146" t="str" cm="1">
        <f t="array" ref="AB118">Common_InputFunctions.Utility_DisplayArrayInTable(Fertiliser_SourceData.Fertiliser_Products_Data1(), FertiliserProducts[[#Headers],[Company]],1)</f>
        <v/>
      </c>
      <c r="AC118" s="146" t="str" cm="1">
        <f t="array" ref="AC118">Common_InputFunctions.Utility_DisplayArrayInTable(Fertiliser_SourceData.Fertiliser_Products_Data1(), FertiliserProducts[[#Headers],[Company]],1)</f>
        <v/>
      </c>
      <c r="AD118" s="146" t="str" cm="1">
        <f t="array" ref="AD118">Common_InputFunctions.Utility_DisplayArrayInTable(Fertiliser_SourceData.Fertiliser_Products_Data1(), FertiliserProducts[[#Headers],[Company]],1)</f>
        <v/>
      </c>
      <c r="AE118" s="146" t="str" cm="1">
        <f t="array" ref="AE118">Common_InputFunctions.Utility_DisplayArrayInTable(Fertiliser_SourceData.Fertiliser_Products_Data1(), FertiliserProducts[[#Headers],[Company]],1)</f>
        <v/>
      </c>
      <c r="AF118" s="146" t="str" cm="1">
        <f t="array" ref="AF118">Common_InputFunctions.Utility_DisplayArrayInTable(Fertiliser_SourceData.Fertiliser_Products_Data1(), FertiliserProducts[[#Headers],[Company]],1)</f>
        <v/>
      </c>
      <c r="AG118" s="146" t="str" cm="1">
        <f t="array" ref="AG118">Common_InputFunctions.Utility_DisplayArrayInTable(Fertiliser_SourceData.Fertiliser_Products_Data1(), FertiliserProducts[[#Headers],[Company]],1)</f>
        <v/>
      </c>
      <c r="AH118" s="146" t="str" cm="1">
        <f t="array" ref="AH118">Common_InputFunctions.Utility_DisplayArrayInTable(Fertiliser_SourceData.Fertiliser_Products_Data1(), FertiliserProducts[[#Headers],[Company]],1)</f>
        <v/>
      </c>
      <c r="AK118" s="1"/>
      <c r="AL118" s="1"/>
      <c r="AM118" s="1"/>
    </row>
    <row r="119" spans="1:39" ht="20.100000000000001" customHeight="1" x14ac:dyDescent="0.2">
      <c r="D119" s="146" t="str" cm="1">
        <f t="array" ref="D119">Common_InputFunctions.Utility_DisplayArrayInTable(Fertiliser_SourceData.Fertiliser_Products_Data1(), FertiliserProducts[[#Headers],[Company]],1)</f>
        <v>Incitec Pivot Fertilisers</v>
      </c>
      <c r="E119" s="146" t="str" cm="1">
        <f t="array" ref="E119">Common_InputFunctions.Utility_DisplayArrayInTable(Fertiliser_SourceData.Fertiliser_Products_Data1(), FertiliserProducts[[#Headers],[Company]],1)</f>
        <v>Gran-Am</v>
      </c>
      <c r="F119" s="146" t="str" cm="1">
        <f t="array" ref="F119">Common_InputFunctions.Utility_DisplayArrayInTable(Fertiliser_SourceData.Fertiliser_Products_Data1(), FertiliserProducts[[#Headers],[Company]],1)</f>
        <v>kg</v>
      </c>
      <c r="G119" s="146" cm="1">
        <f t="array" ref="G119">Common_InputFunctions.Utility_DisplayArrayInTable(Fertiliser_SourceData.Fertiliser_Products_Data1(), FertiliserProducts[[#Headers],[Company]],1)</f>
        <v>1</v>
      </c>
      <c r="H119" s="146" t="str" cm="1">
        <f t="array" ref="H119">Common_InputFunctions.Utility_DisplayArrayInTable(Fertiliser_SourceData.Fertiliser_Products_Data1(), FertiliserProducts[[#Headers],[Company]],1)</f>
        <v/>
      </c>
      <c r="I119" s="146" t="str" cm="1">
        <f t="array" ref="I119">Common_InputFunctions.Utility_DisplayArrayInTable(Fertiliser_SourceData.Fertiliser_Products_Data1(), FertiliserProducts[[#Headers],[Company]],1)</f>
        <v/>
      </c>
      <c r="J119" s="146" t="str" cm="1">
        <f t="array" ref="J119">Common_InputFunctions.Utility_DisplayArrayInTable(Fertiliser_SourceData.Fertiliser_Products_Data1(), FertiliserProducts[[#Headers],[Company]],1)</f>
        <v/>
      </c>
      <c r="K119" s="146" cm="1">
        <f t="array" ref="K119">Common_InputFunctions.Utility_DisplayArrayInTable(Fertiliser_SourceData.Fertiliser_Products_Data1(), FertiliserProducts[[#Headers],[Company]],1)</f>
        <v>21</v>
      </c>
      <c r="L119" s="146" t="str" cm="1">
        <f t="array" ref="L119">Common_InputFunctions.Utility_DisplayArrayInTable(Fertiliser_SourceData.Fertiliser_Products_Data1(), FertiliserProducts[[#Headers],[Company]],1)</f>
        <v/>
      </c>
      <c r="M119" s="146" t="str" cm="1">
        <f t="array" ref="M119">Common_InputFunctions.Utility_DisplayArrayInTable(Fertiliser_SourceData.Fertiliser_Products_Data1(), FertiliserProducts[[#Headers],[Company]],1)</f>
        <v/>
      </c>
      <c r="N119" s="146" cm="1">
        <f t="array" ref="N119">Common_InputFunctions.Utility_DisplayArrayInTable(Fertiliser_SourceData.Fertiliser_Products_Data1(), FertiliserProducts[[#Headers],[Company]],1)</f>
        <v>24</v>
      </c>
      <c r="O119" s="146" t="str" cm="1">
        <f t="array" ref="O119">Common_InputFunctions.Utility_DisplayArrayInTable(Fertiliser_SourceData.Fertiliser_Products_Data1(), FertiliserProducts[[#Headers],[Company]],1)</f>
        <v>Sulphate of ammonia (SOA)</v>
      </c>
      <c r="P119" s="146" cm="1">
        <f t="array" ref="P119">Common_InputFunctions.Utility_DisplayArrayInTable(Fertiliser_SourceData.Fertiliser_Products_Data1(), FertiliserProducts[[#Headers],[Company]],1)</f>
        <v>1</v>
      </c>
      <c r="Q119" s="146" t="str" cm="1">
        <f t="array" ref="Q119">Common_InputFunctions.Utility_DisplayArrayInTable(Fertiliser_SourceData.Fertiliser_Products_Data1(), FertiliserProducts[[#Headers],[Company]],1)</f>
        <v/>
      </c>
      <c r="R119" s="146" t="str" cm="1">
        <f t="array" ref="R119">Common_InputFunctions.Utility_DisplayArrayInTable(Fertiliser_SourceData.Fertiliser_Products_Data1(), FertiliserProducts[[#Headers],[Company]],1)</f>
        <v/>
      </c>
      <c r="S119" s="146" t="str" cm="1">
        <f t="array" ref="S119">Common_InputFunctions.Utility_DisplayArrayInTable(Fertiliser_SourceData.Fertiliser_Products_Data1(), FertiliserProducts[[#Headers],[Company]],1)</f>
        <v/>
      </c>
      <c r="T119" s="146" t="str" cm="1">
        <f t="array" ref="T119">Common_InputFunctions.Utility_DisplayArrayInTable(Fertiliser_SourceData.Fertiliser_Products_Data1(), FertiliserProducts[[#Headers],[Company]],1)</f>
        <v/>
      </c>
      <c r="U119" s="146" t="str" cm="1">
        <f t="array" ref="U119">Common_InputFunctions.Utility_DisplayArrayInTable(Fertiliser_SourceData.Fertiliser_Products_Data1(), FertiliserProducts[[#Headers],[Company]],1)</f>
        <v/>
      </c>
      <c r="V119" s="146" t="str" cm="1">
        <f t="array" ref="V119">Common_InputFunctions.Utility_DisplayArrayInTable(Fertiliser_SourceData.Fertiliser_Products_Data1(), FertiliserProducts[[#Headers],[Company]],1)</f>
        <v/>
      </c>
      <c r="W119" s="146" t="str" cm="1">
        <f t="array" ref="W119">Common_InputFunctions.Utility_DisplayArrayInTable(Fertiliser_SourceData.Fertiliser_Products_Data1(), FertiliserProducts[[#Headers],[Company]],1)</f>
        <v/>
      </c>
      <c r="X119" s="146" t="str" cm="1">
        <f t="array" ref="X119">Common_InputFunctions.Utility_DisplayArrayInTable(Fertiliser_SourceData.Fertiliser_Products_Data1(), FertiliserProducts[[#Headers],[Company]],1)</f>
        <v/>
      </c>
      <c r="Y119" s="146" t="str" cm="1">
        <f t="array" ref="Y119">Common_InputFunctions.Utility_DisplayArrayInTable(Fertiliser_SourceData.Fertiliser_Products_Data1(), FertiliserProducts[[#Headers],[Company]],1)</f>
        <v/>
      </c>
      <c r="Z119" s="146" t="str" cm="1">
        <f t="array" ref="Z119">Common_InputFunctions.Utility_DisplayArrayInTable(Fertiliser_SourceData.Fertiliser_Products_Data1(), FertiliserProducts[[#Headers],[Company]],1)</f>
        <v/>
      </c>
      <c r="AA119" s="146" t="str" cm="1">
        <f t="array" ref="AA119">Common_InputFunctions.Utility_DisplayArrayInTable(Fertiliser_SourceData.Fertiliser_Products_Data1(), FertiliserProducts[[#Headers],[Company]],1)</f>
        <v/>
      </c>
      <c r="AB119" s="146" t="str" cm="1">
        <f t="array" ref="AB119">Common_InputFunctions.Utility_DisplayArrayInTable(Fertiliser_SourceData.Fertiliser_Products_Data1(), FertiliserProducts[[#Headers],[Company]],1)</f>
        <v/>
      </c>
      <c r="AC119" s="146" t="str" cm="1">
        <f t="array" ref="AC119">Common_InputFunctions.Utility_DisplayArrayInTable(Fertiliser_SourceData.Fertiliser_Products_Data1(), FertiliserProducts[[#Headers],[Company]],1)</f>
        <v/>
      </c>
      <c r="AD119" s="146" t="str" cm="1">
        <f t="array" ref="AD119">Common_InputFunctions.Utility_DisplayArrayInTable(Fertiliser_SourceData.Fertiliser_Products_Data1(), FertiliserProducts[[#Headers],[Company]],1)</f>
        <v/>
      </c>
      <c r="AE119" s="146" t="str" cm="1">
        <f t="array" ref="AE119">Common_InputFunctions.Utility_DisplayArrayInTable(Fertiliser_SourceData.Fertiliser_Products_Data1(), FertiliserProducts[[#Headers],[Company]],1)</f>
        <v/>
      </c>
      <c r="AF119" s="146" t="str" cm="1">
        <f t="array" ref="AF119">Common_InputFunctions.Utility_DisplayArrayInTable(Fertiliser_SourceData.Fertiliser_Products_Data1(), FertiliserProducts[[#Headers],[Company]],1)</f>
        <v/>
      </c>
      <c r="AG119" s="146" t="str" cm="1">
        <f t="array" ref="AG119">Common_InputFunctions.Utility_DisplayArrayInTable(Fertiliser_SourceData.Fertiliser_Products_Data1(), FertiliserProducts[[#Headers],[Company]],1)</f>
        <v/>
      </c>
      <c r="AH119" s="146" t="str" cm="1">
        <f t="array" ref="AH119">Common_InputFunctions.Utility_DisplayArrayInTable(Fertiliser_SourceData.Fertiliser_Products_Data1(), FertiliserProducts[[#Headers],[Company]],1)</f>
        <v/>
      </c>
      <c r="AK119" s="1"/>
      <c r="AL119" s="1"/>
      <c r="AM119" s="1"/>
    </row>
    <row r="120" spans="1:39" ht="20.100000000000001" customHeight="1" x14ac:dyDescent="0.2">
      <c r="D120" s="146" t="str" cm="1">
        <f t="array" ref="D120">Common_InputFunctions.Utility_DisplayArrayInTable(Fertiliser_SourceData.Fertiliser_Products_Data2(), FertiliserProducts[[#Headers],[Company]],31)</f>
        <v>Campbells fertilisers Australia</v>
      </c>
      <c r="E120" s="146" t="str" cm="1">
        <f t="array" ref="E120">Common_InputFunctions.Utility_DisplayArrayInTable(Fertiliser_SourceData.Fertiliser_Products_Data2(), FertiliserProducts[[#Headers],[Company]],31)</f>
        <v>Encal</v>
      </c>
      <c r="F120" s="146" t="str" cm="1">
        <f t="array" ref="F120">Common_InputFunctions.Utility_DisplayArrayInTable(Fertiliser_SourceData.Fertiliser_Products_Data2(), FertiliserProducts[[#Headers],[Company]],31)</f>
        <v>L</v>
      </c>
      <c r="G120" s="146" cm="1">
        <f t="array" ref="G120">Common_InputFunctions.Utility_DisplayArrayInTable(Fertiliser_SourceData.Fertiliser_Products_Data2(), FertiliserProducts[[#Headers],[Company]],31)</f>
        <v>1.5</v>
      </c>
      <c r="H120" s="146" t="str" cm="1">
        <f t="array" ref="H120">Common_InputFunctions.Utility_DisplayArrayInTable(Fertiliser_SourceData.Fertiliser_Products_Data2(), FertiliserProducts[[#Headers],[Company]],31)</f>
        <v/>
      </c>
      <c r="I120" s="146" t="str" cm="1">
        <f t="array" ref="I120">Common_InputFunctions.Utility_DisplayArrayInTable(Fertiliser_SourceData.Fertiliser_Products_Data2(), FertiliserProducts[[#Headers],[Company]],31)</f>
        <v/>
      </c>
      <c r="J120" s="146" t="str" cm="1">
        <f t="array" ref="J120">Common_InputFunctions.Utility_DisplayArrayInTable(Fertiliser_SourceData.Fertiliser_Products_Data2(), FertiliserProducts[[#Headers],[Company]],31)</f>
        <v/>
      </c>
      <c r="K120" s="146" cm="1">
        <f t="array" ref="K120">Common_InputFunctions.Utility_DisplayArrayInTable(Fertiliser_SourceData.Fertiliser_Products_Data2(), FertiliserProducts[[#Headers],[Company]],31)</f>
        <v>9</v>
      </c>
      <c r="L120" s="146" t="str" cm="1">
        <f t="array" ref="L120">Common_InputFunctions.Utility_DisplayArrayInTable(Fertiliser_SourceData.Fertiliser_Products_Data2(), FertiliserProducts[[#Headers],[Company]],31)</f>
        <v/>
      </c>
      <c r="M120" s="146" t="str" cm="1">
        <f t="array" ref="M120">Common_InputFunctions.Utility_DisplayArrayInTable(Fertiliser_SourceData.Fertiliser_Products_Data2(), FertiliserProducts[[#Headers],[Company]],31)</f>
        <v/>
      </c>
      <c r="N120" s="146" cm="1">
        <f t="array" ref="N120">Common_InputFunctions.Utility_DisplayArrayInTable(Fertiliser_SourceData.Fertiliser_Products_Data2(), FertiliserProducts[[#Headers],[Company]],31)</f>
        <v>13.94</v>
      </c>
      <c r="O120" s="146" t="str" cm="1">
        <f t="array" ref="O120">Common_InputFunctions.Utility_DisplayArrayInTable(Fertiliser_SourceData.Fertiliser_Products_Data2(), FertiliserProducts[[#Headers],[Company]],31)</f>
        <v>Sulphate of ammonia (SOA)</v>
      </c>
      <c r="P120" s="146" cm="1">
        <f t="array" ref="P120">Common_InputFunctions.Utility_DisplayArrayInTable(Fertiliser_SourceData.Fertiliser_Products_Data2(), FertiliserProducts[[#Headers],[Company]],31)</f>
        <v>0.58064499999999997</v>
      </c>
      <c r="Q120" s="146" t="str" cm="1">
        <f t="array" ref="Q120">Common_InputFunctions.Utility_DisplayArrayInTable(Fertiliser_SourceData.Fertiliser_Products_Data2(), FertiliserProducts[[#Headers],[Company]],31)</f>
        <v>Magnesium</v>
      </c>
      <c r="R120" s="146" cm="1">
        <f t="array" ref="R120">Common_InputFunctions.Utility_DisplayArrayInTable(Fertiliser_SourceData.Fertiliser_Products_Data2(), FertiliserProducts[[#Headers],[Company]],31)</f>
        <v>1.2E-2</v>
      </c>
      <c r="S120" s="146" t="str" cm="1">
        <f t="array" ref="S120">Common_InputFunctions.Utility_DisplayArrayInTable(Fertiliser_SourceData.Fertiliser_Products_Data2(), FertiliserProducts[[#Headers],[Company]],31)</f>
        <v/>
      </c>
      <c r="T120" s="146" t="str" cm="1">
        <f t="array" ref="T120">Common_InputFunctions.Utility_DisplayArrayInTable(Fertiliser_SourceData.Fertiliser_Products_Data2(), FertiliserProducts[[#Headers],[Company]],31)</f>
        <v/>
      </c>
      <c r="U120" s="146" t="str" cm="1">
        <f t="array" ref="U120">Common_InputFunctions.Utility_DisplayArrayInTable(Fertiliser_SourceData.Fertiliser_Products_Data2(), FertiliserProducts[[#Headers],[Company]],31)</f>
        <v/>
      </c>
      <c r="V120" s="146" t="str" cm="1">
        <f t="array" ref="V120">Common_InputFunctions.Utility_DisplayArrayInTable(Fertiliser_SourceData.Fertiliser_Products_Data2(), FertiliserProducts[[#Headers],[Company]],31)</f>
        <v/>
      </c>
      <c r="W120" s="146" t="str" cm="1">
        <f t="array" ref="W120">Common_InputFunctions.Utility_DisplayArrayInTable(Fertiliser_SourceData.Fertiliser_Products_Data2(), FertiliserProducts[[#Headers],[Company]],31)</f>
        <v/>
      </c>
      <c r="X120" s="146" t="str" cm="1">
        <f t="array" ref="X120">Common_InputFunctions.Utility_DisplayArrayInTable(Fertiliser_SourceData.Fertiliser_Products_Data2(), FertiliserProducts[[#Headers],[Company]],31)</f>
        <v/>
      </c>
      <c r="Y120" s="146" t="str" cm="1">
        <f t="array" ref="Y120">Common_InputFunctions.Utility_DisplayArrayInTable(Fertiliser_SourceData.Fertiliser_Products_Data2(), FertiliserProducts[[#Headers],[Company]],31)</f>
        <v/>
      </c>
      <c r="Z120" s="146" t="str" cm="1">
        <f t="array" ref="Z120">Common_InputFunctions.Utility_DisplayArrayInTable(Fertiliser_SourceData.Fertiliser_Products_Data2(), FertiliserProducts[[#Headers],[Company]],31)</f>
        <v/>
      </c>
      <c r="AA120" s="146" t="str" cm="1">
        <f t="array" ref="AA120">Common_InputFunctions.Utility_DisplayArrayInTable(Fertiliser_SourceData.Fertiliser_Products_Data2(), FertiliserProducts[[#Headers],[Company]],31)</f>
        <v/>
      </c>
      <c r="AB120" s="146" t="str" cm="1">
        <f t="array" ref="AB120">Common_InputFunctions.Utility_DisplayArrayInTable(Fertiliser_SourceData.Fertiliser_Products_Data2(), FertiliserProducts[[#Headers],[Company]],31)</f>
        <v/>
      </c>
      <c r="AC120" s="146" t="str" cm="1">
        <f t="array" ref="AC120">Common_InputFunctions.Utility_DisplayArrayInTable(Fertiliser_SourceData.Fertiliser_Products_Data2(), FertiliserProducts[[#Headers],[Company]],31)</f>
        <v/>
      </c>
      <c r="AD120" s="146" t="str" cm="1">
        <f t="array" ref="AD120">Common_InputFunctions.Utility_DisplayArrayInTable(Fertiliser_SourceData.Fertiliser_Products_Data2(), FertiliserProducts[[#Headers],[Company]],31)</f>
        <v/>
      </c>
      <c r="AE120" s="146" t="str" cm="1">
        <f t="array" ref="AE120">Common_InputFunctions.Utility_DisplayArrayInTable(Fertiliser_SourceData.Fertiliser_Products_Data2(), FertiliserProducts[[#Headers],[Company]],31)</f>
        <v/>
      </c>
      <c r="AF120" s="146" t="str" cm="1">
        <f t="array" ref="AF120">Common_InputFunctions.Utility_DisplayArrayInTable(Fertiliser_SourceData.Fertiliser_Products_Data2(), FertiliserProducts[[#Headers],[Company]],31)</f>
        <v/>
      </c>
      <c r="AG120" s="146" t="str" cm="1">
        <f t="array" ref="AG120">Common_InputFunctions.Utility_DisplayArrayInTable(Fertiliser_SourceData.Fertiliser_Products_Data2(), FertiliserProducts[[#Headers],[Company]],31)</f>
        <v/>
      </c>
      <c r="AH120" s="146" t="str" cm="1">
        <f t="array" ref="AH120">Common_InputFunctions.Utility_DisplayArrayInTable(Fertiliser_SourceData.Fertiliser_Products_Data2(), FertiliserProducts[[#Headers],[Company]],31)</f>
        <v/>
      </c>
      <c r="AK120" s="1"/>
      <c r="AL120" s="1"/>
      <c r="AM120" s="1"/>
    </row>
    <row r="121" spans="1:39" ht="20.100000000000001" customHeight="1" x14ac:dyDescent="0.2">
      <c r="D121" s="146" t="str" cm="1">
        <f t="array" ref="D121">Common_InputFunctions.Utility_DisplayArrayInTable(Fertiliser_SourceData.Fertiliser_Products_Data2(), FertiliserProducts[[#Headers],[Company]],31)</f>
        <v>Incitec Pivot Fertilisers</v>
      </c>
      <c r="E121" s="146" t="str" cm="1">
        <f t="array" ref="E121">Common_InputFunctions.Utility_DisplayArrayInTable(Fertiliser_SourceData.Fertiliser_Products_Data2(), FertiliserProducts[[#Headers],[Company]],31)</f>
        <v>Granulock SS</v>
      </c>
      <c r="F121" s="146" t="str" cm="1">
        <f t="array" ref="F121">Common_InputFunctions.Utility_DisplayArrayInTable(Fertiliser_SourceData.Fertiliser_Products_Data2(), FertiliserProducts[[#Headers],[Company]],31)</f>
        <v>kg</v>
      </c>
      <c r="G121" s="146" cm="1">
        <f t="array" ref="G121">Common_InputFunctions.Utility_DisplayArrayInTable(Fertiliser_SourceData.Fertiliser_Products_Data2(), FertiliserProducts[[#Headers],[Company]],31)</f>
        <v>1</v>
      </c>
      <c r="H121" s="146" t="str" cm="1">
        <f t="array" ref="H121">Common_InputFunctions.Utility_DisplayArrayInTable(Fertiliser_SourceData.Fertiliser_Products_Data2(), FertiliserProducts[[#Headers],[Company]],31)</f>
        <v/>
      </c>
      <c r="I121" s="146" t="str" cm="1">
        <f t="array" ref="I121">Common_InputFunctions.Utility_DisplayArrayInTable(Fertiliser_SourceData.Fertiliser_Products_Data2(), FertiliserProducts[[#Headers],[Company]],31)</f>
        <v/>
      </c>
      <c r="J121" s="146" t="str" cm="1">
        <f t="array" ref="J121">Common_InputFunctions.Utility_DisplayArrayInTable(Fertiliser_SourceData.Fertiliser_Products_Data2(), FertiliserProducts[[#Headers],[Company]],31)</f>
        <v/>
      </c>
      <c r="K121" s="146" cm="1">
        <f t="array" ref="K121">Common_InputFunctions.Utility_DisplayArrayInTable(Fertiliser_SourceData.Fertiliser_Products_Data2(), FertiliserProducts[[#Headers],[Company]],31)</f>
        <v>10</v>
      </c>
      <c r="L121" s="146" cm="1">
        <f t="array" ref="L121">Common_InputFunctions.Utility_DisplayArrayInTable(Fertiliser_SourceData.Fertiliser_Products_Data2(), FertiliserProducts[[#Headers],[Company]],31)</f>
        <v>17.5</v>
      </c>
      <c r="M121" s="146" t="str" cm="1">
        <f t="array" ref="M121">Common_InputFunctions.Utility_DisplayArrayInTable(Fertiliser_SourceData.Fertiliser_Products_Data2(), FertiliserProducts[[#Headers],[Company]],31)</f>
        <v/>
      </c>
      <c r="N121" s="146" cm="1">
        <f t="array" ref="N121">Common_InputFunctions.Utility_DisplayArrayInTable(Fertiliser_SourceData.Fertiliser_Products_Data2(), FertiliserProducts[[#Headers],[Company]],31)</f>
        <v>12</v>
      </c>
      <c r="O121" s="146" t="str" cm="1">
        <f t="array" ref="O121">Common_InputFunctions.Utility_DisplayArrayInTable(Fertiliser_SourceData.Fertiliser_Products_Data2(), FertiliserProducts[[#Headers],[Company]],31)</f>
        <v>Phosphorus - Generic</v>
      </c>
      <c r="P121" s="146" cm="1">
        <f t="array" ref="P121">Common_InputFunctions.Utility_DisplayArrayInTable(Fertiliser_SourceData.Fertiliser_Products_Data2(), FertiliserProducts[[#Headers],[Company]],31)</f>
        <v>0.17499999999999999</v>
      </c>
      <c r="Q121" s="146" t="str" cm="1">
        <f t="array" ref="Q121">Common_InputFunctions.Utility_DisplayArrayInTable(Fertiliser_SourceData.Fertiliser_Products_Data2(), FertiliserProducts[[#Headers],[Company]],31)</f>
        <v>Sulfur - Generic</v>
      </c>
      <c r="R121" s="146" cm="1">
        <f t="array" ref="R121">Common_InputFunctions.Utility_DisplayArrayInTable(Fertiliser_SourceData.Fertiliser_Products_Data2(), FertiliserProducts[[#Headers],[Company]],31)</f>
        <v>0.12</v>
      </c>
      <c r="S121" s="146" t="str" cm="1">
        <f t="array" ref="S121">Common_InputFunctions.Utility_DisplayArrayInTable(Fertiliser_SourceData.Fertiliser_Products_Data2(), FertiliserProducts[[#Headers],[Company]],31)</f>
        <v>Nitrogen - Ammoniacal</v>
      </c>
      <c r="T121" s="146" cm="1">
        <f t="array" ref="T121">Common_InputFunctions.Utility_DisplayArrayInTable(Fertiliser_SourceData.Fertiliser_Products_Data2(), FertiliserProducts[[#Headers],[Company]],31)</f>
        <v>0.1</v>
      </c>
      <c r="U121" s="146" t="str" cm="1">
        <f t="array" ref="U121">Common_InputFunctions.Utility_DisplayArrayInTable(Fertiliser_SourceData.Fertiliser_Products_Data2(), FertiliserProducts[[#Headers],[Company]],31)</f>
        <v>Fluoride</v>
      </c>
      <c r="V121" s="146" cm="1">
        <f t="array" ref="V121">Common_InputFunctions.Utility_DisplayArrayInTable(Fertiliser_SourceData.Fertiliser_Products_Data2(), FertiliserProducts[[#Headers],[Company]],31)</f>
        <v>0.03</v>
      </c>
      <c r="W121" s="146" t="str" cm="1">
        <f t="array" ref="W121">Common_InputFunctions.Utility_DisplayArrayInTable(Fertiliser_SourceData.Fertiliser_Products_Data2(), FertiliserProducts[[#Headers],[Company]],31)</f>
        <v/>
      </c>
      <c r="X121" s="146" t="str" cm="1">
        <f t="array" ref="X121">Common_InputFunctions.Utility_DisplayArrayInTable(Fertiliser_SourceData.Fertiliser_Products_Data2(), FertiliserProducts[[#Headers],[Company]],31)</f>
        <v/>
      </c>
      <c r="Y121" s="146" t="str" cm="1">
        <f t="array" ref="Y121">Common_InputFunctions.Utility_DisplayArrayInTable(Fertiliser_SourceData.Fertiliser_Products_Data2(), FertiliserProducts[[#Headers],[Company]],31)</f>
        <v/>
      </c>
      <c r="Z121" s="146" t="str" cm="1">
        <f t="array" ref="Z121">Common_InputFunctions.Utility_DisplayArrayInTable(Fertiliser_SourceData.Fertiliser_Products_Data2(), FertiliserProducts[[#Headers],[Company]],31)</f>
        <v/>
      </c>
      <c r="AA121" s="146" t="str" cm="1">
        <f t="array" ref="AA121">Common_InputFunctions.Utility_DisplayArrayInTable(Fertiliser_SourceData.Fertiliser_Products_Data2(), FertiliserProducts[[#Headers],[Company]],31)</f>
        <v/>
      </c>
      <c r="AB121" s="146" t="str" cm="1">
        <f t="array" ref="AB121">Common_InputFunctions.Utility_DisplayArrayInTable(Fertiliser_SourceData.Fertiliser_Products_Data2(), FertiliserProducts[[#Headers],[Company]],31)</f>
        <v/>
      </c>
      <c r="AC121" s="146" t="str" cm="1">
        <f t="array" ref="AC121">Common_InputFunctions.Utility_DisplayArrayInTable(Fertiliser_SourceData.Fertiliser_Products_Data2(), FertiliserProducts[[#Headers],[Company]],31)</f>
        <v/>
      </c>
      <c r="AD121" s="146" t="str" cm="1">
        <f t="array" ref="AD121">Common_InputFunctions.Utility_DisplayArrayInTable(Fertiliser_SourceData.Fertiliser_Products_Data2(), FertiliserProducts[[#Headers],[Company]],31)</f>
        <v/>
      </c>
      <c r="AE121" s="146" t="str" cm="1">
        <f t="array" ref="AE121">Common_InputFunctions.Utility_DisplayArrayInTable(Fertiliser_SourceData.Fertiliser_Products_Data2(), FertiliserProducts[[#Headers],[Company]],31)</f>
        <v/>
      </c>
      <c r="AF121" s="146" t="str" cm="1">
        <f t="array" ref="AF121">Common_InputFunctions.Utility_DisplayArrayInTable(Fertiliser_SourceData.Fertiliser_Products_Data2(), FertiliserProducts[[#Headers],[Company]],31)</f>
        <v/>
      </c>
      <c r="AG121" s="146" t="str" cm="1">
        <f t="array" ref="AG121">Common_InputFunctions.Utility_DisplayArrayInTable(Fertiliser_SourceData.Fertiliser_Products_Data2(), FertiliserProducts[[#Headers],[Company]],31)</f>
        <v/>
      </c>
      <c r="AH121" s="146" t="str" cm="1">
        <f t="array" ref="AH121">Common_InputFunctions.Utility_DisplayArrayInTable(Fertiliser_SourceData.Fertiliser_Products_Data2(), FertiliserProducts[[#Headers],[Company]],31)</f>
        <v/>
      </c>
      <c r="AK121" s="1"/>
      <c r="AL121" s="1"/>
      <c r="AM121" s="1"/>
    </row>
    <row r="122" spans="1:39" ht="20.100000000000001" customHeight="1" x14ac:dyDescent="0.2">
      <c r="D122" s="146" t="str" cm="1">
        <f t="array" ref="D122">Common_InputFunctions.Utility_DisplayArrayInTable(Fertiliser_SourceData.Fertiliser_Products_Data2(), FertiliserProducts[[#Headers],[Company]],31)</f>
        <v>Incitec Pivot Fertilisers</v>
      </c>
      <c r="E122" s="146" t="str" cm="1">
        <f t="array" ref="E122">Common_InputFunctions.Utility_DisplayArrayInTable(Fertiliser_SourceData.Fertiliser_Products_Data2(), FertiliserProducts[[#Headers],[Company]],31)</f>
        <v>Granulock Z</v>
      </c>
      <c r="F122" s="146" t="str" cm="1">
        <f t="array" ref="F122">Common_InputFunctions.Utility_DisplayArrayInTable(Fertiliser_SourceData.Fertiliser_Products_Data2(), FertiliserProducts[[#Headers],[Company]],31)</f>
        <v>kg</v>
      </c>
      <c r="G122" s="146" cm="1">
        <f t="array" ref="G122">Common_InputFunctions.Utility_DisplayArrayInTable(Fertiliser_SourceData.Fertiliser_Products_Data2(), FertiliserProducts[[#Headers],[Company]],31)</f>
        <v>1</v>
      </c>
      <c r="H122" s="146" t="str" cm="1">
        <f t="array" ref="H122">Common_InputFunctions.Utility_DisplayArrayInTable(Fertiliser_SourceData.Fertiliser_Products_Data2(), FertiliserProducts[[#Headers],[Company]],31)</f>
        <v/>
      </c>
      <c r="I122" s="146" t="str" cm="1">
        <f t="array" ref="I122">Common_InputFunctions.Utility_DisplayArrayInTable(Fertiliser_SourceData.Fertiliser_Products_Data2(), FertiliserProducts[[#Headers],[Company]],31)</f>
        <v/>
      </c>
      <c r="J122" s="146" t="str" cm="1">
        <f t="array" ref="J122">Common_InputFunctions.Utility_DisplayArrayInTable(Fertiliser_SourceData.Fertiliser_Products_Data2(), FertiliserProducts[[#Headers],[Company]],31)</f>
        <v/>
      </c>
      <c r="K122" s="146" cm="1">
        <f t="array" ref="K122">Common_InputFunctions.Utility_DisplayArrayInTable(Fertiliser_SourceData.Fertiliser_Products_Data2(), FertiliserProducts[[#Headers],[Company]],31)</f>
        <v>11</v>
      </c>
      <c r="L122" s="146" cm="1">
        <f t="array" ref="L122">Common_InputFunctions.Utility_DisplayArrayInTable(Fertiliser_SourceData.Fertiliser_Products_Data2(), FertiliserProducts[[#Headers],[Company]],31)</f>
        <v>21.8</v>
      </c>
      <c r="M122" s="146" t="str" cm="1">
        <f t="array" ref="M122">Common_InputFunctions.Utility_DisplayArrayInTable(Fertiliser_SourceData.Fertiliser_Products_Data2(), FertiliserProducts[[#Headers],[Company]],31)</f>
        <v/>
      </c>
      <c r="N122" s="146" cm="1">
        <f t="array" ref="N122">Common_InputFunctions.Utility_DisplayArrayInTable(Fertiliser_SourceData.Fertiliser_Products_Data2(), FertiliserProducts[[#Headers],[Company]],31)</f>
        <v>4</v>
      </c>
      <c r="O122" s="146" t="str" cm="1">
        <f t="array" ref="O122">Common_InputFunctions.Utility_DisplayArrayInTable(Fertiliser_SourceData.Fertiliser_Products_Data2(), FertiliserProducts[[#Headers],[Company]],31)</f>
        <v>Phosphorus - Generic</v>
      </c>
      <c r="P122" s="146" cm="1">
        <f t="array" ref="P122">Common_InputFunctions.Utility_DisplayArrayInTable(Fertiliser_SourceData.Fertiliser_Products_Data2(), FertiliserProducts[[#Headers],[Company]],31)</f>
        <v>0.218</v>
      </c>
      <c r="Q122" s="146" t="str" cm="1">
        <f t="array" ref="Q122">Common_InputFunctions.Utility_DisplayArrayInTable(Fertiliser_SourceData.Fertiliser_Products_Data2(), FertiliserProducts[[#Headers],[Company]],31)</f>
        <v>Nitrogen - Generic</v>
      </c>
      <c r="R122" s="146" cm="1">
        <f t="array" ref="R122">Common_InputFunctions.Utility_DisplayArrayInTable(Fertiliser_SourceData.Fertiliser_Products_Data2(), FertiliserProducts[[#Headers],[Company]],31)</f>
        <v>0.11</v>
      </c>
      <c r="S122" s="146" t="str" cm="1">
        <f t="array" ref="S122">Common_InputFunctions.Utility_DisplayArrayInTable(Fertiliser_SourceData.Fertiliser_Products_Data2(), FertiliserProducts[[#Headers],[Company]],31)</f>
        <v>Sulfur - Generic</v>
      </c>
      <c r="T122" s="146" cm="1">
        <f t="array" ref="T122">Common_InputFunctions.Utility_DisplayArrayInTable(Fertiliser_SourceData.Fertiliser_Products_Data2(), FertiliserProducts[[#Headers],[Company]],31)</f>
        <v>0.04</v>
      </c>
      <c r="U122" s="146" t="str" cm="1">
        <f t="array" ref="U122">Common_InputFunctions.Utility_DisplayArrayInTable(Fertiliser_SourceData.Fertiliser_Products_Data2(), FertiliserProducts[[#Headers],[Company]],31)</f>
        <v>Fluoride</v>
      </c>
      <c r="V122" s="146" cm="1">
        <f t="array" ref="V122">Common_InputFunctions.Utility_DisplayArrayInTable(Fertiliser_SourceData.Fertiliser_Products_Data2(), FertiliserProducts[[#Headers],[Company]],31)</f>
        <v>0.03</v>
      </c>
      <c r="W122" s="146" t="str" cm="1">
        <f t="array" ref="W122">Common_InputFunctions.Utility_DisplayArrayInTable(Fertiliser_SourceData.Fertiliser_Products_Data2(), FertiliserProducts[[#Headers],[Company]],31)</f>
        <v>Zinc</v>
      </c>
      <c r="X122" s="146" cm="1">
        <f t="array" ref="X122">Common_InputFunctions.Utility_DisplayArrayInTable(Fertiliser_SourceData.Fertiliser_Products_Data2(), FertiliserProducts[[#Headers],[Company]],31)</f>
        <v>0.01</v>
      </c>
      <c r="Y122" s="146" t="str" cm="1">
        <f t="array" ref="Y122">Common_InputFunctions.Utility_DisplayArrayInTable(Fertiliser_SourceData.Fertiliser_Products_Data2(), FertiliserProducts[[#Headers],[Company]],31)</f>
        <v/>
      </c>
      <c r="Z122" s="146" t="str" cm="1">
        <f t="array" ref="Z122">Common_InputFunctions.Utility_DisplayArrayInTable(Fertiliser_SourceData.Fertiliser_Products_Data2(), FertiliserProducts[[#Headers],[Company]],31)</f>
        <v/>
      </c>
      <c r="AA122" s="146" t="str" cm="1">
        <f t="array" ref="AA122">Common_InputFunctions.Utility_DisplayArrayInTable(Fertiliser_SourceData.Fertiliser_Products_Data2(), FertiliserProducts[[#Headers],[Company]],31)</f>
        <v/>
      </c>
      <c r="AB122" s="146" t="str" cm="1">
        <f t="array" ref="AB122">Common_InputFunctions.Utility_DisplayArrayInTable(Fertiliser_SourceData.Fertiliser_Products_Data2(), FertiliserProducts[[#Headers],[Company]],31)</f>
        <v/>
      </c>
      <c r="AC122" s="146" t="str" cm="1">
        <f t="array" ref="AC122">Common_InputFunctions.Utility_DisplayArrayInTable(Fertiliser_SourceData.Fertiliser_Products_Data2(), FertiliserProducts[[#Headers],[Company]],31)</f>
        <v/>
      </c>
      <c r="AD122" s="146" t="str" cm="1">
        <f t="array" ref="AD122">Common_InputFunctions.Utility_DisplayArrayInTable(Fertiliser_SourceData.Fertiliser_Products_Data2(), FertiliserProducts[[#Headers],[Company]],31)</f>
        <v/>
      </c>
      <c r="AE122" s="146" t="str" cm="1">
        <f t="array" ref="AE122">Common_InputFunctions.Utility_DisplayArrayInTable(Fertiliser_SourceData.Fertiliser_Products_Data2(), FertiliserProducts[[#Headers],[Company]],31)</f>
        <v/>
      </c>
      <c r="AF122" s="146" t="str" cm="1">
        <f t="array" ref="AF122">Common_InputFunctions.Utility_DisplayArrayInTable(Fertiliser_SourceData.Fertiliser_Products_Data2(), FertiliserProducts[[#Headers],[Company]],31)</f>
        <v/>
      </c>
      <c r="AG122" s="146" t="str" cm="1">
        <f t="array" ref="AG122">Common_InputFunctions.Utility_DisplayArrayInTable(Fertiliser_SourceData.Fertiliser_Products_Data2(), FertiliserProducts[[#Headers],[Company]],31)</f>
        <v/>
      </c>
      <c r="AH122" s="146" t="str" cm="1">
        <f t="array" ref="AH122">Common_InputFunctions.Utility_DisplayArrayInTable(Fertiliser_SourceData.Fertiliser_Products_Data2(), FertiliserProducts[[#Headers],[Company]],31)</f>
        <v/>
      </c>
      <c r="AK122" s="1"/>
      <c r="AL122" s="1"/>
      <c r="AM122" s="1"/>
    </row>
    <row r="123" spans="1:39" ht="20.100000000000001" customHeight="1" x14ac:dyDescent="0.2">
      <c r="D123" s="146" t="str" cm="1">
        <f t="array" ref="D123">Common_InputFunctions.Utility_DisplayArrayInTable(Fertiliser_SourceData.Fertiliser_Products_Data2(), FertiliserProducts[[#Headers],[Company]],31)</f>
        <v>Incitec Pivot Fertilisers</v>
      </c>
      <c r="E123" s="146" t="str" cm="1">
        <f t="array" ref="E123">Common_InputFunctions.Utility_DisplayArrayInTable(Fertiliser_SourceData.Fertiliser_Products_Data2(), FertiliserProducts[[#Headers],[Company]],31)</f>
        <v>Farm Ag Leichhardt</v>
      </c>
      <c r="F123" s="146" t="str" cm="1">
        <f t="array" ref="F123">Common_InputFunctions.Utility_DisplayArrayInTable(Fertiliser_SourceData.Fertiliser_Products_Data2(), FertiliserProducts[[#Headers],[Company]],31)</f>
        <v>kg</v>
      </c>
      <c r="G123" s="146" cm="1">
        <f t="array" ref="G123">Common_InputFunctions.Utility_DisplayArrayInTable(Fertiliser_SourceData.Fertiliser_Products_Data2(), FertiliserProducts[[#Headers],[Company]],31)</f>
        <v>1</v>
      </c>
      <c r="H123" s="146" t="str" cm="1">
        <f t="array" ref="H123">Common_InputFunctions.Utility_DisplayArrayInTable(Fertiliser_SourceData.Fertiliser_Products_Data2(), FertiliserProducts[[#Headers],[Company]],31)</f>
        <v/>
      </c>
      <c r="I123" s="146" t="str" cm="1">
        <f t="array" ref="I123">Common_InputFunctions.Utility_DisplayArrayInTable(Fertiliser_SourceData.Fertiliser_Products_Data2(), FertiliserProducts[[#Headers],[Company]],31)</f>
        <v/>
      </c>
      <c r="J123" s="146" t="str" cm="1">
        <f t="array" ref="J123">Common_InputFunctions.Utility_DisplayArrayInTable(Fertiliser_SourceData.Fertiliser_Products_Data2(), FertiliserProducts[[#Headers],[Company]],31)</f>
        <v/>
      </c>
      <c r="K123" s="146" cm="1">
        <f t="array" ref="K123">Common_InputFunctions.Utility_DisplayArrayInTable(Fertiliser_SourceData.Fertiliser_Products_Data2(), FertiliserProducts[[#Headers],[Company]],31)</f>
        <v>32.5</v>
      </c>
      <c r="L123" s="146" cm="1">
        <f t="array" ref="L123">Common_InputFunctions.Utility_DisplayArrayInTable(Fertiliser_SourceData.Fertiliser_Products_Data2(), FertiliserProducts[[#Headers],[Company]],31)</f>
        <v>5.4</v>
      </c>
      <c r="M123" s="146" cm="1">
        <f t="array" ref="M123">Common_InputFunctions.Utility_DisplayArrayInTable(Fertiliser_SourceData.Fertiliser_Products_Data2(), FertiliserProducts[[#Headers],[Company]],31)</f>
        <v>6.25</v>
      </c>
      <c r="N123" s="146" t="str" cm="1">
        <f t="array" ref="N123">Common_InputFunctions.Utility_DisplayArrayInTable(Fertiliser_SourceData.Fertiliser_Products_Data2(), FertiliserProducts[[#Headers],[Company]],31)</f>
        <v/>
      </c>
      <c r="O123" s="146" t="str" cm="1">
        <f t="array" ref="O123">Common_InputFunctions.Utility_DisplayArrayInTable(Fertiliser_SourceData.Fertiliser_Products_Data2(), FertiliserProducts[[#Headers],[Company]],31)</f>
        <v>Urea</v>
      </c>
      <c r="P123" s="146" cm="1">
        <f t="array" ref="P123">Common_InputFunctions.Utility_DisplayArrayInTable(Fertiliser_SourceData.Fertiliser_Products_Data2(), FertiliserProducts[[#Headers],[Company]],31)</f>
        <v>0.6</v>
      </c>
      <c r="Q123" s="146" t="str" cm="1">
        <f t="array" ref="Q123">Common_InputFunctions.Utility_DisplayArrayInTable(Fertiliser_SourceData.Fertiliser_Products_Data2(), FertiliserProducts[[#Headers],[Company]],31)</f>
        <v>Nitrogen - Ammoniacal</v>
      </c>
      <c r="R123" s="146" cm="1">
        <f t="array" ref="R123">Common_InputFunctions.Utility_DisplayArrayInTable(Fertiliser_SourceData.Fertiliser_Products_Data2(), FertiliserProducts[[#Headers],[Company]],31)</f>
        <v>4.9000000000000002E-2</v>
      </c>
      <c r="S123" s="146" t="str" cm="1">
        <f t="array" ref="S123">Common_InputFunctions.Utility_DisplayArrayInTable(Fertiliser_SourceData.Fertiliser_Products_Data2(), FertiliserProducts[[#Headers],[Company]],31)</f>
        <v>Phosphorus - Generic</v>
      </c>
      <c r="T123" s="146" cm="1">
        <f t="array" ref="T123">Common_InputFunctions.Utility_DisplayArrayInTable(Fertiliser_SourceData.Fertiliser_Products_Data2(), FertiliserProducts[[#Headers],[Company]],31)</f>
        <v>5.3999999999999999E-2</v>
      </c>
      <c r="U123" s="146" t="str" cm="1">
        <f t="array" ref="U123">Common_InputFunctions.Utility_DisplayArrayInTable(Fertiliser_SourceData.Fertiliser_Products_Data2(), FertiliserProducts[[#Headers],[Company]],31)</f>
        <v>Muriate of potash (MOP)</v>
      </c>
      <c r="V123" s="146" cm="1">
        <f t="array" ref="V123">Common_InputFunctions.Utility_DisplayArrayInTable(Fertiliser_SourceData.Fertiliser_Products_Data2(), FertiliserProducts[[#Headers],[Company]],31)</f>
        <v>0.125</v>
      </c>
      <c r="W123" s="146" t="str" cm="1">
        <f t="array" ref="W123">Common_InputFunctions.Utility_DisplayArrayInTable(Fertiliser_SourceData.Fertiliser_Products_Data2(), FertiliserProducts[[#Headers],[Company]],31)</f>
        <v/>
      </c>
      <c r="X123" s="146" t="str" cm="1">
        <f t="array" ref="X123">Common_InputFunctions.Utility_DisplayArrayInTable(Fertiliser_SourceData.Fertiliser_Products_Data2(), FertiliserProducts[[#Headers],[Company]],31)</f>
        <v/>
      </c>
      <c r="Y123" s="146" t="str" cm="1">
        <f t="array" ref="Y123">Common_InputFunctions.Utility_DisplayArrayInTable(Fertiliser_SourceData.Fertiliser_Products_Data2(), FertiliserProducts[[#Headers],[Company]],31)</f>
        <v/>
      </c>
      <c r="Z123" s="146" t="str" cm="1">
        <f t="array" ref="Z123">Common_InputFunctions.Utility_DisplayArrayInTable(Fertiliser_SourceData.Fertiliser_Products_Data2(), FertiliserProducts[[#Headers],[Company]],31)</f>
        <v/>
      </c>
      <c r="AA123" s="146" t="str" cm="1">
        <f t="array" ref="AA123">Common_InputFunctions.Utility_DisplayArrayInTable(Fertiliser_SourceData.Fertiliser_Products_Data2(), FertiliserProducts[[#Headers],[Company]],31)</f>
        <v/>
      </c>
      <c r="AB123" s="146" t="str" cm="1">
        <f t="array" ref="AB123">Common_InputFunctions.Utility_DisplayArrayInTable(Fertiliser_SourceData.Fertiliser_Products_Data2(), FertiliserProducts[[#Headers],[Company]],31)</f>
        <v/>
      </c>
      <c r="AC123" s="146" t="str" cm="1">
        <f t="array" ref="AC123">Common_InputFunctions.Utility_DisplayArrayInTable(Fertiliser_SourceData.Fertiliser_Products_Data2(), FertiliserProducts[[#Headers],[Company]],31)</f>
        <v/>
      </c>
      <c r="AD123" s="146" t="str" cm="1">
        <f t="array" ref="AD123">Common_InputFunctions.Utility_DisplayArrayInTable(Fertiliser_SourceData.Fertiliser_Products_Data2(), FertiliserProducts[[#Headers],[Company]],31)</f>
        <v/>
      </c>
      <c r="AE123" s="146" t="str" cm="1">
        <f t="array" ref="AE123">Common_InputFunctions.Utility_DisplayArrayInTable(Fertiliser_SourceData.Fertiliser_Products_Data2(), FertiliserProducts[[#Headers],[Company]],31)</f>
        <v/>
      </c>
      <c r="AF123" s="146" t="str" cm="1">
        <f t="array" ref="AF123">Common_InputFunctions.Utility_DisplayArrayInTable(Fertiliser_SourceData.Fertiliser_Products_Data2(), FertiliserProducts[[#Headers],[Company]],31)</f>
        <v/>
      </c>
      <c r="AG123" s="146" t="str" cm="1">
        <f t="array" ref="AG123">Common_InputFunctions.Utility_DisplayArrayInTable(Fertiliser_SourceData.Fertiliser_Products_Data2(), FertiliserProducts[[#Headers],[Company]],31)</f>
        <v/>
      </c>
      <c r="AH123" s="146" t="str" cm="1">
        <f t="array" ref="AH123">Common_InputFunctions.Utility_DisplayArrayInTable(Fertiliser_SourceData.Fertiliser_Products_Data2(), FertiliserProducts[[#Headers],[Company]],31)</f>
        <v/>
      </c>
      <c r="AK123" s="1"/>
      <c r="AL123" s="1"/>
      <c r="AM123" s="1"/>
    </row>
    <row r="124" spans="1:39" ht="20.100000000000001" customHeight="1" x14ac:dyDescent="0.2">
      <c r="D124" s="146" t="str" cm="1">
        <f t="array" ref="D124">Common_InputFunctions.Utility_DisplayArrayInTable(Fertiliser_SourceData.Fertiliser_Products_Data2(), FertiliserProducts[[#Headers],[Company]],31)</f>
        <v>Ravensdown</v>
      </c>
      <c r="E124" s="146" t="str" cm="1">
        <f t="array" ref="E124">Common_InputFunctions.Utility_DisplayArrayInTable(Fertiliser_SourceData.Fertiliser_Products_Data2(), FertiliserProducts[[#Headers],[Company]],31)</f>
        <v>Flexi-N NBPT</v>
      </c>
      <c r="F124" s="146" t="str" cm="1">
        <f t="array" ref="F124">Common_InputFunctions.Utility_DisplayArrayInTable(Fertiliser_SourceData.Fertiliser_Products_Data2(), FertiliserProducts[[#Headers],[Company]],31)</f>
        <v>kg</v>
      </c>
      <c r="G124" s="146" cm="1">
        <f t="array" ref="G124">Common_InputFunctions.Utility_DisplayArrayInTable(Fertiliser_SourceData.Fertiliser_Products_Data2(), FertiliserProducts[[#Headers],[Company]],31)</f>
        <v>1</v>
      </c>
      <c r="H124" s="146" t="str" cm="1">
        <f t="array" ref="H124">Common_InputFunctions.Utility_DisplayArrayInTable(Fertiliser_SourceData.Fertiliser_Products_Data2(), FertiliserProducts[[#Headers],[Company]],31)</f>
        <v>Yes</v>
      </c>
      <c r="I124" s="146" t="str" cm="1">
        <f t="array" ref="I124">Common_InputFunctions.Utility_DisplayArrayInTable(Fertiliser_SourceData.Fertiliser_Products_Data2(), FertiliserProducts[[#Headers],[Company]],31)</f>
        <v/>
      </c>
      <c r="J124" s="146" t="str" cm="1">
        <f t="array" ref="J124">Common_InputFunctions.Utility_DisplayArrayInTable(Fertiliser_SourceData.Fertiliser_Products_Data2(), FertiliserProducts[[#Headers],[Company]],31)</f>
        <v/>
      </c>
      <c r="K124" s="146" cm="1">
        <f t="array" ref="K124">Common_InputFunctions.Utility_DisplayArrayInTable(Fertiliser_SourceData.Fertiliser_Products_Data2(), FertiliserProducts[[#Headers],[Company]],31)</f>
        <v>45.54</v>
      </c>
      <c r="L124" s="146" t="str" cm="1">
        <f t="array" ref="L124">Common_InputFunctions.Utility_DisplayArrayInTable(Fertiliser_SourceData.Fertiliser_Products_Data2(), FertiliserProducts[[#Headers],[Company]],31)</f>
        <v/>
      </c>
      <c r="M124" s="146" t="str" cm="1">
        <f t="array" ref="M124">Common_InputFunctions.Utility_DisplayArrayInTable(Fertiliser_SourceData.Fertiliser_Products_Data2(), FertiliserProducts[[#Headers],[Company]],31)</f>
        <v/>
      </c>
      <c r="N124" s="146" t="str" cm="1">
        <f t="array" ref="N124">Common_InputFunctions.Utility_DisplayArrayInTable(Fertiliser_SourceData.Fertiliser_Products_Data2(), FertiliserProducts[[#Headers],[Company]],31)</f>
        <v/>
      </c>
      <c r="O124" s="146" t="str" cm="1">
        <f t="array" ref="O124">Common_InputFunctions.Utility_DisplayArrayInTable(Fertiliser_SourceData.Fertiliser_Products_Data2(), FertiliserProducts[[#Headers],[Company]],31)</f>
        <v>Urea</v>
      </c>
      <c r="P124" s="146" cm="1">
        <f t="array" ref="P124">Common_InputFunctions.Utility_DisplayArrayInTable(Fertiliser_SourceData.Fertiliser_Products_Data2(), FertiliserProducts[[#Headers],[Company]],31)</f>
        <v>0.99</v>
      </c>
      <c r="Q124" s="146" t="str" cm="1">
        <f t="array" ref="Q124">Common_InputFunctions.Utility_DisplayArrayInTable(Fertiliser_SourceData.Fertiliser_Products_Data2(), FertiliserProducts[[#Headers],[Company]],31)</f>
        <v/>
      </c>
      <c r="R124" s="146" t="str" cm="1">
        <f t="array" ref="R124">Common_InputFunctions.Utility_DisplayArrayInTable(Fertiliser_SourceData.Fertiliser_Products_Data2(), FertiliserProducts[[#Headers],[Company]],31)</f>
        <v/>
      </c>
      <c r="S124" s="146" t="str" cm="1">
        <f t="array" ref="S124">Common_InputFunctions.Utility_DisplayArrayInTable(Fertiliser_SourceData.Fertiliser_Products_Data2(), FertiliserProducts[[#Headers],[Company]],31)</f>
        <v/>
      </c>
      <c r="T124" s="146" t="str" cm="1">
        <f t="array" ref="T124">Common_InputFunctions.Utility_DisplayArrayInTable(Fertiliser_SourceData.Fertiliser_Products_Data2(), FertiliserProducts[[#Headers],[Company]],31)</f>
        <v/>
      </c>
      <c r="U124" s="146" t="str" cm="1">
        <f t="array" ref="U124">Common_InputFunctions.Utility_DisplayArrayInTable(Fertiliser_SourceData.Fertiliser_Products_Data2(), FertiliserProducts[[#Headers],[Company]],31)</f>
        <v/>
      </c>
      <c r="V124" s="146" t="str" cm="1">
        <f t="array" ref="V124">Common_InputFunctions.Utility_DisplayArrayInTable(Fertiliser_SourceData.Fertiliser_Products_Data2(), FertiliserProducts[[#Headers],[Company]],31)</f>
        <v/>
      </c>
      <c r="W124" s="146" t="str" cm="1">
        <f t="array" ref="W124">Common_InputFunctions.Utility_DisplayArrayInTable(Fertiliser_SourceData.Fertiliser_Products_Data2(), FertiliserProducts[[#Headers],[Company]],31)</f>
        <v/>
      </c>
      <c r="X124" s="146" t="str" cm="1">
        <f t="array" ref="X124">Common_InputFunctions.Utility_DisplayArrayInTable(Fertiliser_SourceData.Fertiliser_Products_Data2(), FertiliserProducts[[#Headers],[Company]],31)</f>
        <v/>
      </c>
      <c r="Y124" s="146" t="str" cm="1">
        <f t="array" ref="Y124">Common_InputFunctions.Utility_DisplayArrayInTable(Fertiliser_SourceData.Fertiliser_Products_Data2(), FertiliserProducts[[#Headers],[Company]],31)</f>
        <v/>
      </c>
      <c r="Z124" s="146" t="str" cm="1">
        <f t="array" ref="Z124">Common_InputFunctions.Utility_DisplayArrayInTable(Fertiliser_SourceData.Fertiliser_Products_Data2(), FertiliserProducts[[#Headers],[Company]],31)</f>
        <v/>
      </c>
      <c r="AA124" s="146" t="str" cm="1">
        <f t="array" ref="AA124">Common_InputFunctions.Utility_DisplayArrayInTable(Fertiliser_SourceData.Fertiliser_Products_Data2(), FertiliserProducts[[#Headers],[Company]],31)</f>
        <v/>
      </c>
      <c r="AB124" s="146" t="str" cm="1">
        <f t="array" ref="AB124">Common_InputFunctions.Utility_DisplayArrayInTable(Fertiliser_SourceData.Fertiliser_Products_Data2(), FertiliserProducts[[#Headers],[Company]],31)</f>
        <v/>
      </c>
      <c r="AC124" s="146" t="str" cm="1">
        <f t="array" ref="AC124">Common_InputFunctions.Utility_DisplayArrayInTable(Fertiliser_SourceData.Fertiliser_Products_Data2(), FertiliserProducts[[#Headers],[Company]],31)</f>
        <v/>
      </c>
      <c r="AD124" s="146" t="str" cm="1">
        <f t="array" ref="AD124">Common_InputFunctions.Utility_DisplayArrayInTable(Fertiliser_SourceData.Fertiliser_Products_Data2(), FertiliserProducts[[#Headers],[Company]],31)</f>
        <v/>
      </c>
      <c r="AE124" s="146" t="str" cm="1">
        <f t="array" ref="AE124">Common_InputFunctions.Utility_DisplayArrayInTable(Fertiliser_SourceData.Fertiliser_Products_Data2(), FertiliserProducts[[#Headers],[Company]],31)</f>
        <v/>
      </c>
      <c r="AF124" s="146" t="str" cm="1">
        <f t="array" ref="AF124">Common_InputFunctions.Utility_DisplayArrayInTable(Fertiliser_SourceData.Fertiliser_Products_Data2(), FertiliserProducts[[#Headers],[Company]],31)</f>
        <v/>
      </c>
      <c r="AG124" s="146" t="str" cm="1">
        <f t="array" ref="AG124">Common_InputFunctions.Utility_DisplayArrayInTable(Fertiliser_SourceData.Fertiliser_Products_Data2(), FertiliserProducts[[#Headers],[Company]],31)</f>
        <v/>
      </c>
      <c r="AH124" s="146" t="str" cm="1">
        <f t="array" ref="AH124">Common_InputFunctions.Utility_DisplayArrayInTable(Fertiliser_SourceData.Fertiliser_Products_Data2(), FertiliserProducts[[#Headers],[Company]],31)</f>
        <v/>
      </c>
      <c r="AK124" s="1"/>
      <c r="AL124" s="1"/>
      <c r="AM124" s="1"/>
    </row>
    <row r="125" spans="1:39" ht="20.100000000000001" customHeight="1" x14ac:dyDescent="0.2">
      <c r="D125" s="146" t="str" cm="1">
        <f t="array" ref="D125">Common_InputFunctions.Utility_DisplayArrayInTable(Fertiliser_SourceData.Fertiliser_Products_Data2(), FertiliserProducts[[#Headers],[Company]],31)</f>
        <v>Campbells fertilisers Australia</v>
      </c>
      <c r="E125" s="146" t="str" cm="1">
        <f t="array" ref="E125">Common_InputFunctions.Utility_DisplayArrayInTable(Fertiliser_SourceData.Fertiliser_Products_Data2(), FertiliserProducts[[#Headers],[Company]],31)</f>
        <v>Gold Premium</v>
      </c>
      <c r="F125" s="146" t="str" cm="1">
        <f t="array" ref="F125">Common_InputFunctions.Utility_DisplayArrayInTable(Fertiliser_SourceData.Fertiliser_Products_Data2(), FertiliserProducts[[#Headers],[Company]],31)</f>
        <v>kg</v>
      </c>
      <c r="G125" s="146" cm="1">
        <f t="array" ref="G125">Common_InputFunctions.Utility_DisplayArrayInTable(Fertiliser_SourceData.Fertiliser_Products_Data2(), FertiliserProducts[[#Headers],[Company]],31)</f>
        <v>1</v>
      </c>
      <c r="H125" s="146" t="str" cm="1">
        <f t="array" ref="H125">Common_InputFunctions.Utility_DisplayArrayInTable(Fertiliser_SourceData.Fertiliser_Products_Data2(), FertiliserProducts[[#Headers],[Company]],31)</f>
        <v/>
      </c>
      <c r="I125" s="146" t="str" cm="1">
        <f t="array" ref="I125">Common_InputFunctions.Utility_DisplayArrayInTable(Fertiliser_SourceData.Fertiliser_Products_Data2(), FertiliserProducts[[#Headers],[Company]],31)</f>
        <v/>
      </c>
      <c r="J125" s="146" t="str" cm="1">
        <f t="array" ref="J125">Common_InputFunctions.Utility_DisplayArrayInTable(Fertiliser_SourceData.Fertiliser_Products_Data2(), FertiliserProducts[[#Headers],[Company]],31)</f>
        <v/>
      </c>
      <c r="K125" s="146" cm="1">
        <f t="array" ref="K125">Common_InputFunctions.Utility_DisplayArrayInTable(Fertiliser_SourceData.Fertiliser_Products_Data2(), FertiliserProducts[[#Headers],[Company]],31)</f>
        <v>14.87</v>
      </c>
      <c r="L125" s="146" cm="1">
        <f t="array" ref="L125">Common_InputFunctions.Utility_DisplayArrayInTable(Fertiliser_SourceData.Fertiliser_Products_Data2(), FertiliserProducts[[#Headers],[Company]],31)</f>
        <v>2.2000000000000002</v>
      </c>
      <c r="M125" s="146" cm="1">
        <f t="array" ref="M125">Common_InputFunctions.Utility_DisplayArrayInTable(Fertiliser_SourceData.Fertiliser_Products_Data2(), FertiliserProducts[[#Headers],[Company]],31)</f>
        <v>16.600000000000001</v>
      </c>
      <c r="N125" s="146" cm="1">
        <f t="array" ref="N125">Common_InputFunctions.Utility_DisplayArrayInTable(Fertiliser_SourceData.Fertiliser_Products_Data2(), FertiliserProducts[[#Headers],[Company]],31)</f>
        <v>8</v>
      </c>
      <c r="O125" s="146" t="str" cm="1">
        <f t="array" ref="O125">Common_InputFunctions.Utility_DisplayArrayInTable(Fertiliser_SourceData.Fertiliser_Products_Data2(), FertiliserProducts[[#Headers],[Company]],31)</f>
        <v>Ammonium nitrate (AN)</v>
      </c>
      <c r="P125" s="146" cm="1">
        <f t="array" ref="P125">Common_InputFunctions.Utility_DisplayArrayInTable(Fertiliser_SourceData.Fertiliser_Products_Data2(), FertiliserProducts[[#Headers],[Company]],31)</f>
        <v>0.44117600000000001</v>
      </c>
      <c r="Q125" s="146" t="str" cm="1">
        <f t="array" ref="Q125">Common_InputFunctions.Utility_DisplayArrayInTable(Fertiliser_SourceData.Fertiliser_Products_Data2(), FertiliserProducts[[#Headers],[Company]],31)</f>
        <v>Potassium - Generic</v>
      </c>
      <c r="R125" s="146" cm="1">
        <f t="array" ref="R125">Common_InputFunctions.Utility_DisplayArrayInTable(Fertiliser_SourceData.Fertiliser_Products_Data2(), FertiliserProducts[[#Headers],[Company]],31)</f>
        <v>0.16600000000000001</v>
      </c>
      <c r="S125" s="146" t="str" cm="1">
        <f t="array" ref="S125">Common_InputFunctions.Utility_DisplayArrayInTable(Fertiliser_SourceData.Fertiliser_Products_Data2(), FertiliserProducts[[#Headers],[Company]],31)</f>
        <v>Sulfur - Generic</v>
      </c>
      <c r="T125" s="146" cm="1">
        <f t="array" ref="T125">Common_InputFunctions.Utility_DisplayArrayInTable(Fertiliser_SourceData.Fertiliser_Products_Data2(), FertiliserProducts[[#Headers],[Company]],31)</f>
        <v>0.08</v>
      </c>
      <c r="U125" s="146" t="str" cm="1">
        <f t="array" ref="U125">Common_InputFunctions.Utility_DisplayArrayInTable(Fertiliser_SourceData.Fertiliser_Products_Data2(), FertiliserProducts[[#Headers],[Company]],31)</f>
        <v>Phosphorus - Generic</v>
      </c>
      <c r="V125" s="146" cm="1">
        <f t="array" ref="V125">Common_InputFunctions.Utility_DisplayArrayInTable(Fertiliser_SourceData.Fertiliser_Products_Data2(), FertiliserProducts[[#Headers],[Company]],31)</f>
        <v>2.1999999999999999E-2</v>
      </c>
      <c r="W125" s="146" t="str" cm="1">
        <f t="array" ref="W125">Common_InputFunctions.Utility_DisplayArrayInTable(Fertiliser_SourceData.Fertiliser_Products_Data2(), FertiliserProducts[[#Headers],[Company]],31)</f>
        <v>Magnesium</v>
      </c>
      <c r="X125" s="146" cm="1">
        <f t="array" ref="X125">Common_InputFunctions.Utility_DisplayArrayInTable(Fertiliser_SourceData.Fertiliser_Products_Data2(), FertiliserProducts[[#Headers],[Company]],31)</f>
        <v>1.2E-2</v>
      </c>
      <c r="Y125" s="146" t="str" cm="1">
        <f t="array" ref="Y125">Common_InputFunctions.Utility_DisplayArrayInTable(Fertiliser_SourceData.Fertiliser_Products_Data2(), FertiliserProducts[[#Headers],[Company]],31)</f>
        <v>Boron</v>
      </c>
      <c r="Z125" s="146" cm="1">
        <f t="array" ref="Z125">Common_InputFunctions.Utility_DisplayArrayInTable(Fertiliser_SourceData.Fertiliser_Products_Data2(), FertiliserProducts[[#Headers],[Company]],31)</f>
        <v>2.0000000000000001E-4</v>
      </c>
      <c r="AA125" s="146" t="str" cm="1">
        <f t="array" ref="AA125">Common_InputFunctions.Utility_DisplayArrayInTable(Fertiliser_SourceData.Fertiliser_Products_Data2(), FertiliserProducts[[#Headers],[Company]],31)</f>
        <v>Zinc</v>
      </c>
      <c r="AB125" s="146" cm="1">
        <f t="array" ref="AB125">Common_InputFunctions.Utility_DisplayArrayInTable(Fertiliser_SourceData.Fertiliser_Products_Data2(), FertiliserProducts[[#Headers],[Company]],31)</f>
        <v>1E-4</v>
      </c>
      <c r="AC125" s="146" t="str" cm="1">
        <f t="array" ref="AC125">Common_InputFunctions.Utility_DisplayArrayInTable(Fertiliser_SourceData.Fertiliser_Products_Data2(), FertiliserProducts[[#Headers],[Company]],31)</f>
        <v/>
      </c>
      <c r="AD125" s="146" t="str" cm="1">
        <f t="array" ref="AD125">Common_InputFunctions.Utility_DisplayArrayInTable(Fertiliser_SourceData.Fertiliser_Products_Data2(), FertiliserProducts[[#Headers],[Company]],31)</f>
        <v/>
      </c>
      <c r="AE125" s="146" t="str" cm="1">
        <f t="array" ref="AE125">Common_InputFunctions.Utility_DisplayArrayInTable(Fertiliser_SourceData.Fertiliser_Products_Data2(), FertiliserProducts[[#Headers],[Company]],31)</f>
        <v/>
      </c>
      <c r="AF125" s="146" t="str" cm="1">
        <f t="array" ref="AF125">Common_InputFunctions.Utility_DisplayArrayInTable(Fertiliser_SourceData.Fertiliser_Products_Data2(), FertiliserProducts[[#Headers],[Company]],31)</f>
        <v/>
      </c>
      <c r="AG125" s="146" t="str" cm="1">
        <f t="array" ref="AG125">Common_InputFunctions.Utility_DisplayArrayInTable(Fertiliser_SourceData.Fertiliser_Products_Data2(), FertiliserProducts[[#Headers],[Company]],31)</f>
        <v/>
      </c>
      <c r="AH125" s="146" t="str" cm="1">
        <f t="array" ref="AH125">Common_InputFunctions.Utility_DisplayArrayInTable(Fertiliser_SourceData.Fertiliser_Products_Data2(), FertiliserProducts[[#Headers],[Company]],31)</f>
        <v/>
      </c>
      <c r="AK125" s="1"/>
      <c r="AL125" s="1"/>
      <c r="AM125" s="1"/>
    </row>
    <row r="126" spans="1:39" ht="20.100000000000001" customHeight="1" x14ac:dyDescent="0.2">
      <c r="A126" s="79" t="str">
        <f>HYPERLINK("#A1", "▲ Back to top")</f>
        <v>▲ Back to top</v>
      </c>
      <c r="D126" s="146" t="str" cm="1">
        <f t="array" ref="D126">Common_InputFunctions.Utility_DisplayArrayInTable(Fertiliser_SourceData.Fertiliser_Products_Data2(), FertiliserProducts[[#Headers],[Company]],31)</f>
        <v>SL Tec</v>
      </c>
      <c r="E126" s="146" t="str" cm="1">
        <f t="array" ref="E126">Common_InputFunctions.Utility_DisplayArrayInTable(Fertiliser_SourceData.Fertiliser_Products_Data2(), FertiliserProducts[[#Headers],[Company]],31)</f>
        <v>High NS</v>
      </c>
      <c r="F126" s="146" t="str" cm="1">
        <f t="array" ref="F126">Common_InputFunctions.Utility_DisplayArrayInTable(Fertiliser_SourceData.Fertiliser_Products_Data2(), FertiliserProducts[[#Headers],[Company]],31)</f>
        <v>L</v>
      </c>
      <c r="G126" s="146" cm="1">
        <f t="array" ref="G126">Common_InputFunctions.Utility_DisplayArrayInTable(Fertiliser_SourceData.Fertiliser_Products_Data2(), FertiliserProducts[[#Headers],[Company]],31)</f>
        <v>1.2989999999999999</v>
      </c>
      <c r="H126" s="146" t="str" cm="1">
        <f t="array" ref="H126">Common_InputFunctions.Utility_DisplayArrayInTable(Fertiliser_SourceData.Fertiliser_Products_Data2(), FertiliserProducts[[#Headers],[Company]],31)</f>
        <v/>
      </c>
      <c r="I126" s="146" t="str" cm="1">
        <f t="array" ref="I126">Common_InputFunctions.Utility_DisplayArrayInTable(Fertiliser_SourceData.Fertiliser_Products_Data2(), FertiliserProducts[[#Headers],[Company]],31)</f>
        <v/>
      </c>
      <c r="J126" s="146" t="str" cm="1">
        <f t="array" ref="J126">Common_InputFunctions.Utility_DisplayArrayInTable(Fertiliser_SourceData.Fertiliser_Products_Data2(), FertiliserProducts[[#Headers],[Company]],31)</f>
        <v/>
      </c>
      <c r="K126" s="146" cm="1">
        <f t="array" ref="K126">Common_InputFunctions.Utility_DisplayArrayInTable(Fertiliser_SourceData.Fertiliser_Products_Data2(), FertiliserProducts[[#Headers],[Company]],31)</f>
        <v>38</v>
      </c>
      <c r="L126" s="146" t="str" cm="1">
        <f t="array" ref="L126">Common_InputFunctions.Utility_DisplayArrayInTable(Fertiliser_SourceData.Fertiliser_Products_Data2(), FertiliserProducts[[#Headers],[Company]],31)</f>
        <v/>
      </c>
      <c r="M126" s="146" t="str" cm="1">
        <f t="array" ref="M126">Common_InputFunctions.Utility_DisplayArrayInTable(Fertiliser_SourceData.Fertiliser_Products_Data2(), FertiliserProducts[[#Headers],[Company]],31)</f>
        <v/>
      </c>
      <c r="N126" s="146" cm="1">
        <f t="array" ref="N126">Common_InputFunctions.Utility_DisplayArrayInTable(Fertiliser_SourceData.Fertiliser_Products_Data2(), FertiliserProducts[[#Headers],[Company]],31)</f>
        <v>2</v>
      </c>
      <c r="O126" s="146" t="str" cm="1">
        <f t="array" ref="O126">Common_InputFunctions.Utility_DisplayArrayInTable(Fertiliser_SourceData.Fertiliser_Products_Data2(), FertiliserProducts[[#Headers],[Company]],31)</f>
        <v>Urea</v>
      </c>
      <c r="P126" s="146" cm="1">
        <f t="array" ref="P126">Common_InputFunctions.Utility_DisplayArrayInTable(Fertiliser_SourceData.Fertiliser_Products_Data2(), FertiliserProducts[[#Headers],[Company]],31)</f>
        <v>0.46087</v>
      </c>
      <c r="Q126" s="146" t="str" cm="1">
        <f t="array" ref="Q126">Common_InputFunctions.Utility_DisplayArrayInTable(Fertiliser_SourceData.Fertiliser_Products_Data2(), FertiliserProducts[[#Headers],[Company]],31)</f>
        <v>Nitrogen - Ammoniacal</v>
      </c>
      <c r="R126" s="146" cm="1">
        <f t="array" ref="R126">Common_InputFunctions.Utility_DisplayArrayInTable(Fertiliser_SourceData.Fertiliser_Products_Data2(), FertiliserProducts[[#Headers],[Company]],31)</f>
        <v>9.1999999999999998E-2</v>
      </c>
      <c r="S126" s="146" t="str" cm="1">
        <f t="array" ref="S126">Common_InputFunctions.Utility_DisplayArrayInTable(Fertiliser_SourceData.Fertiliser_Products_Data2(), FertiliserProducts[[#Headers],[Company]],31)</f>
        <v>Nitrogen - Nitrate</v>
      </c>
      <c r="T126" s="146" cm="1">
        <f t="array" ref="T126">Common_InputFunctions.Utility_DisplayArrayInTable(Fertiliser_SourceData.Fertiliser_Products_Data2(), FertiliserProducts[[#Headers],[Company]],31)</f>
        <v>7.5999999999999998E-2</v>
      </c>
      <c r="U126" s="146" t="str" cm="1">
        <f t="array" ref="U126">Common_InputFunctions.Utility_DisplayArrayInTable(Fertiliser_SourceData.Fertiliser_Products_Data2(), FertiliserProducts[[#Headers],[Company]],31)</f>
        <v>Sulfur - Generic</v>
      </c>
      <c r="V126" s="146" cm="1">
        <f t="array" ref="V126">Common_InputFunctions.Utility_DisplayArrayInTable(Fertiliser_SourceData.Fertiliser_Products_Data2(), FertiliserProducts[[#Headers],[Company]],31)</f>
        <v>0.02</v>
      </c>
      <c r="W126" s="146" t="str" cm="1">
        <f t="array" ref="W126">Common_InputFunctions.Utility_DisplayArrayInTable(Fertiliser_SourceData.Fertiliser_Products_Data2(), FertiliserProducts[[#Headers],[Company]],31)</f>
        <v/>
      </c>
      <c r="X126" s="146" t="str" cm="1">
        <f t="array" ref="X126">Common_InputFunctions.Utility_DisplayArrayInTable(Fertiliser_SourceData.Fertiliser_Products_Data2(), FertiliserProducts[[#Headers],[Company]],31)</f>
        <v/>
      </c>
      <c r="Y126" s="146" t="str" cm="1">
        <f t="array" ref="Y126">Common_InputFunctions.Utility_DisplayArrayInTable(Fertiliser_SourceData.Fertiliser_Products_Data2(), FertiliserProducts[[#Headers],[Company]],31)</f>
        <v/>
      </c>
      <c r="Z126" s="146" t="str" cm="1">
        <f t="array" ref="Z126">Common_InputFunctions.Utility_DisplayArrayInTable(Fertiliser_SourceData.Fertiliser_Products_Data2(), FertiliserProducts[[#Headers],[Company]],31)</f>
        <v/>
      </c>
      <c r="AA126" s="146" t="str" cm="1">
        <f t="array" ref="AA126">Common_InputFunctions.Utility_DisplayArrayInTable(Fertiliser_SourceData.Fertiliser_Products_Data2(), FertiliserProducts[[#Headers],[Company]],31)</f>
        <v/>
      </c>
      <c r="AB126" s="146" t="str" cm="1">
        <f t="array" ref="AB126">Common_InputFunctions.Utility_DisplayArrayInTable(Fertiliser_SourceData.Fertiliser_Products_Data2(), FertiliserProducts[[#Headers],[Company]],31)</f>
        <v/>
      </c>
      <c r="AC126" s="146" t="str" cm="1">
        <f t="array" ref="AC126">Common_InputFunctions.Utility_DisplayArrayInTable(Fertiliser_SourceData.Fertiliser_Products_Data2(), FertiliserProducts[[#Headers],[Company]],31)</f>
        <v/>
      </c>
      <c r="AD126" s="146" t="str" cm="1">
        <f t="array" ref="AD126">Common_InputFunctions.Utility_DisplayArrayInTable(Fertiliser_SourceData.Fertiliser_Products_Data2(), FertiliserProducts[[#Headers],[Company]],31)</f>
        <v/>
      </c>
      <c r="AE126" s="146" t="str" cm="1">
        <f t="array" ref="AE126">Common_InputFunctions.Utility_DisplayArrayInTable(Fertiliser_SourceData.Fertiliser_Products_Data2(), FertiliserProducts[[#Headers],[Company]],31)</f>
        <v/>
      </c>
      <c r="AF126" s="146" t="str" cm="1">
        <f t="array" ref="AF126">Common_InputFunctions.Utility_DisplayArrayInTable(Fertiliser_SourceData.Fertiliser_Products_Data2(), FertiliserProducts[[#Headers],[Company]],31)</f>
        <v/>
      </c>
      <c r="AG126" s="146" t="str" cm="1">
        <f t="array" ref="AG126">Common_InputFunctions.Utility_DisplayArrayInTable(Fertiliser_SourceData.Fertiliser_Products_Data2(), FertiliserProducts[[#Headers],[Company]],31)</f>
        <v/>
      </c>
      <c r="AH126" s="146" t="str" cm="1">
        <f t="array" ref="AH126">Common_InputFunctions.Utility_DisplayArrayInTable(Fertiliser_SourceData.Fertiliser_Products_Data2(), FertiliserProducts[[#Headers],[Company]],31)</f>
        <v/>
      </c>
      <c r="AK126" s="1"/>
      <c r="AL126" s="1"/>
      <c r="AM126" s="1"/>
    </row>
    <row r="127" spans="1:39" ht="20.100000000000001" customHeight="1" x14ac:dyDescent="0.2">
      <c r="D127" s="146" t="str" cm="1">
        <f t="array" ref="D127">Common_InputFunctions.Utility_DisplayArrayInTable(Fertiliser_SourceData.Fertiliser_Products_Data2(), FertiliserProducts[[#Headers],[Company]],31)</f>
        <v>Impact Fertilisers</v>
      </c>
      <c r="E127" s="146" t="str" cm="1">
        <f t="array" ref="E127">Common_InputFunctions.Utility_DisplayArrayInTable(Fertiliser_SourceData.Fertiliser_Products_Data2(), FertiliserProducts[[#Headers],[Company]],31)</f>
        <v>Impact SSP</v>
      </c>
      <c r="F127" s="146" t="str" cm="1">
        <f t="array" ref="F127">Common_InputFunctions.Utility_DisplayArrayInTable(Fertiliser_SourceData.Fertiliser_Products_Data2(), FertiliserProducts[[#Headers],[Company]],31)</f>
        <v>kg</v>
      </c>
      <c r="G127" s="146" cm="1">
        <f t="array" ref="G127">Common_InputFunctions.Utility_DisplayArrayInTable(Fertiliser_SourceData.Fertiliser_Products_Data2(), FertiliserProducts[[#Headers],[Company]],31)</f>
        <v>1</v>
      </c>
      <c r="H127" s="146" t="str" cm="1">
        <f t="array" ref="H127">Common_InputFunctions.Utility_DisplayArrayInTable(Fertiliser_SourceData.Fertiliser_Products_Data2(), FertiliserProducts[[#Headers],[Company]],31)</f>
        <v/>
      </c>
      <c r="I127" s="146" t="str" cm="1">
        <f t="array" ref="I127">Common_InputFunctions.Utility_DisplayArrayInTable(Fertiliser_SourceData.Fertiliser_Products_Data2(), FertiliserProducts[[#Headers],[Company]],31)</f>
        <v/>
      </c>
      <c r="J127" s="146" t="str" cm="1">
        <f t="array" ref="J127">Common_InputFunctions.Utility_DisplayArrayInTable(Fertiliser_SourceData.Fertiliser_Products_Data2(), FertiliserProducts[[#Headers],[Company]],31)</f>
        <v/>
      </c>
      <c r="K127" s="146" t="str" cm="1">
        <f t="array" ref="K127">Common_InputFunctions.Utility_DisplayArrayInTable(Fertiliser_SourceData.Fertiliser_Products_Data2(), FertiliserProducts[[#Headers],[Company]],31)</f>
        <v/>
      </c>
      <c r="L127" s="146" cm="1">
        <f t="array" ref="L127">Common_InputFunctions.Utility_DisplayArrayInTable(Fertiliser_SourceData.Fertiliser_Products_Data2(), FertiliserProducts[[#Headers],[Company]],31)</f>
        <v>8.8000000000000007</v>
      </c>
      <c r="M127" s="146" t="str" cm="1">
        <f t="array" ref="M127">Common_InputFunctions.Utility_DisplayArrayInTable(Fertiliser_SourceData.Fertiliser_Products_Data2(), FertiliserProducts[[#Headers],[Company]],31)</f>
        <v/>
      </c>
      <c r="N127" s="146" cm="1">
        <f t="array" ref="N127">Common_InputFunctions.Utility_DisplayArrayInTable(Fertiliser_SourceData.Fertiliser_Products_Data2(), FertiliserProducts[[#Headers],[Company]],31)</f>
        <v>11</v>
      </c>
      <c r="O127" s="146" t="str" cm="1">
        <f t="array" ref="O127">Common_InputFunctions.Utility_DisplayArrayInTable(Fertiliser_SourceData.Fertiliser_Products_Data2(), FertiliserProducts[[#Headers],[Company]],31)</f>
        <v>Single superphosphate (SSP)</v>
      </c>
      <c r="P127" s="146" cm="1">
        <f t="array" ref="P127">Common_InputFunctions.Utility_DisplayArrayInTable(Fertiliser_SourceData.Fertiliser_Products_Data2(), FertiliserProducts[[#Headers],[Company]],31)</f>
        <v>1</v>
      </c>
      <c r="Q127" s="146" t="str" cm="1">
        <f t="array" ref="Q127">Common_InputFunctions.Utility_DisplayArrayInTable(Fertiliser_SourceData.Fertiliser_Products_Data2(), FertiliserProducts[[#Headers],[Company]],31)</f>
        <v/>
      </c>
      <c r="R127" s="146" t="str" cm="1">
        <f t="array" ref="R127">Common_InputFunctions.Utility_DisplayArrayInTable(Fertiliser_SourceData.Fertiliser_Products_Data2(), FertiliserProducts[[#Headers],[Company]],31)</f>
        <v/>
      </c>
      <c r="S127" s="146" t="str" cm="1">
        <f t="array" ref="S127">Common_InputFunctions.Utility_DisplayArrayInTable(Fertiliser_SourceData.Fertiliser_Products_Data2(), FertiliserProducts[[#Headers],[Company]],31)</f>
        <v/>
      </c>
      <c r="T127" s="146" t="str" cm="1">
        <f t="array" ref="T127">Common_InputFunctions.Utility_DisplayArrayInTable(Fertiliser_SourceData.Fertiliser_Products_Data2(), FertiliserProducts[[#Headers],[Company]],31)</f>
        <v/>
      </c>
      <c r="U127" s="146" t="str" cm="1">
        <f t="array" ref="U127">Common_InputFunctions.Utility_DisplayArrayInTable(Fertiliser_SourceData.Fertiliser_Products_Data2(), FertiliserProducts[[#Headers],[Company]],31)</f>
        <v/>
      </c>
      <c r="V127" s="146" t="str" cm="1">
        <f t="array" ref="V127">Common_InputFunctions.Utility_DisplayArrayInTable(Fertiliser_SourceData.Fertiliser_Products_Data2(), FertiliserProducts[[#Headers],[Company]],31)</f>
        <v/>
      </c>
      <c r="W127" s="146" t="str" cm="1">
        <f t="array" ref="W127">Common_InputFunctions.Utility_DisplayArrayInTable(Fertiliser_SourceData.Fertiliser_Products_Data2(), FertiliserProducts[[#Headers],[Company]],31)</f>
        <v/>
      </c>
      <c r="X127" s="146" t="str" cm="1">
        <f t="array" ref="X127">Common_InputFunctions.Utility_DisplayArrayInTable(Fertiliser_SourceData.Fertiliser_Products_Data2(), FertiliserProducts[[#Headers],[Company]],31)</f>
        <v/>
      </c>
      <c r="Y127" s="146" t="str" cm="1">
        <f t="array" ref="Y127">Common_InputFunctions.Utility_DisplayArrayInTable(Fertiliser_SourceData.Fertiliser_Products_Data2(), FertiliserProducts[[#Headers],[Company]],31)</f>
        <v/>
      </c>
      <c r="Z127" s="146" t="str" cm="1">
        <f t="array" ref="Z127">Common_InputFunctions.Utility_DisplayArrayInTable(Fertiliser_SourceData.Fertiliser_Products_Data2(), FertiliserProducts[[#Headers],[Company]],31)</f>
        <v/>
      </c>
      <c r="AA127" s="146" t="str" cm="1">
        <f t="array" ref="AA127">Common_InputFunctions.Utility_DisplayArrayInTable(Fertiliser_SourceData.Fertiliser_Products_Data2(), FertiliserProducts[[#Headers],[Company]],31)</f>
        <v/>
      </c>
      <c r="AB127" s="146" t="str" cm="1">
        <f t="array" ref="AB127">Common_InputFunctions.Utility_DisplayArrayInTable(Fertiliser_SourceData.Fertiliser_Products_Data2(), FertiliserProducts[[#Headers],[Company]],31)</f>
        <v/>
      </c>
      <c r="AC127" s="146" t="str" cm="1">
        <f t="array" ref="AC127">Common_InputFunctions.Utility_DisplayArrayInTable(Fertiliser_SourceData.Fertiliser_Products_Data2(), FertiliserProducts[[#Headers],[Company]],31)</f>
        <v/>
      </c>
      <c r="AD127" s="146" t="str" cm="1">
        <f t="array" ref="AD127">Common_InputFunctions.Utility_DisplayArrayInTable(Fertiliser_SourceData.Fertiliser_Products_Data2(), FertiliserProducts[[#Headers],[Company]],31)</f>
        <v/>
      </c>
      <c r="AE127" s="146" t="str" cm="1">
        <f t="array" ref="AE127">Common_InputFunctions.Utility_DisplayArrayInTable(Fertiliser_SourceData.Fertiliser_Products_Data2(), FertiliserProducts[[#Headers],[Company]],31)</f>
        <v/>
      </c>
      <c r="AF127" s="146" t="str" cm="1">
        <f t="array" ref="AF127">Common_InputFunctions.Utility_DisplayArrayInTable(Fertiliser_SourceData.Fertiliser_Products_Data2(), FertiliserProducts[[#Headers],[Company]],31)</f>
        <v/>
      </c>
      <c r="AG127" s="146" t="str" cm="1">
        <f t="array" ref="AG127">Common_InputFunctions.Utility_DisplayArrayInTable(Fertiliser_SourceData.Fertiliser_Products_Data2(), FertiliserProducts[[#Headers],[Company]],31)</f>
        <v/>
      </c>
      <c r="AH127" s="146" t="str" cm="1">
        <f t="array" ref="AH127">Common_InputFunctions.Utility_DisplayArrayInTable(Fertiliser_SourceData.Fertiliser_Products_Data2(), FertiliserProducts[[#Headers],[Company]],31)</f>
        <v/>
      </c>
      <c r="AK127" s="1"/>
      <c r="AL127" s="1"/>
      <c r="AM127" s="1"/>
    </row>
    <row r="128" spans="1:39" ht="20.100000000000001" customHeight="1" x14ac:dyDescent="0.2">
      <c r="D128" s="146" t="str" cm="1">
        <f t="array" ref="D128">Common_InputFunctions.Utility_DisplayArrayInTable(Fertiliser_SourceData.Fertiliser_Products_Data2(), FertiliserProducts[[#Headers],[Company]],31)</f>
        <v>Switch Ag</v>
      </c>
      <c r="E128" s="146" t="str" cm="1">
        <f t="array" ref="E128">Common_InputFunctions.Utility_DisplayArrayInTable(Fertiliser_SourceData.Fertiliser_Products_Data2(), FertiliserProducts[[#Headers],[Company]],31)</f>
        <v>In Crop</v>
      </c>
      <c r="F128" s="146" t="str" cm="1">
        <f t="array" ref="F128">Common_InputFunctions.Utility_DisplayArrayInTable(Fertiliser_SourceData.Fertiliser_Products_Data2(), FertiliserProducts[[#Headers],[Company]],31)</f>
        <v>L</v>
      </c>
      <c r="G128" s="146" cm="1">
        <f t="array" ref="G128">Common_InputFunctions.Utility_DisplayArrayInTable(Fertiliser_SourceData.Fertiliser_Products_Data2(), FertiliserProducts[[#Headers],[Company]],31)</f>
        <v>1.2</v>
      </c>
      <c r="H128" s="146" t="str" cm="1">
        <f t="array" ref="H128">Common_InputFunctions.Utility_DisplayArrayInTable(Fertiliser_SourceData.Fertiliser_Products_Data2(), FertiliserProducts[[#Headers],[Company]],31)</f>
        <v/>
      </c>
      <c r="I128" s="146" t="str" cm="1">
        <f t="array" ref="I128">Common_InputFunctions.Utility_DisplayArrayInTable(Fertiliser_SourceData.Fertiliser_Products_Data2(), FertiliserProducts[[#Headers],[Company]],31)</f>
        <v/>
      </c>
      <c r="J128" s="146" t="str" cm="1">
        <f t="array" ref="J128">Common_InputFunctions.Utility_DisplayArrayInTable(Fertiliser_SourceData.Fertiliser_Products_Data2(), FertiliserProducts[[#Headers],[Company]],31)</f>
        <v/>
      </c>
      <c r="K128" s="146" cm="1">
        <f t="array" ref="K128">Common_InputFunctions.Utility_DisplayArrayInTable(Fertiliser_SourceData.Fertiliser_Products_Data2(), FertiliserProducts[[#Headers],[Company]],31)</f>
        <v>10</v>
      </c>
      <c r="L128" s="146" cm="1">
        <f t="array" ref="L128">Common_InputFunctions.Utility_DisplayArrayInTable(Fertiliser_SourceData.Fertiliser_Products_Data2(), FertiliserProducts[[#Headers],[Company]],31)</f>
        <v>1</v>
      </c>
      <c r="M128" s="146" cm="1">
        <f t="array" ref="M128">Common_InputFunctions.Utility_DisplayArrayInTable(Fertiliser_SourceData.Fertiliser_Products_Data2(), FertiliserProducts[[#Headers],[Company]],31)</f>
        <v>11</v>
      </c>
      <c r="N128" s="146" t="str" cm="1">
        <f t="array" ref="N128">Common_InputFunctions.Utility_DisplayArrayInTable(Fertiliser_SourceData.Fertiliser_Products_Data2(), FertiliserProducts[[#Headers],[Company]],31)</f>
        <v/>
      </c>
      <c r="O128" s="146" t="str" cm="1">
        <f t="array" ref="O128">Common_InputFunctions.Utility_DisplayArrayInTable(Fertiliser_SourceData.Fertiliser_Products_Data2(), FertiliserProducts[[#Headers],[Company]],31)</f>
        <v>Potassium - Generic</v>
      </c>
      <c r="P128" s="146" cm="1">
        <f t="array" ref="P128">Common_InputFunctions.Utility_DisplayArrayInTable(Fertiliser_SourceData.Fertiliser_Products_Data2(), FertiliserProducts[[#Headers],[Company]],31)</f>
        <v>0.11</v>
      </c>
      <c r="Q128" s="146" t="str" cm="1">
        <f t="array" ref="Q128">Common_InputFunctions.Utility_DisplayArrayInTable(Fertiliser_SourceData.Fertiliser_Products_Data2(), FertiliserProducts[[#Headers],[Company]],31)</f>
        <v>Nitrogen - Generic</v>
      </c>
      <c r="R128" s="146" cm="1">
        <f t="array" ref="R128">Common_InputFunctions.Utility_DisplayArrayInTable(Fertiliser_SourceData.Fertiliser_Products_Data2(), FertiliserProducts[[#Headers],[Company]],31)</f>
        <v>0.1</v>
      </c>
      <c r="S128" s="146" t="str" cm="1">
        <f t="array" ref="S128">Common_InputFunctions.Utility_DisplayArrayInTable(Fertiliser_SourceData.Fertiliser_Products_Data2(), FertiliserProducts[[#Headers],[Company]],31)</f>
        <v>Phosphorus - Generic</v>
      </c>
      <c r="T128" s="146" cm="1">
        <f t="array" ref="T128">Common_InputFunctions.Utility_DisplayArrayInTable(Fertiliser_SourceData.Fertiliser_Products_Data2(), FertiliserProducts[[#Headers],[Company]],31)</f>
        <v>0.01</v>
      </c>
      <c r="U128" s="146" t="str" cm="1">
        <f t="array" ref="U128">Common_InputFunctions.Utility_DisplayArrayInTable(Fertiliser_SourceData.Fertiliser_Products_Data2(), FertiliserProducts[[#Headers],[Company]],31)</f>
        <v/>
      </c>
      <c r="V128" s="146" t="str" cm="1">
        <f t="array" ref="V128">Common_InputFunctions.Utility_DisplayArrayInTable(Fertiliser_SourceData.Fertiliser_Products_Data2(), FertiliserProducts[[#Headers],[Company]],31)</f>
        <v/>
      </c>
      <c r="W128" s="146" t="str" cm="1">
        <f t="array" ref="W128">Common_InputFunctions.Utility_DisplayArrayInTable(Fertiliser_SourceData.Fertiliser_Products_Data2(), FertiliserProducts[[#Headers],[Company]],31)</f>
        <v/>
      </c>
      <c r="X128" s="146" t="str" cm="1">
        <f t="array" ref="X128">Common_InputFunctions.Utility_DisplayArrayInTable(Fertiliser_SourceData.Fertiliser_Products_Data2(), FertiliserProducts[[#Headers],[Company]],31)</f>
        <v/>
      </c>
      <c r="Y128" s="146" t="str" cm="1">
        <f t="array" ref="Y128">Common_InputFunctions.Utility_DisplayArrayInTable(Fertiliser_SourceData.Fertiliser_Products_Data2(), FertiliserProducts[[#Headers],[Company]],31)</f>
        <v/>
      </c>
      <c r="Z128" s="146" t="str" cm="1">
        <f t="array" ref="Z128">Common_InputFunctions.Utility_DisplayArrayInTable(Fertiliser_SourceData.Fertiliser_Products_Data2(), FertiliserProducts[[#Headers],[Company]],31)</f>
        <v/>
      </c>
      <c r="AA128" s="146" t="str" cm="1">
        <f t="array" ref="AA128">Common_InputFunctions.Utility_DisplayArrayInTable(Fertiliser_SourceData.Fertiliser_Products_Data2(), FertiliserProducts[[#Headers],[Company]],31)</f>
        <v/>
      </c>
      <c r="AB128" s="146" t="str" cm="1">
        <f t="array" ref="AB128">Common_InputFunctions.Utility_DisplayArrayInTable(Fertiliser_SourceData.Fertiliser_Products_Data2(), FertiliserProducts[[#Headers],[Company]],31)</f>
        <v/>
      </c>
      <c r="AC128" s="146" t="str" cm="1">
        <f t="array" ref="AC128">Common_InputFunctions.Utility_DisplayArrayInTable(Fertiliser_SourceData.Fertiliser_Products_Data2(), FertiliserProducts[[#Headers],[Company]],31)</f>
        <v/>
      </c>
      <c r="AD128" s="146" t="str" cm="1">
        <f t="array" ref="AD128">Common_InputFunctions.Utility_DisplayArrayInTable(Fertiliser_SourceData.Fertiliser_Products_Data2(), FertiliserProducts[[#Headers],[Company]],31)</f>
        <v/>
      </c>
      <c r="AE128" s="146" t="str" cm="1">
        <f t="array" ref="AE128">Common_InputFunctions.Utility_DisplayArrayInTable(Fertiliser_SourceData.Fertiliser_Products_Data2(), FertiliserProducts[[#Headers],[Company]],31)</f>
        <v/>
      </c>
      <c r="AF128" s="146" t="str" cm="1">
        <f t="array" ref="AF128">Common_InputFunctions.Utility_DisplayArrayInTable(Fertiliser_SourceData.Fertiliser_Products_Data2(), FertiliserProducts[[#Headers],[Company]],31)</f>
        <v/>
      </c>
      <c r="AG128" s="146" t="str" cm="1">
        <f t="array" ref="AG128">Common_InputFunctions.Utility_DisplayArrayInTable(Fertiliser_SourceData.Fertiliser_Products_Data2(), FertiliserProducts[[#Headers],[Company]],31)</f>
        <v/>
      </c>
      <c r="AH128" s="146" t="str" cm="1">
        <f t="array" ref="AH128">Common_InputFunctions.Utility_DisplayArrayInTable(Fertiliser_SourceData.Fertiliser_Products_Data2(), FertiliserProducts[[#Headers],[Company]],31)</f>
        <v/>
      </c>
      <c r="AK128" s="1"/>
      <c r="AL128" s="1"/>
      <c r="AM128" s="1"/>
    </row>
    <row r="129" spans="4:39" ht="20.100000000000001" customHeight="1" x14ac:dyDescent="0.2">
      <c r="D129" s="146" t="str" cm="1">
        <f t="array" ref="D129">Common_InputFunctions.Utility_DisplayArrayInTable(Fertiliser_SourceData.Fertiliser_Products_Data2(), FertiliserProducts[[#Headers],[Company]],31)</f>
        <v>Switch Ag</v>
      </c>
      <c r="E129" s="146" t="str" cm="1">
        <f t="array" ref="E129">Common_InputFunctions.Utility_DisplayArrayInTable(Fertiliser_SourceData.Fertiliser_Products_Data2(), FertiliserProducts[[#Headers],[Company]],31)</f>
        <v>K20</v>
      </c>
      <c r="F129" s="146" t="str" cm="1">
        <f t="array" ref="F129">Common_InputFunctions.Utility_DisplayArrayInTable(Fertiliser_SourceData.Fertiliser_Products_Data2(), FertiliserProducts[[#Headers],[Company]],31)</f>
        <v>L</v>
      </c>
      <c r="G129" s="146" cm="1">
        <f t="array" ref="G129">Common_InputFunctions.Utility_DisplayArrayInTable(Fertiliser_SourceData.Fertiliser_Products_Data2(), FertiliserProducts[[#Headers],[Company]],31)</f>
        <v>1.3</v>
      </c>
      <c r="H129" s="146" t="str" cm="1">
        <f t="array" ref="H129">Common_InputFunctions.Utility_DisplayArrayInTable(Fertiliser_SourceData.Fertiliser_Products_Data2(), FertiliserProducts[[#Headers],[Company]],31)</f>
        <v/>
      </c>
      <c r="I129" s="146" t="str" cm="1">
        <f t="array" ref="I129">Common_InputFunctions.Utility_DisplayArrayInTable(Fertiliser_SourceData.Fertiliser_Products_Data2(), FertiliserProducts[[#Headers],[Company]],31)</f>
        <v/>
      </c>
      <c r="J129" s="146" t="str" cm="1">
        <f t="array" ref="J129">Common_InputFunctions.Utility_DisplayArrayInTable(Fertiliser_SourceData.Fertiliser_Products_Data2(), FertiliserProducts[[#Headers],[Company]],31)</f>
        <v/>
      </c>
      <c r="K129" s="146" cm="1">
        <f t="array" ref="K129">Common_InputFunctions.Utility_DisplayArrayInTable(Fertiliser_SourceData.Fertiliser_Products_Data2(), FertiliserProducts[[#Headers],[Company]],31)</f>
        <v>3</v>
      </c>
      <c r="L129" s="146" t="str" cm="1">
        <f t="array" ref="L129">Common_InputFunctions.Utility_DisplayArrayInTable(Fertiliser_SourceData.Fertiliser_Products_Data2(), FertiliserProducts[[#Headers],[Company]],31)</f>
        <v/>
      </c>
      <c r="M129" s="146" cm="1">
        <f t="array" ref="M129">Common_InputFunctions.Utility_DisplayArrayInTable(Fertiliser_SourceData.Fertiliser_Products_Data2(), FertiliserProducts[[#Headers],[Company]],31)</f>
        <v>22</v>
      </c>
      <c r="N129" s="146" t="str" cm="1">
        <f t="array" ref="N129">Common_InputFunctions.Utility_DisplayArrayInTable(Fertiliser_SourceData.Fertiliser_Products_Data2(), FertiliserProducts[[#Headers],[Company]],31)</f>
        <v/>
      </c>
      <c r="O129" s="146" t="str" cm="1">
        <f t="array" ref="O129">Common_InputFunctions.Utility_DisplayArrayInTable(Fertiliser_SourceData.Fertiliser_Products_Data2(), FertiliserProducts[[#Headers],[Company]],31)</f>
        <v>Potassium - Generic</v>
      </c>
      <c r="P129" s="146" cm="1">
        <f t="array" ref="P129">Common_InputFunctions.Utility_DisplayArrayInTable(Fertiliser_SourceData.Fertiliser_Products_Data2(), FertiliserProducts[[#Headers],[Company]],31)</f>
        <v>0.22</v>
      </c>
      <c r="Q129" s="146" t="str" cm="1">
        <f t="array" ref="Q129">Common_InputFunctions.Utility_DisplayArrayInTable(Fertiliser_SourceData.Fertiliser_Products_Data2(), FertiliserProducts[[#Headers],[Company]],31)</f>
        <v>Nitrogen - Generic</v>
      </c>
      <c r="R129" s="146" cm="1">
        <f t="array" ref="R129">Common_InputFunctions.Utility_DisplayArrayInTable(Fertiliser_SourceData.Fertiliser_Products_Data2(), FertiliserProducts[[#Headers],[Company]],31)</f>
        <v>0.03</v>
      </c>
      <c r="S129" s="146" t="str" cm="1">
        <f t="array" ref="S129">Common_InputFunctions.Utility_DisplayArrayInTable(Fertiliser_SourceData.Fertiliser_Products_Data2(), FertiliserProducts[[#Headers],[Company]],31)</f>
        <v/>
      </c>
      <c r="T129" s="146" t="str" cm="1">
        <f t="array" ref="T129">Common_InputFunctions.Utility_DisplayArrayInTable(Fertiliser_SourceData.Fertiliser_Products_Data2(), FertiliserProducts[[#Headers],[Company]],31)</f>
        <v/>
      </c>
      <c r="U129" s="146" t="str" cm="1">
        <f t="array" ref="U129">Common_InputFunctions.Utility_DisplayArrayInTable(Fertiliser_SourceData.Fertiliser_Products_Data2(), FertiliserProducts[[#Headers],[Company]],31)</f>
        <v/>
      </c>
      <c r="V129" s="146" t="str" cm="1">
        <f t="array" ref="V129">Common_InputFunctions.Utility_DisplayArrayInTable(Fertiliser_SourceData.Fertiliser_Products_Data2(), FertiliserProducts[[#Headers],[Company]],31)</f>
        <v/>
      </c>
      <c r="W129" s="146" t="str" cm="1">
        <f t="array" ref="W129">Common_InputFunctions.Utility_DisplayArrayInTable(Fertiliser_SourceData.Fertiliser_Products_Data2(), FertiliserProducts[[#Headers],[Company]],31)</f>
        <v/>
      </c>
      <c r="X129" s="146" t="str" cm="1">
        <f t="array" ref="X129">Common_InputFunctions.Utility_DisplayArrayInTable(Fertiliser_SourceData.Fertiliser_Products_Data2(), FertiliserProducts[[#Headers],[Company]],31)</f>
        <v/>
      </c>
      <c r="Y129" s="146" t="str" cm="1">
        <f t="array" ref="Y129">Common_InputFunctions.Utility_DisplayArrayInTable(Fertiliser_SourceData.Fertiliser_Products_Data2(), FertiliserProducts[[#Headers],[Company]],31)</f>
        <v/>
      </c>
      <c r="Z129" s="146" t="str" cm="1">
        <f t="array" ref="Z129">Common_InputFunctions.Utility_DisplayArrayInTable(Fertiliser_SourceData.Fertiliser_Products_Data2(), FertiliserProducts[[#Headers],[Company]],31)</f>
        <v/>
      </c>
      <c r="AA129" s="146" t="str" cm="1">
        <f t="array" ref="AA129">Common_InputFunctions.Utility_DisplayArrayInTable(Fertiliser_SourceData.Fertiliser_Products_Data2(), FertiliserProducts[[#Headers],[Company]],31)</f>
        <v/>
      </c>
      <c r="AB129" s="146" t="str" cm="1">
        <f t="array" ref="AB129">Common_InputFunctions.Utility_DisplayArrayInTable(Fertiliser_SourceData.Fertiliser_Products_Data2(), FertiliserProducts[[#Headers],[Company]],31)</f>
        <v/>
      </c>
      <c r="AC129" s="146" t="str" cm="1">
        <f t="array" ref="AC129">Common_InputFunctions.Utility_DisplayArrayInTable(Fertiliser_SourceData.Fertiliser_Products_Data2(), FertiliserProducts[[#Headers],[Company]],31)</f>
        <v/>
      </c>
      <c r="AD129" s="146" t="str" cm="1">
        <f t="array" ref="AD129">Common_InputFunctions.Utility_DisplayArrayInTable(Fertiliser_SourceData.Fertiliser_Products_Data2(), FertiliserProducts[[#Headers],[Company]],31)</f>
        <v/>
      </c>
      <c r="AE129" s="146" t="str" cm="1">
        <f t="array" ref="AE129">Common_InputFunctions.Utility_DisplayArrayInTable(Fertiliser_SourceData.Fertiliser_Products_Data2(), FertiliserProducts[[#Headers],[Company]],31)</f>
        <v/>
      </c>
      <c r="AF129" s="146" t="str" cm="1">
        <f t="array" ref="AF129">Common_InputFunctions.Utility_DisplayArrayInTable(Fertiliser_SourceData.Fertiliser_Products_Data2(), FertiliserProducts[[#Headers],[Company]],31)</f>
        <v/>
      </c>
      <c r="AG129" s="146" t="str" cm="1">
        <f t="array" ref="AG129">Common_InputFunctions.Utility_DisplayArrayInTable(Fertiliser_SourceData.Fertiliser_Products_Data2(), FertiliserProducts[[#Headers],[Company]],31)</f>
        <v/>
      </c>
      <c r="AH129" s="146" t="str" cm="1">
        <f t="array" ref="AH129">Common_InputFunctions.Utility_DisplayArrayInTable(Fertiliser_SourceData.Fertiliser_Products_Data2(), FertiliserProducts[[#Headers],[Company]],31)</f>
        <v/>
      </c>
      <c r="AK129" s="1"/>
      <c r="AL129" s="1"/>
      <c r="AM129" s="1"/>
    </row>
    <row r="130" spans="4:39" ht="20.100000000000001" customHeight="1" x14ac:dyDescent="0.2">
      <c r="D130" s="146" t="str" cm="1">
        <f t="array" ref="D130">Common_InputFunctions.Utility_DisplayArrayInTable(Fertiliser_SourceData.Fertiliser_Products_Data2(), FertiliserProducts[[#Headers],[Company]],31)</f>
        <v>Loveland Agriproducts</v>
      </c>
      <c r="E130" s="146" t="str" cm="1">
        <f t="array" ref="E130">Common_InputFunctions.Utility_DisplayArrayInTable(Fertiliser_SourceData.Fertiliser_Products_Data2(), FertiliserProducts[[#Headers],[Company]],31)</f>
        <v>Maximum N-Pact</v>
      </c>
      <c r="F130" s="146" t="str" cm="1">
        <f t="array" ref="F130">Common_InputFunctions.Utility_DisplayArrayInTable(Fertiliser_SourceData.Fertiliser_Products_Data2(), FertiliserProducts[[#Headers],[Company]],31)</f>
        <v>L</v>
      </c>
      <c r="G130" s="146" cm="1">
        <f t="array" ref="G130">Common_InputFunctions.Utility_DisplayArrayInTable(Fertiliser_SourceData.Fertiliser_Products_Data2(), FertiliserProducts[[#Headers],[Company]],31)</f>
        <v>1.1850000000000001</v>
      </c>
      <c r="H130" s="146" t="str" cm="1">
        <f t="array" ref="H130">Common_InputFunctions.Utility_DisplayArrayInTable(Fertiliser_SourceData.Fertiliser_Products_Data2(), FertiliserProducts[[#Headers],[Company]],31)</f>
        <v/>
      </c>
      <c r="I130" s="146" t="str" cm="1">
        <f t="array" ref="I130">Common_InputFunctions.Utility_DisplayArrayInTable(Fertiliser_SourceData.Fertiliser_Products_Data2(), FertiliserProducts[[#Headers],[Company]],31)</f>
        <v/>
      </c>
      <c r="J130" s="146" t="str" cm="1">
        <f t="array" ref="J130">Common_InputFunctions.Utility_DisplayArrayInTable(Fertiliser_SourceData.Fertiliser_Products_Data2(), FertiliserProducts[[#Headers],[Company]],31)</f>
        <v/>
      </c>
      <c r="K130" s="146" cm="1">
        <f t="array" ref="K130">Common_InputFunctions.Utility_DisplayArrayInTable(Fertiliser_SourceData.Fertiliser_Products_Data2(), FertiliserProducts[[#Headers],[Company]],31)</f>
        <v>23.8</v>
      </c>
      <c r="L130" s="146" t="str" cm="1">
        <f t="array" ref="L130">Common_InputFunctions.Utility_DisplayArrayInTable(Fertiliser_SourceData.Fertiliser_Products_Data2(), FertiliserProducts[[#Headers],[Company]],31)</f>
        <v/>
      </c>
      <c r="M130" s="146" t="str" cm="1">
        <f t="array" ref="M130">Common_InputFunctions.Utility_DisplayArrayInTable(Fertiliser_SourceData.Fertiliser_Products_Data2(), FertiliserProducts[[#Headers],[Company]],31)</f>
        <v/>
      </c>
      <c r="N130" s="146" t="str" cm="1">
        <f t="array" ref="N130">Common_InputFunctions.Utility_DisplayArrayInTable(Fertiliser_SourceData.Fertiliser_Products_Data2(), FertiliserProducts[[#Headers],[Company]],31)</f>
        <v/>
      </c>
      <c r="O130" s="146" t="str" cm="1">
        <f t="array" ref="O130">Common_InputFunctions.Utility_DisplayArrayInTable(Fertiliser_SourceData.Fertiliser_Products_Data2(), FertiliserProducts[[#Headers],[Company]],31)</f>
        <v>Urea</v>
      </c>
      <c r="P130" s="146" cm="1">
        <f t="array" ref="P130">Common_InputFunctions.Utility_DisplayArrayInTable(Fertiliser_SourceData.Fertiliser_Products_Data2(), FertiliserProducts[[#Headers],[Company]],31)</f>
        <v>0.51739100000000005</v>
      </c>
      <c r="Q130" s="146" t="str" cm="1">
        <f t="array" ref="Q130">Common_InputFunctions.Utility_DisplayArrayInTable(Fertiliser_SourceData.Fertiliser_Products_Data2(), FertiliserProducts[[#Headers],[Company]],31)</f>
        <v/>
      </c>
      <c r="R130" s="146" t="str" cm="1">
        <f t="array" ref="R130">Common_InputFunctions.Utility_DisplayArrayInTable(Fertiliser_SourceData.Fertiliser_Products_Data2(), FertiliserProducts[[#Headers],[Company]],31)</f>
        <v/>
      </c>
      <c r="S130" s="146" t="str" cm="1">
        <f t="array" ref="S130">Common_InputFunctions.Utility_DisplayArrayInTable(Fertiliser_SourceData.Fertiliser_Products_Data2(), FertiliserProducts[[#Headers],[Company]],31)</f>
        <v/>
      </c>
      <c r="T130" s="146" t="str" cm="1">
        <f t="array" ref="T130">Common_InputFunctions.Utility_DisplayArrayInTable(Fertiliser_SourceData.Fertiliser_Products_Data2(), FertiliserProducts[[#Headers],[Company]],31)</f>
        <v/>
      </c>
      <c r="U130" s="146" t="str" cm="1">
        <f t="array" ref="U130">Common_InputFunctions.Utility_DisplayArrayInTable(Fertiliser_SourceData.Fertiliser_Products_Data2(), FertiliserProducts[[#Headers],[Company]],31)</f>
        <v/>
      </c>
      <c r="V130" s="146" t="str" cm="1">
        <f t="array" ref="V130">Common_InputFunctions.Utility_DisplayArrayInTable(Fertiliser_SourceData.Fertiliser_Products_Data2(), FertiliserProducts[[#Headers],[Company]],31)</f>
        <v/>
      </c>
      <c r="W130" s="146" t="str" cm="1">
        <f t="array" ref="W130">Common_InputFunctions.Utility_DisplayArrayInTable(Fertiliser_SourceData.Fertiliser_Products_Data2(), FertiliserProducts[[#Headers],[Company]],31)</f>
        <v/>
      </c>
      <c r="X130" s="146" t="str" cm="1">
        <f t="array" ref="X130">Common_InputFunctions.Utility_DisplayArrayInTable(Fertiliser_SourceData.Fertiliser_Products_Data2(), FertiliserProducts[[#Headers],[Company]],31)</f>
        <v/>
      </c>
      <c r="Y130" s="146" t="str" cm="1">
        <f t="array" ref="Y130">Common_InputFunctions.Utility_DisplayArrayInTable(Fertiliser_SourceData.Fertiliser_Products_Data2(), FertiliserProducts[[#Headers],[Company]],31)</f>
        <v/>
      </c>
      <c r="Z130" s="146" t="str" cm="1">
        <f t="array" ref="Z130">Common_InputFunctions.Utility_DisplayArrayInTable(Fertiliser_SourceData.Fertiliser_Products_Data2(), FertiliserProducts[[#Headers],[Company]],31)</f>
        <v/>
      </c>
      <c r="AA130" s="146" t="str" cm="1">
        <f t="array" ref="AA130">Common_InputFunctions.Utility_DisplayArrayInTable(Fertiliser_SourceData.Fertiliser_Products_Data2(), FertiliserProducts[[#Headers],[Company]],31)</f>
        <v/>
      </c>
      <c r="AB130" s="146" t="str" cm="1">
        <f t="array" ref="AB130">Common_InputFunctions.Utility_DisplayArrayInTable(Fertiliser_SourceData.Fertiliser_Products_Data2(), FertiliserProducts[[#Headers],[Company]],31)</f>
        <v/>
      </c>
      <c r="AC130" s="146" t="str" cm="1">
        <f t="array" ref="AC130">Common_InputFunctions.Utility_DisplayArrayInTable(Fertiliser_SourceData.Fertiliser_Products_Data2(), FertiliserProducts[[#Headers],[Company]],31)</f>
        <v/>
      </c>
      <c r="AD130" s="146" t="str" cm="1">
        <f t="array" ref="AD130">Common_InputFunctions.Utility_DisplayArrayInTable(Fertiliser_SourceData.Fertiliser_Products_Data2(), FertiliserProducts[[#Headers],[Company]],31)</f>
        <v/>
      </c>
      <c r="AE130" s="146" t="str" cm="1">
        <f t="array" ref="AE130">Common_InputFunctions.Utility_DisplayArrayInTable(Fertiliser_SourceData.Fertiliser_Products_Data2(), FertiliserProducts[[#Headers],[Company]],31)</f>
        <v/>
      </c>
      <c r="AF130" s="146" t="str" cm="1">
        <f t="array" ref="AF130">Common_InputFunctions.Utility_DisplayArrayInTable(Fertiliser_SourceData.Fertiliser_Products_Data2(), FertiliserProducts[[#Headers],[Company]],31)</f>
        <v/>
      </c>
      <c r="AG130" s="146" t="str" cm="1">
        <f t="array" ref="AG130">Common_InputFunctions.Utility_DisplayArrayInTable(Fertiliser_SourceData.Fertiliser_Products_Data2(), FertiliserProducts[[#Headers],[Company]],31)</f>
        <v/>
      </c>
      <c r="AH130" s="146" t="str" cm="1">
        <f t="array" ref="AH130">Common_InputFunctions.Utility_DisplayArrayInTable(Fertiliser_SourceData.Fertiliser_Products_Data2(), FertiliserProducts[[#Headers],[Company]],31)</f>
        <v/>
      </c>
      <c r="AK130" s="1"/>
      <c r="AL130" s="1"/>
      <c r="AM130" s="1"/>
    </row>
    <row r="131" spans="4:39" ht="20.100000000000001" customHeight="1" x14ac:dyDescent="0.2">
      <c r="D131" s="146" t="str" cm="1">
        <f t="array" ref="D131">Common_InputFunctions.Utility_DisplayArrayInTable(Fertiliser_SourceData.Fertiliser_Products_Data2(), FertiliserProducts[[#Headers],[Company]],31)</f>
        <v>SL Tec</v>
      </c>
      <c r="E131" s="146" t="str" cm="1">
        <f t="array" ref="E131">Common_InputFunctions.Utility_DisplayArrayInTable(Fertiliser_SourceData.Fertiliser_Products_Data2(), FertiliserProducts[[#Headers],[Company]],31)</f>
        <v>Nitro Combi TE</v>
      </c>
      <c r="F131" s="146" t="str" cm="1">
        <f t="array" ref="F131">Common_InputFunctions.Utility_DisplayArrayInTable(Fertiliser_SourceData.Fertiliser_Products_Data2(), FertiliserProducts[[#Headers],[Company]],31)</f>
        <v>L</v>
      </c>
      <c r="G131" s="146" cm="1">
        <f t="array" ref="G131">Common_InputFunctions.Utility_DisplayArrayInTable(Fertiliser_SourceData.Fertiliser_Products_Data2(), FertiliserProducts[[#Headers],[Company]],31)</f>
        <v>1.2549999999999999</v>
      </c>
      <c r="H131" s="146" t="str" cm="1">
        <f t="array" ref="H131">Common_InputFunctions.Utility_DisplayArrayInTable(Fertiliser_SourceData.Fertiliser_Products_Data2(), FertiliserProducts[[#Headers],[Company]],31)</f>
        <v/>
      </c>
      <c r="I131" s="146" t="str" cm="1">
        <f t="array" ref="I131">Common_InputFunctions.Utility_DisplayArrayInTable(Fertiliser_SourceData.Fertiliser_Products_Data2(), FertiliserProducts[[#Headers],[Company]],31)</f>
        <v/>
      </c>
      <c r="J131" s="146" t="str" cm="1">
        <f t="array" ref="J131">Common_InputFunctions.Utility_DisplayArrayInTable(Fertiliser_SourceData.Fertiliser_Products_Data2(), FertiliserProducts[[#Headers],[Company]],31)</f>
        <v/>
      </c>
      <c r="K131" s="146" t="str" cm="1">
        <f t="array" ref="K131">Common_InputFunctions.Utility_DisplayArrayInTable(Fertiliser_SourceData.Fertiliser_Products_Data2(), FertiliserProducts[[#Headers],[Company]],31)</f>
        <v/>
      </c>
      <c r="L131" s="146" t="str" cm="1">
        <f t="array" ref="L131">Common_InputFunctions.Utility_DisplayArrayInTable(Fertiliser_SourceData.Fertiliser_Products_Data2(), FertiliserProducts[[#Headers],[Company]],31)</f>
        <v/>
      </c>
      <c r="M131" s="146" cm="1">
        <f t="array" ref="M131">Common_InputFunctions.Utility_DisplayArrayInTable(Fertiliser_SourceData.Fertiliser_Products_Data2(), FertiliserProducts[[#Headers],[Company]],31)</f>
        <v>0.1</v>
      </c>
      <c r="N131" s="146" cm="1">
        <f t="array" ref="N131">Common_InputFunctions.Utility_DisplayArrayInTable(Fertiliser_SourceData.Fertiliser_Products_Data2(), FertiliserProducts[[#Headers],[Company]],31)</f>
        <v>4.4000000000000004</v>
      </c>
      <c r="O131" s="146" t="str" cm="1">
        <f t="array" ref="O131">Common_InputFunctions.Utility_DisplayArrayInTable(Fertiliser_SourceData.Fertiliser_Products_Data2(), FertiliserProducts[[#Headers],[Company]],31)</f>
        <v>Sulfur - Generic</v>
      </c>
      <c r="P131" s="146" cm="1">
        <f t="array" ref="P131">Common_InputFunctions.Utility_DisplayArrayInTable(Fertiliser_SourceData.Fertiliser_Products_Data2(), FertiliserProducts[[#Headers],[Company]],31)</f>
        <v>4.3999999999999997E-2</v>
      </c>
      <c r="Q131" s="146" t="str" cm="1">
        <f t="array" ref="Q131">Common_InputFunctions.Utility_DisplayArrayInTable(Fertiliser_SourceData.Fertiliser_Products_Data2(), FertiliserProducts[[#Headers],[Company]],31)</f>
        <v>Zinc</v>
      </c>
      <c r="R131" s="146" cm="1">
        <f t="array" ref="R131">Common_InputFunctions.Utility_DisplayArrayInTable(Fertiliser_SourceData.Fertiliser_Products_Data2(), FertiliserProducts[[#Headers],[Company]],31)</f>
        <v>2.1999999999999999E-2</v>
      </c>
      <c r="S131" s="146" t="str" cm="1">
        <f t="array" ref="S131">Common_InputFunctions.Utility_DisplayArrayInTable(Fertiliser_SourceData.Fertiliser_Products_Data2(), FertiliserProducts[[#Headers],[Company]],31)</f>
        <v>Iron</v>
      </c>
      <c r="T131" s="146" cm="1">
        <f t="array" ref="T131">Common_InputFunctions.Utility_DisplayArrayInTable(Fertiliser_SourceData.Fertiliser_Products_Data2(), FertiliserProducts[[#Headers],[Company]],31)</f>
        <v>2.1999999999999999E-2</v>
      </c>
      <c r="U131" s="146" t="str" cm="1">
        <f t="array" ref="U131">Common_InputFunctions.Utility_DisplayArrayInTable(Fertiliser_SourceData.Fertiliser_Products_Data2(), FertiliserProducts[[#Headers],[Company]],31)</f>
        <v>Manganese</v>
      </c>
      <c r="V131" s="146" cm="1">
        <f t="array" ref="V131">Common_InputFunctions.Utility_DisplayArrayInTable(Fertiliser_SourceData.Fertiliser_Products_Data2(), FertiliserProducts[[#Headers],[Company]],31)</f>
        <v>1.6E-2</v>
      </c>
      <c r="W131" s="146" t="str" cm="1">
        <f t="array" ref="W131">Common_InputFunctions.Utility_DisplayArrayInTable(Fertiliser_SourceData.Fertiliser_Products_Data2(), FertiliserProducts[[#Headers],[Company]],31)</f>
        <v>Boron</v>
      </c>
      <c r="X131" s="146" cm="1">
        <f t="array" ref="X131">Common_InputFunctions.Utility_DisplayArrayInTable(Fertiliser_SourceData.Fertiliser_Products_Data2(), FertiliserProducts[[#Headers],[Company]],31)</f>
        <v>8.0000000000000002E-3</v>
      </c>
      <c r="Y131" s="146" t="str" cm="1">
        <f t="array" ref="Y131">Common_InputFunctions.Utility_DisplayArrayInTable(Fertiliser_SourceData.Fertiliser_Products_Data2(), FertiliserProducts[[#Headers],[Company]],31)</f>
        <v>Magnesium</v>
      </c>
      <c r="Z131" s="146" cm="1">
        <f t="array" ref="Z131">Common_InputFunctions.Utility_DisplayArrayInTable(Fertiliser_SourceData.Fertiliser_Products_Data2(), FertiliserProducts[[#Headers],[Company]],31)</f>
        <v>7.0000000000000001E-3</v>
      </c>
      <c r="AA131" s="146" t="str" cm="1">
        <f t="array" ref="AA131">Common_InputFunctions.Utility_DisplayArrayInTable(Fertiliser_SourceData.Fertiliser_Products_Data2(), FertiliserProducts[[#Headers],[Company]],31)</f>
        <v>Fulvic acid (organic)</v>
      </c>
      <c r="AB131" s="146" cm="1">
        <f t="array" ref="AB131">Common_InputFunctions.Utility_DisplayArrayInTable(Fertiliser_SourceData.Fertiliser_Products_Data2(), FertiliserProducts[[#Headers],[Company]],31)</f>
        <v>5.0000000000000001E-3</v>
      </c>
      <c r="AC131" s="146" t="str" cm="1">
        <f t="array" ref="AC131">Common_InputFunctions.Utility_DisplayArrayInTable(Fertiliser_SourceData.Fertiliser_Products_Data2(), FertiliserProducts[[#Headers],[Company]],31)</f>
        <v>Copper</v>
      </c>
      <c r="AD131" s="146" cm="1">
        <f t="array" ref="AD131">Common_InputFunctions.Utility_DisplayArrayInTable(Fertiliser_SourceData.Fertiliser_Products_Data2(), FertiliserProducts[[#Headers],[Company]],31)</f>
        <v>3.0000000000000001E-3</v>
      </c>
      <c r="AE131" s="146" t="str" cm="1">
        <f t="array" ref="AE131">Common_InputFunctions.Utility_DisplayArrayInTable(Fertiliser_SourceData.Fertiliser_Products_Data2(), FertiliserProducts[[#Headers],[Company]],31)</f>
        <v>Potassium - Generic</v>
      </c>
      <c r="AF131" s="146" cm="1">
        <f t="array" ref="AF131">Common_InputFunctions.Utility_DisplayArrayInTable(Fertiliser_SourceData.Fertiliser_Products_Data2(), FertiliserProducts[[#Headers],[Company]],31)</f>
        <v>1E-3</v>
      </c>
      <c r="AG131" s="146" t="str" cm="1">
        <f t="array" ref="AG131">Common_InputFunctions.Utility_DisplayArrayInTable(Fertiliser_SourceData.Fertiliser_Products_Data2(), FertiliserProducts[[#Headers],[Company]],31)</f>
        <v>Molybdenum</v>
      </c>
      <c r="AH131" s="146" cm="1">
        <f t="array" ref="AH131">Common_InputFunctions.Utility_DisplayArrayInTable(Fertiliser_SourceData.Fertiliser_Products_Data2(), FertiliserProducts[[#Headers],[Company]],31)</f>
        <v>2.9999999999999997E-4</v>
      </c>
      <c r="AK131" s="1"/>
      <c r="AL131" s="1"/>
      <c r="AM131" s="1"/>
    </row>
    <row r="132" spans="4:39" ht="20.100000000000001" customHeight="1" x14ac:dyDescent="0.2">
      <c r="D132" s="146" t="str" cm="1">
        <f t="array" ref="D132">Common_InputFunctions.Utility_DisplayArrayInTable(Fertiliser_SourceData.Fertiliser_Products_Data2(), FertiliserProducts[[#Headers],[Company]],31)</f>
        <v>Switch Ag</v>
      </c>
      <c r="E132" s="146" t="str" cm="1">
        <f t="array" ref="E132">Common_InputFunctions.Utility_DisplayArrayInTable(Fertiliser_SourceData.Fertiliser_Products_Data2(), FertiliserProducts[[#Headers],[Company]],31)</f>
        <v>PastureMAXX</v>
      </c>
      <c r="F132" s="146" t="str" cm="1">
        <f t="array" ref="F132">Common_InputFunctions.Utility_DisplayArrayInTable(Fertiliser_SourceData.Fertiliser_Products_Data2(), FertiliserProducts[[#Headers],[Company]],31)</f>
        <v>L</v>
      </c>
      <c r="G132" s="146" cm="1">
        <f t="array" ref="G132">Common_InputFunctions.Utility_DisplayArrayInTable(Fertiliser_SourceData.Fertiliser_Products_Data2(), FertiliserProducts[[#Headers],[Company]],31)</f>
        <v>1.23</v>
      </c>
      <c r="H132" s="146" t="str" cm="1">
        <f t="array" ref="H132">Common_InputFunctions.Utility_DisplayArrayInTable(Fertiliser_SourceData.Fertiliser_Products_Data2(), FertiliserProducts[[#Headers],[Company]],31)</f>
        <v/>
      </c>
      <c r="I132" s="146" t="str" cm="1">
        <f t="array" ref="I132">Common_InputFunctions.Utility_DisplayArrayInTable(Fertiliser_SourceData.Fertiliser_Products_Data2(), FertiliserProducts[[#Headers],[Company]],31)</f>
        <v/>
      </c>
      <c r="J132" s="146" t="str" cm="1">
        <f t="array" ref="J132">Common_InputFunctions.Utility_DisplayArrayInTable(Fertiliser_SourceData.Fertiliser_Products_Data2(), FertiliserProducts[[#Headers],[Company]],31)</f>
        <v/>
      </c>
      <c r="K132" s="146" cm="1">
        <f t="array" ref="K132">Common_InputFunctions.Utility_DisplayArrayInTable(Fertiliser_SourceData.Fertiliser_Products_Data2(), FertiliserProducts[[#Headers],[Company]],31)</f>
        <v>9.7100000000000009</v>
      </c>
      <c r="L132" s="146" t="str" cm="1">
        <f t="array" ref="L132">Common_InputFunctions.Utility_DisplayArrayInTable(Fertiliser_SourceData.Fertiliser_Products_Data2(), FertiliserProducts[[#Headers],[Company]],31)</f>
        <v/>
      </c>
      <c r="M132" s="146" cm="1">
        <f t="array" ref="M132">Common_InputFunctions.Utility_DisplayArrayInTable(Fertiliser_SourceData.Fertiliser_Products_Data2(), FertiliserProducts[[#Headers],[Company]],31)</f>
        <v>3.25</v>
      </c>
      <c r="N132" s="146" cm="1">
        <f t="array" ref="N132">Common_InputFunctions.Utility_DisplayArrayInTable(Fertiliser_SourceData.Fertiliser_Products_Data2(), FertiliserProducts[[#Headers],[Company]],31)</f>
        <v>2.11</v>
      </c>
      <c r="O132" s="146" t="str" cm="1">
        <f t="array" ref="O132">Common_InputFunctions.Utility_DisplayArrayInTable(Fertiliser_SourceData.Fertiliser_Products_Data2(), FertiliserProducts[[#Headers],[Company]],31)</f>
        <v>Nitrogen - Generic</v>
      </c>
      <c r="P132" s="146" cm="1">
        <f t="array" ref="P132">Common_InputFunctions.Utility_DisplayArrayInTable(Fertiliser_SourceData.Fertiliser_Products_Data2(), FertiliserProducts[[#Headers],[Company]],31)</f>
        <v>9.7100000000000006E-2</v>
      </c>
      <c r="Q132" s="146" t="str" cm="1">
        <f t="array" ref="Q132">Common_InputFunctions.Utility_DisplayArrayInTable(Fertiliser_SourceData.Fertiliser_Products_Data2(), FertiliserProducts[[#Headers],[Company]],31)</f>
        <v>Potassium - Generic</v>
      </c>
      <c r="R132" s="146" cm="1">
        <f t="array" ref="R132">Common_InputFunctions.Utility_DisplayArrayInTable(Fertiliser_SourceData.Fertiliser_Products_Data2(), FertiliserProducts[[#Headers],[Company]],31)</f>
        <v>3.2500000000000001E-2</v>
      </c>
      <c r="S132" s="146" t="str" cm="1">
        <f t="array" ref="S132">Common_InputFunctions.Utility_DisplayArrayInTable(Fertiliser_SourceData.Fertiliser_Products_Data2(), FertiliserProducts[[#Headers],[Company]],31)</f>
        <v>Sulfur - Generic</v>
      </c>
      <c r="T132" s="146" cm="1">
        <f t="array" ref="T132">Common_InputFunctions.Utility_DisplayArrayInTable(Fertiliser_SourceData.Fertiliser_Products_Data2(), FertiliserProducts[[#Headers],[Company]],31)</f>
        <v>2.1100000000000001E-2</v>
      </c>
      <c r="U132" s="146" t="str" cm="1">
        <f t="array" ref="U132">Common_InputFunctions.Utility_DisplayArrayInTable(Fertiliser_SourceData.Fertiliser_Products_Data2(), FertiliserProducts[[#Headers],[Company]],31)</f>
        <v>Zinc</v>
      </c>
      <c r="V132" s="146" cm="1">
        <f t="array" ref="V132">Common_InputFunctions.Utility_DisplayArrayInTable(Fertiliser_SourceData.Fertiliser_Products_Data2(), FertiliserProducts[[#Headers],[Company]],31)</f>
        <v>1.4999999999999999E-2</v>
      </c>
      <c r="W132" s="146" t="str" cm="1">
        <f t="array" ref="W132">Common_InputFunctions.Utility_DisplayArrayInTable(Fertiliser_SourceData.Fertiliser_Products_Data2(), FertiliserProducts[[#Headers],[Company]],31)</f>
        <v>Iron</v>
      </c>
      <c r="X132" s="146" cm="1">
        <f t="array" ref="X132">Common_InputFunctions.Utility_DisplayArrayInTable(Fertiliser_SourceData.Fertiliser_Products_Data2(), FertiliserProducts[[#Headers],[Company]],31)</f>
        <v>1.11E-2</v>
      </c>
      <c r="Y132" s="146" t="str" cm="1">
        <f t="array" ref="Y132">Common_InputFunctions.Utility_DisplayArrayInTable(Fertiliser_SourceData.Fertiliser_Products_Data2(), FertiliserProducts[[#Headers],[Company]],31)</f>
        <v>Manganese</v>
      </c>
      <c r="Z132" s="146" cm="1">
        <f t="array" ref="Z132">Common_InputFunctions.Utility_DisplayArrayInTable(Fertiliser_SourceData.Fertiliser_Products_Data2(), FertiliserProducts[[#Headers],[Company]],31)</f>
        <v>1.15E-2</v>
      </c>
      <c r="AA132" s="146" t="str" cm="1">
        <f t="array" ref="AA132">Common_InputFunctions.Utility_DisplayArrayInTable(Fertiliser_SourceData.Fertiliser_Products_Data2(), FertiliserProducts[[#Headers],[Company]],31)</f>
        <v>Magnesium</v>
      </c>
      <c r="AB132" s="146" cm="1">
        <f t="array" ref="AB132">Common_InputFunctions.Utility_DisplayArrayInTable(Fertiliser_SourceData.Fertiliser_Products_Data2(), FertiliserProducts[[#Headers],[Company]],31)</f>
        <v>4.4999999999999997E-3</v>
      </c>
      <c r="AC132" s="146" t="str" cm="1">
        <f t="array" ref="AC132">Common_InputFunctions.Utility_DisplayArrayInTable(Fertiliser_SourceData.Fertiliser_Products_Data2(), FertiliserProducts[[#Headers],[Company]],31)</f>
        <v>Boron</v>
      </c>
      <c r="AD132" s="146" cm="1">
        <f t="array" ref="AD132">Common_InputFunctions.Utility_DisplayArrayInTable(Fertiliser_SourceData.Fertiliser_Products_Data2(), FertiliserProducts[[#Headers],[Company]],31)</f>
        <v>2E-3</v>
      </c>
      <c r="AE132" s="146" t="str" cm="1">
        <f t="array" ref="AE132">Common_InputFunctions.Utility_DisplayArrayInTable(Fertiliser_SourceData.Fertiliser_Products_Data2(), FertiliserProducts[[#Headers],[Company]],31)</f>
        <v/>
      </c>
      <c r="AF132" s="146" t="str" cm="1">
        <f t="array" ref="AF132">Common_InputFunctions.Utility_DisplayArrayInTable(Fertiliser_SourceData.Fertiliser_Products_Data2(), FertiliserProducts[[#Headers],[Company]],31)</f>
        <v/>
      </c>
      <c r="AG132" s="146" t="str" cm="1">
        <f t="array" ref="AG132">Common_InputFunctions.Utility_DisplayArrayInTable(Fertiliser_SourceData.Fertiliser_Products_Data2(), FertiliserProducts[[#Headers],[Company]],31)</f>
        <v/>
      </c>
      <c r="AH132" s="146" t="str" cm="1">
        <f t="array" ref="AH132">Common_InputFunctions.Utility_DisplayArrayInTable(Fertiliser_SourceData.Fertiliser_Products_Data2(), FertiliserProducts[[#Headers],[Company]],31)</f>
        <v/>
      </c>
      <c r="AK132" s="1"/>
      <c r="AL132" s="1"/>
      <c r="AM132" s="1"/>
    </row>
    <row r="133" spans="4:39" ht="20.100000000000001" customHeight="1" x14ac:dyDescent="0.2">
      <c r="D133" s="146" t="str" cm="1">
        <f t="array" ref="D133">Common_InputFunctions.Utility_DisplayArrayInTable(Fertiliser_SourceData.Fertiliser_Products_Data2(), FertiliserProducts[[#Headers],[Company]],31)</f>
        <v>Campbells fertilisers Australia</v>
      </c>
      <c r="E133" s="146" t="str" cm="1">
        <f t="array" ref="E133">Common_InputFunctions.Utility_DisplayArrayInTable(Fertiliser_SourceData.Fertiliser_Products_Data2(), FertiliserProducts[[#Headers],[Company]],31)</f>
        <v>Platinum Nergetic</v>
      </c>
      <c r="F133" s="146" t="str" cm="1">
        <f t="array" ref="F133">Common_InputFunctions.Utility_DisplayArrayInTable(Fertiliser_SourceData.Fertiliser_Products_Data2(), FertiliserProducts[[#Headers],[Company]],31)</f>
        <v>kg</v>
      </c>
      <c r="G133" s="146" cm="1">
        <f t="array" ref="G133">Common_InputFunctions.Utility_DisplayArrayInTable(Fertiliser_SourceData.Fertiliser_Products_Data2(), FertiliserProducts[[#Headers],[Company]],31)</f>
        <v>1</v>
      </c>
      <c r="H133" s="146" t="str" cm="1">
        <f t="array" ref="H133">Common_InputFunctions.Utility_DisplayArrayInTable(Fertiliser_SourceData.Fertiliser_Products_Data2(), FertiliserProducts[[#Headers],[Company]],31)</f>
        <v/>
      </c>
      <c r="I133" s="146" t="str" cm="1">
        <f t="array" ref="I133">Common_InputFunctions.Utility_DisplayArrayInTable(Fertiliser_SourceData.Fertiliser_Products_Data2(), FertiliserProducts[[#Headers],[Company]],31)</f>
        <v/>
      </c>
      <c r="J133" s="146" t="str" cm="1">
        <f t="array" ref="J133">Common_InputFunctions.Utility_DisplayArrayInTable(Fertiliser_SourceData.Fertiliser_Products_Data2(), FertiliserProducts[[#Headers],[Company]],31)</f>
        <v/>
      </c>
      <c r="K133" s="146" cm="1">
        <f t="array" ref="K133">Common_InputFunctions.Utility_DisplayArrayInTable(Fertiliser_SourceData.Fertiliser_Products_Data2(), FertiliserProducts[[#Headers],[Company]],31)</f>
        <v>10</v>
      </c>
      <c r="L133" s="146" cm="1">
        <f t="array" ref="L133">Common_InputFunctions.Utility_DisplayArrayInTable(Fertiliser_SourceData.Fertiliser_Products_Data2(), FertiliserProducts[[#Headers],[Company]],31)</f>
        <v>10.9</v>
      </c>
      <c r="M133" s="146" cm="1">
        <f t="array" ref="M133">Common_InputFunctions.Utility_DisplayArrayInTable(Fertiliser_SourceData.Fertiliser_Products_Data2(), FertiliserProducts[[#Headers],[Company]],31)</f>
        <v>10</v>
      </c>
      <c r="N133" s="146" cm="1">
        <f t="array" ref="N133">Common_InputFunctions.Utility_DisplayArrayInTable(Fertiliser_SourceData.Fertiliser_Products_Data2(), FertiliserProducts[[#Headers],[Company]],31)</f>
        <v>4.34</v>
      </c>
      <c r="O133" s="146" t="str" cm="1">
        <f t="array" ref="O133">Common_InputFunctions.Utility_DisplayArrayInTable(Fertiliser_SourceData.Fertiliser_Products_Data2(), FertiliserProducts[[#Headers],[Company]],31)</f>
        <v>Monoammonium phosphate (MAP)</v>
      </c>
      <c r="P133" s="146" cm="1">
        <f t="array" ref="P133">Common_InputFunctions.Utility_DisplayArrayInTable(Fertiliser_SourceData.Fertiliser_Products_Data2(), FertiliserProducts[[#Headers],[Company]],31)</f>
        <v>0.4178</v>
      </c>
      <c r="Q133" s="146" t="str" cm="1">
        <f t="array" ref="Q133">Common_InputFunctions.Utility_DisplayArrayInTable(Fertiliser_SourceData.Fertiliser_Products_Data2(), FertiliserProducts[[#Headers],[Company]],31)</f>
        <v>Ammonium nitrate (AN)</v>
      </c>
      <c r="R133" s="146" cm="1">
        <f t="array" ref="R133">Common_InputFunctions.Utility_DisplayArrayInTable(Fertiliser_SourceData.Fertiliser_Products_Data2(), FertiliserProducts[[#Headers],[Company]],31)</f>
        <v>0.17280000000000001</v>
      </c>
      <c r="S133" s="146" t="str" cm="1">
        <f t="array" ref="S133">Common_InputFunctions.Utility_DisplayArrayInTable(Fertiliser_SourceData.Fertiliser_Products_Data2(), FertiliserProducts[[#Headers],[Company]],31)</f>
        <v>Potassium sulphate</v>
      </c>
      <c r="T133" s="146" cm="1">
        <f t="array" ref="T133">Common_InputFunctions.Utility_DisplayArrayInTable(Fertiliser_SourceData.Fertiliser_Products_Data2(), FertiliserProducts[[#Headers],[Company]],31)</f>
        <v>0.24096400000000001</v>
      </c>
      <c r="U133" s="146" t="str" cm="1">
        <f t="array" ref="U133">Common_InputFunctions.Utility_DisplayArrayInTable(Fertiliser_SourceData.Fertiliser_Products_Data2(), FertiliserProducts[[#Headers],[Company]],31)</f>
        <v>Double superphosphate</v>
      </c>
      <c r="V133" s="146" cm="1">
        <f t="array" ref="V133">Common_InputFunctions.Utility_DisplayArrayInTable(Fertiliser_SourceData.Fertiliser_Products_Data2(), FertiliserProducts[[#Headers],[Company]],31)</f>
        <v>0.1</v>
      </c>
      <c r="W133" s="146" t="str" cm="1">
        <f t="array" ref="W133">Common_InputFunctions.Utility_DisplayArrayInTable(Fertiliser_SourceData.Fertiliser_Products_Data2(), FertiliserProducts[[#Headers],[Company]],31)</f>
        <v>Magnesium</v>
      </c>
      <c r="X133" s="146" cm="1">
        <f t="array" ref="X133">Common_InputFunctions.Utility_DisplayArrayInTable(Fertiliser_SourceData.Fertiliser_Products_Data2(), FertiliserProducts[[#Headers],[Company]],31)</f>
        <v>1.2E-2</v>
      </c>
      <c r="Y133" s="146" t="str" cm="1">
        <f t="array" ref="Y133">Common_InputFunctions.Utility_DisplayArrayInTable(Fertiliser_SourceData.Fertiliser_Products_Data2(), FertiliserProducts[[#Headers],[Company]],31)</f>
        <v>Zinc</v>
      </c>
      <c r="Z133" s="146" cm="1">
        <f t="array" ref="Z133">Common_InputFunctions.Utility_DisplayArrayInTable(Fertiliser_SourceData.Fertiliser_Products_Data2(), FertiliserProducts[[#Headers],[Company]],31)</f>
        <v>3.5999999999999999E-3</v>
      </c>
      <c r="AA133" s="146" t="str" cm="1">
        <f t="array" ref="AA133">Common_InputFunctions.Utility_DisplayArrayInTable(Fertiliser_SourceData.Fertiliser_Products_Data2(), FertiliserProducts[[#Headers],[Company]],31)</f>
        <v>Boron</v>
      </c>
      <c r="AB133" s="146" cm="1">
        <f t="array" ref="AB133">Common_InputFunctions.Utility_DisplayArrayInTable(Fertiliser_SourceData.Fertiliser_Products_Data2(), FertiliserProducts[[#Headers],[Company]],31)</f>
        <v>1E-3</v>
      </c>
      <c r="AC133" s="146" t="str" cm="1">
        <f t="array" ref="AC133">Common_InputFunctions.Utility_DisplayArrayInTable(Fertiliser_SourceData.Fertiliser_Products_Data2(), FertiliserProducts[[#Headers],[Company]],31)</f>
        <v>Glaze Extend G3 Flexi</v>
      </c>
      <c r="AD133" s="146" cm="1">
        <f t="array" ref="AD133">Common_InputFunctions.Utility_DisplayArrayInTable(Fertiliser_SourceData.Fertiliser_Products_Data2(), FertiliserProducts[[#Headers],[Company]],31)</f>
        <v>5.1900000000000002E-2</v>
      </c>
      <c r="AE133" s="146" t="str" cm="1">
        <f t="array" ref="AE133">Common_InputFunctions.Utility_DisplayArrayInTable(Fertiliser_SourceData.Fertiliser_Products_Data2(), FertiliserProducts[[#Headers],[Company]],31)</f>
        <v/>
      </c>
      <c r="AF133" s="146" t="str" cm="1">
        <f t="array" ref="AF133">Common_InputFunctions.Utility_DisplayArrayInTable(Fertiliser_SourceData.Fertiliser_Products_Data2(), FertiliserProducts[[#Headers],[Company]],31)</f>
        <v/>
      </c>
      <c r="AG133" s="146" t="str" cm="1">
        <f t="array" ref="AG133">Common_InputFunctions.Utility_DisplayArrayInTable(Fertiliser_SourceData.Fertiliser_Products_Data2(), FertiliserProducts[[#Headers],[Company]],31)</f>
        <v/>
      </c>
      <c r="AH133" s="146" t="str" cm="1">
        <f t="array" ref="AH133">Common_InputFunctions.Utility_DisplayArrayInTable(Fertiliser_SourceData.Fertiliser_Products_Data2(), FertiliserProducts[[#Headers],[Company]],31)</f>
        <v/>
      </c>
      <c r="AK133" s="1"/>
      <c r="AL133" s="1"/>
      <c r="AM133" s="1"/>
    </row>
    <row r="134" spans="4:39" ht="20.100000000000001" customHeight="1" x14ac:dyDescent="0.2">
      <c r="D134" s="146" t="str" cm="1">
        <f t="array" ref="D134">Common_InputFunctions.Utility_DisplayArrayInTable(Fertiliser_SourceData.Fertiliser_Products_Data2(), FertiliserProducts[[#Headers],[Company]],31)</f>
        <v>Impact Fertilisers</v>
      </c>
      <c r="E134" s="146" t="str" cm="1">
        <f t="array" ref="E134">Common_InputFunctions.Utility_DisplayArrayInTable(Fertiliser_SourceData.Fertiliser_Products_Data2(), FertiliserProducts[[#Headers],[Company]],31)</f>
        <v>Sulphate of ammonia (SOA)</v>
      </c>
      <c r="F134" s="146" t="str" cm="1">
        <f t="array" ref="F134">Common_InputFunctions.Utility_DisplayArrayInTable(Fertiliser_SourceData.Fertiliser_Products_Data2(), FertiliserProducts[[#Headers],[Company]],31)</f>
        <v>kg</v>
      </c>
      <c r="G134" s="146" cm="1">
        <f t="array" ref="G134">Common_InputFunctions.Utility_DisplayArrayInTable(Fertiliser_SourceData.Fertiliser_Products_Data2(), FertiliserProducts[[#Headers],[Company]],31)</f>
        <v>1</v>
      </c>
      <c r="H134" s="146" t="str" cm="1">
        <f t="array" ref="H134">Common_InputFunctions.Utility_DisplayArrayInTable(Fertiliser_SourceData.Fertiliser_Products_Data2(), FertiliserProducts[[#Headers],[Company]],31)</f>
        <v/>
      </c>
      <c r="I134" s="146" t="str" cm="1">
        <f t="array" ref="I134">Common_InputFunctions.Utility_DisplayArrayInTable(Fertiliser_SourceData.Fertiliser_Products_Data2(), FertiliserProducts[[#Headers],[Company]],31)</f>
        <v/>
      </c>
      <c r="J134" s="146" t="str" cm="1">
        <f t="array" ref="J134">Common_InputFunctions.Utility_DisplayArrayInTable(Fertiliser_SourceData.Fertiliser_Products_Data2(), FertiliserProducts[[#Headers],[Company]],31)</f>
        <v/>
      </c>
      <c r="K134" s="146" cm="1">
        <f t="array" ref="K134">Common_InputFunctions.Utility_DisplayArrayInTable(Fertiliser_SourceData.Fertiliser_Products_Data2(), FertiliserProducts[[#Headers],[Company]],31)</f>
        <v>21</v>
      </c>
      <c r="L134" s="146" t="str" cm="1">
        <f t="array" ref="L134">Common_InputFunctions.Utility_DisplayArrayInTable(Fertiliser_SourceData.Fertiliser_Products_Data2(), FertiliserProducts[[#Headers],[Company]],31)</f>
        <v/>
      </c>
      <c r="M134" s="146" t="str" cm="1">
        <f t="array" ref="M134">Common_InputFunctions.Utility_DisplayArrayInTable(Fertiliser_SourceData.Fertiliser_Products_Data2(), FertiliserProducts[[#Headers],[Company]],31)</f>
        <v/>
      </c>
      <c r="N134" s="146" cm="1">
        <f t="array" ref="N134">Common_InputFunctions.Utility_DisplayArrayInTable(Fertiliser_SourceData.Fertiliser_Products_Data2(), FertiliserProducts[[#Headers],[Company]],31)</f>
        <v>24</v>
      </c>
      <c r="O134" s="146" t="str" cm="1">
        <f t="array" ref="O134">Common_InputFunctions.Utility_DisplayArrayInTable(Fertiliser_SourceData.Fertiliser_Products_Data2(), FertiliserProducts[[#Headers],[Company]],31)</f>
        <v>Sulphate of ammonia (SOA)</v>
      </c>
      <c r="P134" s="146" cm="1">
        <f t="array" ref="P134">Common_InputFunctions.Utility_DisplayArrayInTable(Fertiliser_SourceData.Fertiliser_Products_Data2(), FertiliserProducts[[#Headers],[Company]],31)</f>
        <v>1</v>
      </c>
      <c r="Q134" s="146" t="str" cm="1">
        <f t="array" ref="Q134">Common_InputFunctions.Utility_DisplayArrayInTable(Fertiliser_SourceData.Fertiliser_Products_Data2(), FertiliserProducts[[#Headers],[Company]],31)</f>
        <v/>
      </c>
      <c r="R134" s="146" t="str" cm="1">
        <f t="array" ref="R134">Common_InputFunctions.Utility_DisplayArrayInTable(Fertiliser_SourceData.Fertiliser_Products_Data2(), FertiliserProducts[[#Headers],[Company]],31)</f>
        <v/>
      </c>
      <c r="S134" s="146" t="str" cm="1">
        <f t="array" ref="S134">Common_InputFunctions.Utility_DisplayArrayInTable(Fertiliser_SourceData.Fertiliser_Products_Data2(), FertiliserProducts[[#Headers],[Company]],31)</f>
        <v/>
      </c>
      <c r="T134" s="146" t="str" cm="1">
        <f t="array" ref="T134">Common_InputFunctions.Utility_DisplayArrayInTable(Fertiliser_SourceData.Fertiliser_Products_Data2(), FertiliserProducts[[#Headers],[Company]],31)</f>
        <v/>
      </c>
      <c r="U134" s="146" t="str" cm="1">
        <f t="array" ref="U134">Common_InputFunctions.Utility_DisplayArrayInTable(Fertiliser_SourceData.Fertiliser_Products_Data2(), FertiliserProducts[[#Headers],[Company]],31)</f>
        <v/>
      </c>
      <c r="V134" s="146" t="str" cm="1">
        <f t="array" ref="V134">Common_InputFunctions.Utility_DisplayArrayInTable(Fertiliser_SourceData.Fertiliser_Products_Data2(), FertiliserProducts[[#Headers],[Company]],31)</f>
        <v/>
      </c>
      <c r="W134" s="146" t="str" cm="1">
        <f t="array" ref="W134">Common_InputFunctions.Utility_DisplayArrayInTable(Fertiliser_SourceData.Fertiliser_Products_Data2(), FertiliserProducts[[#Headers],[Company]],31)</f>
        <v/>
      </c>
      <c r="X134" s="146" t="str" cm="1">
        <f t="array" ref="X134">Common_InputFunctions.Utility_DisplayArrayInTable(Fertiliser_SourceData.Fertiliser_Products_Data2(), FertiliserProducts[[#Headers],[Company]],31)</f>
        <v/>
      </c>
      <c r="Y134" s="146" t="str" cm="1">
        <f t="array" ref="Y134">Common_InputFunctions.Utility_DisplayArrayInTable(Fertiliser_SourceData.Fertiliser_Products_Data2(), FertiliserProducts[[#Headers],[Company]],31)</f>
        <v/>
      </c>
      <c r="Z134" s="146" t="str" cm="1">
        <f t="array" ref="Z134">Common_InputFunctions.Utility_DisplayArrayInTable(Fertiliser_SourceData.Fertiliser_Products_Data2(), FertiliserProducts[[#Headers],[Company]],31)</f>
        <v/>
      </c>
      <c r="AA134" s="146" t="str" cm="1">
        <f t="array" ref="AA134">Common_InputFunctions.Utility_DisplayArrayInTable(Fertiliser_SourceData.Fertiliser_Products_Data2(), FertiliserProducts[[#Headers],[Company]],31)</f>
        <v/>
      </c>
      <c r="AB134" s="146" t="str" cm="1">
        <f t="array" ref="AB134">Common_InputFunctions.Utility_DisplayArrayInTable(Fertiliser_SourceData.Fertiliser_Products_Data2(), FertiliserProducts[[#Headers],[Company]],31)</f>
        <v/>
      </c>
      <c r="AC134" s="146" t="str" cm="1">
        <f t="array" ref="AC134">Common_InputFunctions.Utility_DisplayArrayInTable(Fertiliser_SourceData.Fertiliser_Products_Data2(), FertiliserProducts[[#Headers],[Company]],31)</f>
        <v/>
      </c>
      <c r="AD134" s="146" t="str" cm="1">
        <f t="array" ref="AD134">Common_InputFunctions.Utility_DisplayArrayInTable(Fertiliser_SourceData.Fertiliser_Products_Data2(), FertiliserProducts[[#Headers],[Company]],31)</f>
        <v/>
      </c>
      <c r="AE134" s="146" t="str" cm="1">
        <f t="array" ref="AE134">Common_InputFunctions.Utility_DisplayArrayInTable(Fertiliser_SourceData.Fertiliser_Products_Data2(), FertiliserProducts[[#Headers],[Company]],31)</f>
        <v/>
      </c>
      <c r="AF134" s="146" t="str" cm="1">
        <f t="array" ref="AF134">Common_InputFunctions.Utility_DisplayArrayInTable(Fertiliser_SourceData.Fertiliser_Products_Data2(), FertiliserProducts[[#Headers],[Company]],31)</f>
        <v/>
      </c>
      <c r="AG134" s="146" t="str" cm="1">
        <f t="array" ref="AG134">Common_InputFunctions.Utility_DisplayArrayInTable(Fertiliser_SourceData.Fertiliser_Products_Data2(), FertiliserProducts[[#Headers],[Company]],31)</f>
        <v/>
      </c>
      <c r="AH134" s="146" t="str" cm="1">
        <f t="array" ref="AH134">Common_InputFunctions.Utility_DisplayArrayInTable(Fertiliser_SourceData.Fertiliser_Products_Data2(), FertiliserProducts[[#Headers],[Company]],31)</f>
        <v/>
      </c>
      <c r="AK134" s="1"/>
      <c r="AL134" s="1"/>
      <c r="AM134" s="1"/>
    </row>
    <row r="135" spans="4:39" ht="20.100000000000001" customHeight="1" x14ac:dyDescent="0.2">
      <c r="D135" s="146" t="str" cm="1">
        <f t="array" ref="D135">Common_InputFunctions.Utility_DisplayArrayInTable(Fertiliser_SourceData.Fertiliser_Products_Data2(), FertiliserProducts[[#Headers],[Company]],31)</f>
        <v>Impact Fertilisers</v>
      </c>
      <c r="E135" s="146" t="str" cm="1">
        <f t="array" ref="E135">Common_InputFunctions.Utility_DisplayArrayInTable(Fertiliser_SourceData.Fertiliser_Products_Data2(), FertiliserProducts[[#Headers],[Company]],31)</f>
        <v>Mono-Ammonium Phosphate (MAP)</v>
      </c>
      <c r="F135" s="146" t="str" cm="1">
        <f t="array" ref="F135">Common_InputFunctions.Utility_DisplayArrayInTable(Fertiliser_SourceData.Fertiliser_Products_Data2(), FertiliserProducts[[#Headers],[Company]],31)</f>
        <v>kg</v>
      </c>
      <c r="G135" s="146" cm="1">
        <f t="array" ref="G135">Common_InputFunctions.Utility_DisplayArrayInTable(Fertiliser_SourceData.Fertiliser_Products_Data2(), FertiliserProducts[[#Headers],[Company]],31)</f>
        <v>1</v>
      </c>
      <c r="H135" s="146" t="str" cm="1">
        <f t="array" ref="H135">Common_InputFunctions.Utility_DisplayArrayInTable(Fertiliser_SourceData.Fertiliser_Products_Data2(), FertiliserProducts[[#Headers],[Company]],31)</f>
        <v/>
      </c>
      <c r="I135" s="146" t="str" cm="1">
        <f t="array" ref="I135">Common_InputFunctions.Utility_DisplayArrayInTable(Fertiliser_SourceData.Fertiliser_Products_Data2(), FertiliserProducts[[#Headers],[Company]],31)</f>
        <v/>
      </c>
      <c r="J135" s="146" t="str" cm="1">
        <f t="array" ref="J135">Common_InputFunctions.Utility_DisplayArrayInTable(Fertiliser_SourceData.Fertiliser_Products_Data2(), FertiliserProducts[[#Headers],[Company]],31)</f>
        <v/>
      </c>
      <c r="K135" s="146" cm="1">
        <f t="array" ref="K135">Common_InputFunctions.Utility_DisplayArrayInTable(Fertiliser_SourceData.Fertiliser_Products_Data2(), FertiliserProducts[[#Headers],[Company]],31)</f>
        <v>10</v>
      </c>
      <c r="L135" s="146" cm="1">
        <f t="array" ref="L135">Common_InputFunctions.Utility_DisplayArrayInTable(Fertiliser_SourceData.Fertiliser_Products_Data2(), FertiliserProducts[[#Headers],[Company]],31)</f>
        <v>21.9</v>
      </c>
      <c r="M135" s="146" t="str" cm="1">
        <f t="array" ref="M135">Common_InputFunctions.Utility_DisplayArrayInTable(Fertiliser_SourceData.Fertiliser_Products_Data2(), FertiliserProducts[[#Headers],[Company]],31)</f>
        <v/>
      </c>
      <c r="N135" s="146" cm="1">
        <f t="array" ref="N135">Common_InputFunctions.Utility_DisplayArrayInTable(Fertiliser_SourceData.Fertiliser_Products_Data2(), FertiliserProducts[[#Headers],[Company]],31)</f>
        <v>1.5</v>
      </c>
      <c r="O135" s="146" t="str" cm="1">
        <f t="array" ref="O135">Common_InputFunctions.Utility_DisplayArrayInTable(Fertiliser_SourceData.Fertiliser_Products_Data2(), FertiliserProducts[[#Headers],[Company]],31)</f>
        <v>Monoammonium phosphate (MAP)</v>
      </c>
      <c r="P135" s="146" cm="1">
        <f t="array" ref="P135">Common_InputFunctions.Utility_DisplayArrayInTable(Fertiliser_SourceData.Fertiliser_Products_Data2(), FertiliserProducts[[#Headers],[Company]],31)</f>
        <v>1</v>
      </c>
      <c r="Q135" s="146" t="str" cm="1">
        <f t="array" ref="Q135">Common_InputFunctions.Utility_DisplayArrayInTable(Fertiliser_SourceData.Fertiliser_Products_Data2(), FertiliserProducts[[#Headers],[Company]],31)</f>
        <v/>
      </c>
      <c r="R135" s="146" t="str" cm="1">
        <f t="array" ref="R135">Common_InputFunctions.Utility_DisplayArrayInTable(Fertiliser_SourceData.Fertiliser_Products_Data2(), FertiliserProducts[[#Headers],[Company]],31)</f>
        <v/>
      </c>
      <c r="S135" s="146" t="str" cm="1">
        <f t="array" ref="S135">Common_InputFunctions.Utility_DisplayArrayInTable(Fertiliser_SourceData.Fertiliser_Products_Data2(), FertiliserProducts[[#Headers],[Company]],31)</f>
        <v/>
      </c>
      <c r="T135" s="146" t="str" cm="1">
        <f t="array" ref="T135">Common_InputFunctions.Utility_DisplayArrayInTable(Fertiliser_SourceData.Fertiliser_Products_Data2(), FertiliserProducts[[#Headers],[Company]],31)</f>
        <v/>
      </c>
      <c r="U135" s="146" t="str" cm="1">
        <f t="array" ref="U135">Common_InputFunctions.Utility_DisplayArrayInTable(Fertiliser_SourceData.Fertiliser_Products_Data2(), FertiliserProducts[[#Headers],[Company]],31)</f>
        <v/>
      </c>
      <c r="V135" s="146" t="str" cm="1">
        <f t="array" ref="V135">Common_InputFunctions.Utility_DisplayArrayInTable(Fertiliser_SourceData.Fertiliser_Products_Data2(), FertiliserProducts[[#Headers],[Company]],31)</f>
        <v/>
      </c>
      <c r="W135" s="146" t="str" cm="1">
        <f t="array" ref="W135">Common_InputFunctions.Utility_DisplayArrayInTable(Fertiliser_SourceData.Fertiliser_Products_Data2(), FertiliserProducts[[#Headers],[Company]],31)</f>
        <v/>
      </c>
      <c r="X135" s="146" t="str" cm="1">
        <f t="array" ref="X135">Common_InputFunctions.Utility_DisplayArrayInTable(Fertiliser_SourceData.Fertiliser_Products_Data2(), FertiliserProducts[[#Headers],[Company]],31)</f>
        <v/>
      </c>
      <c r="Y135" s="146" t="str" cm="1">
        <f t="array" ref="Y135">Common_InputFunctions.Utility_DisplayArrayInTable(Fertiliser_SourceData.Fertiliser_Products_Data2(), FertiliserProducts[[#Headers],[Company]],31)</f>
        <v/>
      </c>
      <c r="Z135" s="146" t="str" cm="1">
        <f t="array" ref="Z135">Common_InputFunctions.Utility_DisplayArrayInTable(Fertiliser_SourceData.Fertiliser_Products_Data2(), FertiliserProducts[[#Headers],[Company]],31)</f>
        <v/>
      </c>
      <c r="AA135" s="146" t="str" cm="1">
        <f t="array" ref="AA135">Common_InputFunctions.Utility_DisplayArrayInTable(Fertiliser_SourceData.Fertiliser_Products_Data2(), FertiliserProducts[[#Headers],[Company]],31)</f>
        <v/>
      </c>
      <c r="AB135" s="146" t="str" cm="1">
        <f t="array" ref="AB135">Common_InputFunctions.Utility_DisplayArrayInTable(Fertiliser_SourceData.Fertiliser_Products_Data2(), FertiliserProducts[[#Headers],[Company]],31)</f>
        <v/>
      </c>
      <c r="AC135" s="146" t="str" cm="1">
        <f t="array" ref="AC135">Common_InputFunctions.Utility_DisplayArrayInTable(Fertiliser_SourceData.Fertiliser_Products_Data2(), FertiliserProducts[[#Headers],[Company]],31)</f>
        <v/>
      </c>
      <c r="AD135" s="146" t="str" cm="1">
        <f t="array" ref="AD135">Common_InputFunctions.Utility_DisplayArrayInTable(Fertiliser_SourceData.Fertiliser_Products_Data2(), FertiliserProducts[[#Headers],[Company]],31)</f>
        <v/>
      </c>
      <c r="AE135" s="146" t="str" cm="1">
        <f t="array" ref="AE135">Common_InputFunctions.Utility_DisplayArrayInTable(Fertiliser_SourceData.Fertiliser_Products_Data2(), FertiliserProducts[[#Headers],[Company]],31)</f>
        <v/>
      </c>
      <c r="AF135" s="146" t="str" cm="1">
        <f t="array" ref="AF135">Common_InputFunctions.Utility_DisplayArrayInTable(Fertiliser_SourceData.Fertiliser_Products_Data2(), FertiliserProducts[[#Headers],[Company]],31)</f>
        <v/>
      </c>
      <c r="AG135" s="146" t="str" cm="1">
        <f t="array" ref="AG135">Common_InputFunctions.Utility_DisplayArrayInTable(Fertiliser_SourceData.Fertiliser_Products_Data2(), FertiliserProducts[[#Headers],[Company]],31)</f>
        <v/>
      </c>
      <c r="AH135" s="146" t="str" cm="1">
        <f t="array" ref="AH135">Common_InputFunctions.Utility_DisplayArrayInTable(Fertiliser_SourceData.Fertiliser_Products_Data2(), FertiliserProducts[[#Headers],[Company]],31)</f>
        <v/>
      </c>
      <c r="AK135" s="1"/>
      <c r="AL135" s="1"/>
      <c r="AM135" s="1"/>
    </row>
    <row r="136" spans="4:39" ht="20.100000000000001" customHeight="1" x14ac:dyDescent="0.2">
      <c r="D136" s="146" t="str" cm="1">
        <f t="array" ref="D136">Common_InputFunctions.Utility_DisplayArrayInTable(Fertiliser_SourceData.Fertiliser_Products_Data2(), FertiliserProducts[[#Headers],[Company]],31)</f>
        <v>Impact Fertilisers</v>
      </c>
      <c r="E136" s="146" t="str" cm="1">
        <f t="array" ref="E136">Common_InputFunctions.Utility_DisplayArrayInTable(Fertiliser_SourceData.Fertiliser_Products_Data2(), FertiliserProducts[[#Headers],[Company]],31)</f>
        <v>Urea</v>
      </c>
      <c r="F136" s="146" t="str" cm="1">
        <f t="array" ref="F136">Common_InputFunctions.Utility_DisplayArrayInTable(Fertiliser_SourceData.Fertiliser_Products_Data2(), FertiliserProducts[[#Headers],[Company]],31)</f>
        <v>kg</v>
      </c>
      <c r="G136" s="146" cm="1">
        <f t="array" ref="G136">Common_InputFunctions.Utility_DisplayArrayInTable(Fertiliser_SourceData.Fertiliser_Products_Data2(), FertiliserProducts[[#Headers],[Company]],31)</f>
        <v>1</v>
      </c>
      <c r="H136" s="146" t="str" cm="1">
        <f t="array" ref="H136">Common_InputFunctions.Utility_DisplayArrayInTable(Fertiliser_SourceData.Fertiliser_Products_Data2(), FertiliserProducts[[#Headers],[Company]],31)</f>
        <v/>
      </c>
      <c r="I136" s="146" t="str" cm="1">
        <f t="array" ref="I136">Common_InputFunctions.Utility_DisplayArrayInTable(Fertiliser_SourceData.Fertiliser_Products_Data2(), FertiliserProducts[[#Headers],[Company]],31)</f>
        <v/>
      </c>
      <c r="J136" s="146" t="str" cm="1">
        <f t="array" ref="J136">Common_InputFunctions.Utility_DisplayArrayInTable(Fertiliser_SourceData.Fertiliser_Products_Data2(), FertiliserProducts[[#Headers],[Company]],31)</f>
        <v/>
      </c>
      <c r="K136" s="146" cm="1">
        <f t="array" ref="K136">Common_InputFunctions.Utility_DisplayArrayInTable(Fertiliser_SourceData.Fertiliser_Products_Data2(), FertiliserProducts[[#Headers],[Company]],31)</f>
        <v>46</v>
      </c>
      <c r="L136" s="146" t="str" cm="1">
        <f t="array" ref="L136">Common_InputFunctions.Utility_DisplayArrayInTable(Fertiliser_SourceData.Fertiliser_Products_Data2(), FertiliserProducts[[#Headers],[Company]],31)</f>
        <v/>
      </c>
      <c r="M136" s="146" t="str" cm="1">
        <f t="array" ref="M136">Common_InputFunctions.Utility_DisplayArrayInTable(Fertiliser_SourceData.Fertiliser_Products_Data2(), FertiliserProducts[[#Headers],[Company]],31)</f>
        <v/>
      </c>
      <c r="N136" s="146" t="str" cm="1">
        <f t="array" ref="N136">Common_InputFunctions.Utility_DisplayArrayInTable(Fertiliser_SourceData.Fertiliser_Products_Data2(), FertiliserProducts[[#Headers],[Company]],31)</f>
        <v/>
      </c>
      <c r="O136" s="146" t="str" cm="1">
        <f t="array" ref="O136">Common_InputFunctions.Utility_DisplayArrayInTable(Fertiliser_SourceData.Fertiliser_Products_Data2(), FertiliserProducts[[#Headers],[Company]],31)</f>
        <v>Urea</v>
      </c>
      <c r="P136" s="146" cm="1">
        <f t="array" ref="P136">Common_InputFunctions.Utility_DisplayArrayInTable(Fertiliser_SourceData.Fertiliser_Products_Data2(), FertiliserProducts[[#Headers],[Company]],31)</f>
        <v>1</v>
      </c>
      <c r="Q136" s="146" t="str" cm="1">
        <f t="array" ref="Q136">Common_InputFunctions.Utility_DisplayArrayInTable(Fertiliser_SourceData.Fertiliser_Products_Data2(), FertiliserProducts[[#Headers],[Company]],31)</f>
        <v/>
      </c>
      <c r="R136" s="146" t="str" cm="1">
        <f t="array" ref="R136">Common_InputFunctions.Utility_DisplayArrayInTable(Fertiliser_SourceData.Fertiliser_Products_Data2(), FertiliserProducts[[#Headers],[Company]],31)</f>
        <v/>
      </c>
      <c r="S136" s="146" t="str" cm="1">
        <f t="array" ref="S136">Common_InputFunctions.Utility_DisplayArrayInTable(Fertiliser_SourceData.Fertiliser_Products_Data2(), FertiliserProducts[[#Headers],[Company]],31)</f>
        <v/>
      </c>
      <c r="T136" s="146" t="str" cm="1">
        <f t="array" ref="T136">Common_InputFunctions.Utility_DisplayArrayInTable(Fertiliser_SourceData.Fertiliser_Products_Data2(), FertiliserProducts[[#Headers],[Company]],31)</f>
        <v/>
      </c>
      <c r="U136" s="146" t="str" cm="1">
        <f t="array" ref="U136">Common_InputFunctions.Utility_DisplayArrayInTable(Fertiliser_SourceData.Fertiliser_Products_Data2(), FertiliserProducts[[#Headers],[Company]],31)</f>
        <v/>
      </c>
      <c r="V136" s="146" t="str" cm="1">
        <f t="array" ref="V136">Common_InputFunctions.Utility_DisplayArrayInTable(Fertiliser_SourceData.Fertiliser_Products_Data2(), FertiliserProducts[[#Headers],[Company]],31)</f>
        <v/>
      </c>
      <c r="W136" s="146" t="str" cm="1">
        <f t="array" ref="W136">Common_InputFunctions.Utility_DisplayArrayInTable(Fertiliser_SourceData.Fertiliser_Products_Data2(), FertiliserProducts[[#Headers],[Company]],31)</f>
        <v/>
      </c>
      <c r="X136" s="146" t="str" cm="1">
        <f t="array" ref="X136">Common_InputFunctions.Utility_DisplayArrayInTable(Fertiliser_SourceData.Fertiliser_Products_Data2(), FertiliserProducts[[#Headers],[Company]],31)</f>
        <v/>
      </c>
      <c r="Y136" s="146" t="str" cm="1">
        <f t="array" ref="Y136">Common_InputFunctions.Utility_DisplayArrayInTable(Fertiliser_SourceData.Fertiliser_Products_Data2(), FertiliserProducts[[#Headers],[Company]],31)</f>
        <v/>
      </c>
      <c r="Z136" s="146" t="str" cm="1">
        <f t="array" ref="Z136">Common_InputFunctions.Utility_DisplayArrayInTable(Fertiliser_SourceData.Fertiliser_Products_Data2(), FertiliserProducts[[#Headers],[Company]],31)</f>
        <v/>
      </c>
      <c r="AA136" s="146" t="str" cm="1">
        <f t="array" ref="AA136">Common_InputFunctions.Utility_DisplayArrayInTable(Fertiliser_SourceData.Fertiliser_Products_Data2(), FertiliserProducts[[#Headers],[Company]],31)</f>
        <v/>
      </c>
      <c r="AB136" s="146" t="str" cm="1">
        <f t="array" ref="AB136">Common_InputFunctions.Utility_DisplayArrayInTable(Fertiliser_SourceData.Fertiliser_Products_Data2(), FertiliserProducts[[#Headers],[Company]],31)</f>
        <v/>
      </c>
      <c r="AC136" s="146" t="str" cm="1">
        <f t="array" ref="AC136">Common_InputFunctions.Utility_DisplayArrayInTable(Fertiliser_SourceData.Fertiliser_Products_Data2(), FertiliserProducts[[#Headers],[Company]],31)</f>
        <v/>
      </c>
      <c r="AD136" s="146" t="str" cm="1">
        <f t="array" ref="AD136">Common_InputFunctions.Utility_DisplayArrayInTable(Fertiliser_SourceData.Fertiliser_Products_Data2(), FertiliserProducts[[#Headers],[Company]],31)</f>
        <v/>
      </c>
      <c r="AE136" s="146" t="str" cm="1">
        <f t="array" ref="AE136">Common_InputFunctions.Utility_DisplayArrayInTable(Fertiliser_SourceData.Fertiliser_Products_Data2(), FertiliserProducts[[#Headers],[Company]],31)</f>
        <v/>
      </c>
      <c r="AF136" s="146" t="str" cm="1">
        <f t="array" ref="AF136">Common_InputFunctions.Utility_DisplayArrayInTable(Fertiliser_SourceData.Fertiliser_Products_Data2(), FertiliserProducts[[#Headers],[Company]],31)</f>
        <v/>
      </c>
      <c r="AG136" s="146" t="str" cm="1">
        <f t="array" ref="AG136">Common_InputFunctions.Utility_DisplayArrayInTable(Fertiliser_SourceData.Fertiliser_Products_Data2(), FertiliserProducts[[#Headers],[Company]],31)</f>
        <v/>
      </c>
      <c r="AH136" s="146" t="str" cm="1">
        <f t="array" ref="AH136">Common_InputFunctions.Utility_DisplayArrayInTable(Fertiliser_SourceData.Fertiliser_Products_Data2(), FertiliserProducts[[#Headers],[Company]],31)</f>
        <v/>
      </c>
      <c r="AK136" s="1"/>
      <c r="AL136" s="1"/>
      <c r="AM136" s="1"/>
    </row>
    <row r="137" spans="4:39" ht="20.100000000000001" customHeight="1" x14ac:dyDescent="0.2">
      <c r="D137" s="146" t="str" cm="1">
        <f t="array" ref="D137">Common_InputFunctions.Utility_DisplayArrayInTable(Fertiliser_SourceData.Fertiliser_Products_Data2(), FertiliserProducts[[#Headers],[Company]],31)</f>
        <v>Koch Fertiliser Australia</v>
      </c>
      <c r="E137" s="146" t="str" cm="1">
        <f t="array" ref="E137">Common_InputFunctions.Utility_DisplayArrayInTable(Fertiliser_SourceData.Fertiliser_Products_Data2(), FertiliserProducts[[#Headers],[Company]],31)</f>
        <v>Muriate of potash (MOP)</v>
      </c>
      <c r="F137" s="146" t="str" cm="1">
        <f t="array" ref="F137">Common_InputFunctions.Utility_DisplayArrayInTable(Fertiliser_SourceData.Fertiliser_Products_Data2(), FertiliserProducts[[#Headers],[Company]],31)</f>
        <v>kg</v>
      </c>
      <c r="G137" s="146" cm="1">
        <f t="array" ref="G137">Common_InputFunctions.Utility_DisplayArrayInTable(Fertiliser_SourceData.Fertiliser_Products_Data2(), FertiliserProducts[[#Headers],[Company]],31)</f>
        <v>1</v>
      </c>
      <c r="H137" s="146" t="str" cm="1">
        <f t="array" ref="H137">Common_InputFunctions.Utility_DisplayArrayInTable(Fertiliser_SourceData.Fertiliser_Products_Data2(), FertiliserProducts[[#Headers],[Company]],31)</f>
        <v/>
      </c>
      <c r="I137" s="146" t="str" cm="1">
        <f t="array" ref="I137">Common_InputFunctions.Utility_DisplayArrayInTable(Fertiliser_SourceData.Fertiliser_Products_Data2(), FertiliserProducts[[#Headers],[Company]],31)</f>
        <v/>
      </c>
      <c r="J137" s="146" t="str" cm="1">
        <f t="array" ref="J137">Common_InputFunctions.Utility_DisplayArrayInTable(Fertiliser_SourceData.Fertiliser_Products_Data2(), FertiliserProducts[[#Headers],[Company]],31)</f>
        <v/>
      </c>
      <c r="K137" s="146" t="str" cm="1">
        <f t="array" ref="K137">Common_InputFunctions.Utility_DisplayArrayInTable(Fertiliser_SourceData.Fertiliser_Products_Data2(), FertiliserProducts[[#Headers],[Company]],31)</f>
        <v/>
      </c>
      <c r="L137" s="146" t="str" cm="1">
        <f t="array" ref="L137">Common_InputFunctions.Utility_DisplayArrayInTable(Fertiliser_SourceData.Fertiliser_Products_Data2(), FertiliserProducts[[#Headers],[Company]],31)</f>
        <v/>
      </c>
      <c r="M137" s="146" cm="1">
        <f t="array" ref="M137">Common_InputFunctions.Utility_DisplayArrayInTable(Fertiliser_SourceData.Fertiliser_Products_Data2(), FertiliserProducts[[#Headers],[Company]],31)</f>
        <v>50</v>
      </c>
      <c r="N137" s="146" t="str" cm="1">
        <f t="array" ref="N137">Common_InputFunctions.Utility_DisplayArrayInTable(Fertiliser_SourceData.Fertiliser_Products_Data2(), FertiliserProducts[[#Headers],[Company]],31)</f>
        <v/>
      </c>
      <c r="O137" s="146" t="str" cm="1">
        <f t="array" ref="O137">Common_InputFunctions.Utility_DisplayArrayInTable(Fertiliser_SourceData.Fertiliser_Products_Data2(), FertiliserProducts[[#Headers],[Company]],31)</f>
        <v>Muriate of potash (MOP)</v>
      </c>
      <c r="P137" s="146" cm="1">
        <f t="array" ref="P137">Common_InputFunctions.Utility_DisplayArrayInTable(Fertiliser_SourceData.Fertiliser_Products_Data2(), FertiliserProducts[[#Headers],[Company]],31)</f>
        <v>1</v>
      </c>
      <c r="Q137" s="146" t="str" cm="1">
        <f t="array" ref="Q137">Common_InputFunctions.Utility_DisplayArrayInTable(Fertiliser_SourceData.Fertiliser_Products_Data2(), FertiliserProducts[[#Headers],[Company]],31)</f>
        <v/>
      </c>
      <c r="R137" s="146" t="str" cm="1">
        <f t="array" ref="R137">Common_InputFunctions.Utility_DisplayArrayInTable(Fertiliser_SourceData.Fertiliser_Products_Data2(), FertiliserProducts[[#Headers],[Company]],31)</f>
        <v/>
      </c>
      <c r="S137" s="146" t="str" cm="1">
        <f t="array" ref="S137">Common_InputFunctions.Utility_DisplayArrayInTable(Fertiliser_SourceData.Fertiliser_Products_Data2(), FertiliserProducts[[#Headers],[Company]],31)</f>
        <v/>
      </c>
      <c r="T137" s="146" t="str" cm="1">
        <f t="array" ref="T137">Common_InputFunctions.Utility_DisplayArrayInTable(Fertiliser_SourceData.Fertiliser_Products_Data2(), FertiliserProducts[[#Headers],[Company]],31)</f>
        <v/>
      </c>
      <c r="U137" s="146" t="str" cm="1">
        <f t="array" ref="U137">Common_InputFunctions.Utility_DisplayArrayInTable(Fertiliser_SourceData.Fertiliser_Products_Data2(), FertiliserProducts[[#Headers],[Company]],31)</f>
        <v/>
      </c>
      <c r="V137" s="146" t="str" cm="1">
        <f t="array" ref="V137">Common_InputFunctions.Utility_DisplayArrayInTable(Fertiliser_SourceData.Fertiliser_Products_Data2(), FertiliserProducts[[#Headers],[Company]],31)</f>
        <v/>
      </c>
      <c r="W137" s="146" t="str" cm="1">
        <f t="array" ref="W137">Common_InputFunctions.Utility_DisplayArrayInTable(Fertiliser_SourceData.Fertiliser_Products_Data2(), FertiliserProducts[[#Headers],[Company]],31)</f>
        <v/>
      </c>
      <c r="X137" s="146" t="str" cm="1">
        <f t="array" ref="X137">Common_InputFunctions.Utility_DisplayArrayInTable(Fertiliser_SourceData.Fertiliser_Products_Data2(), FertiliserProducts[[#Headers],[Company]],31)</f>
        <v/>
      </c>
      <c r="Y137" s="146" t="str" cm="1">
        <f t="array" ref="Y137">Common_InputFunctions.Utility_DisplayArrayInTable(Fertiliser_SourceData.Fertiliser_Products_Data2(), FertiliserProducts[[#Headers],[Company]],31)</f>
        <v/>
      </c>
      <c r="Z137" s="146" t="str" cm="1">
        <f t="array" ref="Z137">Common_InputFunctions.Utility_DisplayArrayInTable(Fertiliser_SourceData.Fertiliser_Products_Data2(), FertiliserProducts[[#Headers],[Company]],31)</f>
        <v/>
      </c>
      <c r="AA137" s="146" t="str" cm="1">
        <f t="array" ref="AA137">Common_InputFunctions.Utility_DisplayArrayInTable(Fertiliser_SourceData.Fertiliser_Products_Data2(), FertiliserProducts[[#Headers],[Company]],31)</f>
        <v/>
      </c>
      <c r="AB137" s="146" t="str" cm="1">
        <f t="array" ref="AB137">Common_InputFunctions.Utility_DisplayArrayInTable(Fertiliser_SourceData.Fertiliser_Products_Data2(), FertiliserProducts[[#Headers],[Company]],31)</f>
        <v/>
      </c>
      <c r="AC137" s="146" t="str" cm="1">
        <f t="array" ref="AC137">Common_InputFunctions.Utility_DisplayArrayInTable(Fertiliser_SourceData.Fertiliser_Products_Data2(), FertiliserProducts[[#Headers],[Company]],31)</f>
        <v/>
      </c>
      <c r="AD137" s="146" t="str" cm="1">
        <f t="array" ref="AD137">Common_InputFunctions.Utility_DisplayArrayInTable(Fertiliser_SourceData.Fertiliser_Products_Data2(), FertiliserProducts[[#Headers],[Company]],31)</f>
        <v/>
      </c>
      <c r="AE137" s="146" t="str" cm="1">
        <f t="array" ref="AE137">Common_InputFunctions.Utility_DisplayArrayInTable(Fertiliser_SourceData.Fertiliser_Products_Data2(), FertiliserProducts[[#Headers],[Company]],31)</f>
        <v/>
      </c>
      <c r="AF137" s="146" t="str" cm="1">
        <f t="array" ref="AF137">Common_InputFunctions.Utility_DisplayArrayInTable(Fertiliser_SourceData.Fertiliser_Products_Data2(), FertiliserProducts[[#Headers],[Company]],31)</f>
        <v/>
      </c>
      <c r="AG137" s="146" t="str" cm="1">
        <f t="array" ref="AG137">Common_InputFunctions.Utility_DisplayArrayInTable(Fertiliser_SourceData.Fertiliser_Products_Data2(), FertiliserProducts[[#Headers],[Company]],31)</f>
        <v/>
      </c>
      <c r="AH137" s="146" t="str" cm="1">
        <f t="array" ref="AH137">Common_InputFunctions.Utility_DisplayArrayInTable(Fertiliser_SourceData.Fertiliser_Products_Data2(), FertiliserProducts[[#Headers],[Company]],31)</f>
        <v/>
      </c>
      <c r="AK137" s="1"/>
      <c r="AL137" s="1"/>
      <c r="AM137" s="1"/>
    </row>
    <row r="138" spans="4:39" ht="20.100000000000001" customHeight="1" x14ac:dyDescent="0.2">
      <c r="D138" s="146" t="str" cm="1">
        <f t="array" ref="D138">Common_InputFunctions.Utility_DisplayArrayInTable(Fertiliser_SourceData.Fertiliser_Products_Data2(), FertiliserProducts[[#Headers],[Company]],31)</f>
        <v>Risso-Chemical</v>
      </c>
      <c r="E138" s="146" t="str" cm="1">
        <f t="array" ref="E138">Common_InputFunctions.Utility_DisplayArrayInTable(Fertiliser_SourceData.Fertiliser_Products_Data2(), FertiliserProducts[[#Headers],[Company]],31)</f>
        <v>Urea Ammonium nitrate (UAN 32-0-0)</v>
      </c>
      <c r="F138" s="146" t="str" cm="1">
        <f t="array" ref="F138">Common_InputFunctions.Utility_DisplayArrayInTable(Fertiliser_SourceData.Fertiliser_Products_Data2(), FertiliserProducts[[#Headers],[Company]],31)</f>
        <v>L</v>
      </c>
      <c r="G138" s="146" cm="1">
        <f t="array" ref="G138">Common_InputFunctions.Utility_DisplayArrayInTable(Fertiliser_SourceData.Fertiliser_Products_Data2(), FertiliserProducts[[#Headers],[Company]],31)</f>
        <v>1.32</v>
      </c>
      <c r="H138" s="146" t="str" cm="1">
        <f t="array" ref="H138">Common_InputFunctions.Utility_DisplayArrayInTable(Fertiliser_SourceData.Fertiliser_Products_Data2(), FertiliserProducts[[#Headers],[Company]],31)</f>
        <v/>
      </c>
      <c r="I138" s="146" t="str" cm="1">
        <f t="array" ref="I138">Common_InputFunctions.Utility_DisplayArrayInTable(Fertiliser_SourceData.Fertiliser_Products_Data2(), FertiliserProducts[[#Headers],[Company]],31)</f>
        <v>China</v>
      </c>
      <c r="J138" s="146" t="str" cm="1">
        <f t="array" ref="J138">Common_InputFunctions.Utility_DisplayArrayInTable(Fertiliser_SourceData.Fertiliser_Products_Data2(), FertiliserProducts[[#Headers],[Company]],31)</f>
        <v>China</v>
      </c>
      <c r="K138" s="146" cm="1">
        <f t="array" ref="K138">Common_InputFunctions.Utility_DisplayArrayInTable(Fertiliser_SourceData.Fertiliser_Products_Data2(), FertiliserProducts[[#Headers],[Company]],31)</f>
        <v>32</v>
      </c>
      <c r="L138" s="146" t="str" cm="1">
        <f t="array" ref="L138">Common_InputFunctions.Utility_DisplayArrayInTable(Fertiliser_SourceData.Fertiliser_Products_Data2(), FertiliserProducts[[#Headers],[Company]],31)</f>
        <v/>
      </c>
      <c r="M138" s="146" t="str" cm="1">
        <f t="array" ref="M138">Common_InputFunctions.Utility_DisplayArrayInTable(Fertiliser_SourceData.Fertiliser_Products_Data2(), FertiliserProducts[[#Headers],[Company]],31)</f>
        <v/>
      </c>
      <c r="N138" s="146" t="str" cm="1">
        <f t="array" ref="N138">Common_InputFunctions.Utility_DisplayArrayInTable(Fertiliser_SourceData.Fertiliser_Products_Data2(), FertiliserProducts[[#Headers],[Company]],31)</f>
        <v/>
      </c>
      <c r="O138" s="146" t="str" cm="1">
        <f t="array" ref="O138">Common_InputFunctions.Utility_DisplayArrayInTable(Fertiliser_SourceData.Fertiliser_Products_Data2(), FertiliserProducts[[#Headers],[Company]],31)</f>
        <v>Urea-ammonium nitrate (UAN)</v>
      </c>
      <c r="P138" s="146" cm="1">
        <f t="array" ref="P138">Common_InputFunctions.Utility_DisplayArrayInTable(Fertiliser_SourceData.Fertiliser_Products_Data2(), FertiliserProducts[[#Headers],[Company]],31)</f>
        <v>1</v>
      </c>
      <c r="Q138" s="146" t="str" cm="1">
        <f t="array" ref="Q138">Common_InputFunctions.Utility_DisplayArrayInTable(Fertiliser_SourceData.Fertiliser_Products_Data2(), FertiliserProducts[[#Headers],[Company]],31)</f>
        <v/>
      </c>
      <c r="R138" s="146" t="str" cm="1">
        <f t="array" ref="R138">Common_InputFunctions.Utility_DisplayArrayInTable(Fertiliser_SourceData.Fertiliser_Products_Data2(), FertiliserProducts[[#Headers],[Company]],31)</f>
        <v/>
      </c>
      <c r="S138" s="146" t="str" cm="1">
        <f t="array" ref="S138">Common_InputFunctions.Utility_DisplayArrayInTable(Fertiliser_SourceData.Fertiliser_Products_Data2(), FertiliserProducts[[#Headers],[Company]],31)</f>
        <v/>
      </c>
      <c r="T138" s="146" t="str" cm="1">
        <f t="array" ref="T138">Common_InputFunctions.Utility_DisplayArrayInTable(Fertiliser_SourceData.Fertiliser_Products_Data2(), FertiliserProducts[[#Headers],[Company]],31)</f>
        <v/>
      </c>
      <c r="U138" s="146" t="str" cm="1">
        <f t="array" ref="U138">Common_InputFunctions.Utility_DisplayArrayInTable(Fertiliser_SourceData.Fertiliser_Products_Data2(), FertiliserProducts[[#Headers],[Company]],31)</f>
        <v/>
      </c>
      <c r="V138" s="146" t="str" cm="1">
        <f t="array" ref="V138">Common_InputFunctions.Utility_DisplayArrayInTable(Fertiliser_SourceData.Fertiliser_Products_Data2(), FertiliserProducts[[#Headers],[Company]],31)</f>
        <v/>
      </c>
      <c r="W138" s="146" t="str" cm="1">
        <f t="array" ref="W138">Common_InputFunctions.Utility_DisplayArrayInTable(Fertiliser_SourceData.Fertiliser_Products_Data2(), FertiliserProducts[[#Headers],[Company]],31)</f>
        <v/>
      </c>
      <c r="X138" s="146" t="str" cm="1">
        <f t="array" ref="X138">Common_InputFunctions.Utility_DisplayArrayInTable(Fertiliser_SourceData.Fertiliser_Products_Data2(), FertiliserProducts[[#Headers],[Company]],31)</f>
        <v/>
      </c>
      <c r="Y138" s="146" t="str" cm="1">
        <f t="array" ref="Y138">Common_InputFunctions.Utility_DisplayArrayInTable(Fertiliser_SourceData.Fertiliser_Products_Data2(), FertiliserProducts[[#Headers],[Company]],31)</f>
        <v/>
      </c>
      <c r="Z138" s="146" t="str" cm="1">
        <f t="array" ref="Z138">Common_InputFunctions.Utility_DisplayArrayInTable(Fertiliser_SourceData.Fertiliser_Products_Data2(), FertiliserProducts[[#Headers],[Company]],31)</f>
        <v/>
      </c>
      <c r="AA138" s="146" t="str" cm="1">
        <f t="array" ref="AA138">Common_InputFunctions.Utility_DisplayArrayInTable(Fertiliser_SourceData.Fertiliser_Products_Data2(), FertiliserProducts[[#Headers],[Company]],31)</f>
        <v/>
      </c>
      <c r="AB138" s="146" t="str" cm="1">
        <f t="array" ref="AB138">Common_InputFunctions.Utility_DisplayArrayInTable(Fertiliser_SourceData.Fertiliser_Products_Data2(), FertiliserProducts[[#Headers],[Company]],31)</f>
        <v/>
      </c>
      <c r="AC138" s="146" t="str" cm="1">
        <f t="array" ref="AC138">Common_InputFunctions.Utility_DisplayArrayInTable(Fertiliser_SourceData.Fertiliser_Products_Data2(), FertiliserProducts[[#Headers],[Company]],31)</f>
        <v/>
      </c>
      <c r="AD138" s="146" t="str" cm="1">
        <f t="array" ref="AD138">Common_InputFunctions.Utility_DisplayArrayInTable(Fertiliser_SourceData.Fertiliser_Products_Data2(), FertiliserProducts[[#Headers],[Company]],31)</f>
        <v/>
      </c>
      <c r="AE138" s="146" t="str" cm="1">
        <f t="array" ref="AE138">Common_InputFunctions.Utility_DisplayArrayInTable(Fertiliser_SourceData.Fertiliser_Products_Data2(), FertiliserProducts[[#Headers],[Company]],31)</f>
        <v/>
      </c>
      <c r="AF138" s="146" t="str" cm="1">
        <f t="array" ref="AF138">Common_InputFunctions.Utility_DisplayArrayInTable(Fertiliser_SourceData.Fertiliser_Products_Data2(), FertiliserProducts[[#Headers],[Company]],31)</f>
        <v/>
      </c>
      <c r="AG138" s="146" t="str" cm="1">
        <f t="array" ref="AG138">Common_InputFunctions.Utility_DisplayArrayInTable(Fertiliser_SourceData.Fertiliser_Products_Data2(), FertiliserProducts[[#Headers],[Company]],31)</f>
        <v/>
      </c>
      <c r="AH138" s="146" t="str" cm="1">
        <f t="array" ref="AH138">Common_InputFunctions.Utility_DisplayArrayInTable(Fertiliser_SourceData.Fertiliser_Products_Data2(), FertiliserProducts[[#Headers],[Company]],31)</f>
        <v/>
      </c>
      <c r="AK138" s="1"/>
      <c r="AL138" s="1"/>
      <c r="AM138" s="1"/>
    </row>
    <row r="139" spans="4:39" ht="20.100000000000001" customHeight="1" x14ac:dyDescent="0.2">
      <c r="D139" s="146" t="str" cm="1">
        <f t="array" ref="D139">Common_InputFunctions.Utility_DisplayArrayInTable(Fertiliser_SourceData.Fertiliser_Products_Data2(), FertiliserProducts[[#Headers],[Company]],31)</f>
        <v>Risso-Chemical</v>
      </c>
      <c r="E139" s="146" t="str" cm="1">
        <f t="array" ref="E139">Common_InputFunctions.Utility_DisplayArrayInTable(Fertiliser_SourceData.Fertiliser_Products_Data2(), FertiliserProducts[[#Headers],[Company]],31)</f>
        <v>Polypeptide Urea</v>
      </c>
      <c r="F139" s="146" t="str" cm="1">
        <f t="array" ref="F139">Common_InputFunctions.Utility_DisplayArrayInTable(Fertiliser_SourceData.Fertiliser_Products_Data2(), FertiliserProducts[[#Headers],[Company]],31)</f>
        <v>kg</v>
      </c>
      <c r="G139" s="146" cm="1">
        <f t="array" ref="G139">Common_InputFunctions.Utility_DisplayArrayInTable(Fertiliser_SourceData.Fertiliser_Products_Data2(), FertiliserProducts[[#Headers],[Company]],31)</f>
        <v>1</v>
      </c>
      <c r="H139" s="146" t="str" cm="1">
        <f t="array" ref="H139">Common_InputFunctions.Utility_DisplayArrayInTable(Fertiliser_SourceData.Fertiliser_Products_Data2(), FertiliserProducts[[#Headers],[Company]],31)</f>
        <v/>
      </c>
      <c r="I139" s="146" t="str" cm="1">
        <f t="array" ref="I139">Common_InputFunctions.Utility_DisplayArrayInTable(Fertiliser_SourceData.Fertiliser_Products_Data2(), FertiliserProducts[[#Headers],[Company]],31)</f>
        <v>China</v>
      </c>
      <c r="J139" s="146" t="str" cm="1">
        <f t="array" ref="J139">Common_InputFunctions.Utility_DisplayArrayInTable(Fertiliser_SourceData.Fertiliser_Products_Data2(), FertiliserProducts[[#Headers],[Company]],31)</f>
        <v/>
      </c>
      <c r="K139" s="146" cm="1">
        <f t="array" ref="K139">Common_InputFunctions.Utility_DisplayArrayInTable(Fertiliser_SourceData.Fertiliser_Products_Data2(), FertiliserProducts[[#Headers],[Company]],31)</f>
        <v>46</v>
      </c>
      <c r="L139" s="146" t="str" cm="1">
        <f t="array" ref="L139">Common_InputFunctions.Utility_DisplayArrayInTable(Fertiliser_SourceData.Fertiliser_Products_Data2(), FertiliserProducts[[#Headers],[Company]],31)</f>
        <v/>
      </c>
      <c r="M139" s="146" t="str" cm="1">
        <f t="array" ref="M139">Common_InputFunctions.Utility_DisplayArrayInTable(Fertiliser_SourceData.Fertiliser_Products_Data2(), FertiliserProducts[[#Headers],[Company]],31)</f>
        <v/>
      </c>
      <c r="N139" s="146" t="str" cm="1">
        <f t="array" ref="N139">Common_InputFunctions.Utility_DisplayArrayInTable(Fertiliser_SourceData.Fertiliser_Products_Data2(), FertiliserProducts[[#Headers],[Company]],31)</f>
        <v/>
      </c>
      <c r="O139" s="146" t="str" cm="1">
        <f t="array" ref="O139">Common_InputFunctions.Utility_DisplayArrayInTable(Fertiliser_SourceData.Fertiliser_Products_Data2(), FertiliserProducts[[#Headers],[Company]],31)</f>
        <v>Urea</v>
      </c>
      <c r="P139" s="146" cm="1">
        <f t="array" ref="P139">Common_InputFunctions.Utility_DisplayArrayInTable(Fertiliser_SourceData.Fertiliser_Products_Data2(), FertiliserProducts[[#Headers],[Company]],31)</f>
        <v>1</v>
      </c>
      <c r="Q139" s="146" t="str" cm="1">
        <f t="array" ref="Q139">Common_InputFunctions.Utility_DisplayArrayInTable(Fertiliser_SourceData.Fertiliser_Products_Data2(), FertiliserProducts[[#Headers],[Company]],31)</f>
        <v>Polypeptide (amino acids)</v>
      </c>
      <c r="R139" s="146" cm="1">
        <f t="array" ref="R139">Common_InputFunctions.Utility_DisplayArrayInTable(Fertiliser_SourceData.Fertiliser_Products_Data2(), FertiliserProducts[[#Headers],[Company]],31)</f>
        <v>0</v>
      </c>
      <c r="S139" s="146" t="str" cm="1">
        <f t="array" ref="S139">Common_InputFunctions.Utility_DisplayArrayInTable(Fertiliser_SourceData.Fertiliser_Products_Data2(), FertiliserProducts[[#Headers],[Company]],31)</f>
        <v/>
      </c>
      <c r="T139" s="146" t="str" cm="1">
        <f t="array" ref="T139">Common_InputFunctions.Utility_DisplayArrayInTable(Fertiliser_SourceData.Fertiliser_Products_Data2(), FertiliserProducts[[#Headers],[Company]],31)</f>
        <v/>
      </c>
      <c r="U139" s="146" t="str" cm="1">
        <f t="array" ref="U139">Common_InputFunctions.Utility_DisplayArrayInTable(Fertiliser_SourceData.Fertiliser_Products_Data2(), FertiliserProducts[[#Headers],[Company]],31)</f>
        <v/>
      </c>
      <c r="V139" s="146" t="str" cm="1">
        <f t="array" ref="V139">Common_InputFunctions.Utility_DisplayArrayInTable(Fertiliser_SourceData.Fertiliser_Products_Data2(), FertiliserProducts[[#Headers],[Company]],31)</f>
        <v/>
      </c>
      <c r="W139" s="146" t="str" cm="1">
        <f t="array" ref="W139">Common_InputFunctions.Utility_DisplayArrayInTable(Fertiliser_SourceData.Fertiliser_Products_Data2(), FertiliserProducts[[#Headers],[Company]],31)</f>
        <v/>
      </c>
      <c r="X139" s="146" t="str" cm="1">
        <f t="array" ref="X139">Common_InputFunctions.Utility_DisplayArrayInTable(Fertiliser_SourceData.Fertiliser_Products_Data2(), FertiliserProducts[[#Headers],[Company]],31)</f>
        <v/>
      </c>
      <c r="Y139" s="146" t="str" cm="1">
        <f t="array" ref="Y139">Common_InputFunctions.Utility_DisplayArrayInTable(Fertiliser_SourceData.Fertiliser_Products_Data2(), FertiliserProducts[[#Headers],[Company]],31)</f>
        <v/>
      </c>
      <c r="Z139" s="146" t="str" cm="1">
        <f t="array" ref="Z139">Common_InputFunctions.Utility_DisplayArrayInTable(Fertiliser_SourceData.Fertiliser_Products_Data2(), FertiliserProducts[[#Headers],[Company]],31)</f>
        <v/>
      </c>
      <c r="AA139" s="146" t="str" cm="1">
        <f t="array" ref="AA139">Common_InputFunctions.Utility_DisplayArrayInTable(Fertiliser_SourceData.Fertiliser_Products_Data2(), FertiliserProducts[[#Headers],[Company]],31)</f>
        <v/>
      </c>
      <c r="AB139" s="146" t="str" cm="1">
        <f t="array" ref="AB139">Common_InputFunctions.Utility_DisplayArrayInTable(Fertiliser_SourceData.Fertiliser_Products_Data2(), FertiliserProducts[[#Headers],[Company]],31)</f>
        <v/>
      </c>
      <c r="AC139" s="146" t="str" cm="1">
        <f t="array" ref="AC139">Common_InputFunctions.Utility_DisplayArrayInTable(Fertiliser_SourceData.Fertiliser_Products_Data2(), FertiliserProducts[[#Headers],[Company]],31)</f>
        <v/>
      </c>
      <c r="AD139" s="146" t="str" cm="1">
        <f t="array" ref="AD139">Common_InputFunctions.Utility_DisplayArrayInTable(Fertiliser_SourceData.Fertiliser_Products_Data2(), FertiliserProducts[[#Headers],[Company]],31)</f>
        <v/>
      </c>
      <c r="AE139" s="146" t="str" cm="1">
        <f t="array" ref="AE139">Common_InputFunctions.Utility_DisplayArrayInTable(Fertiliser_SourceData.Fertiliser_Products_Data2(), FertiliserProducts[[#Headers],[Company]],31)</f>
        <v/>
      </c>
      <c r="AF139" s="146" t="str" cm="1">
        <f t="array" ref="AF139">Common_InputFunctions.Utility_DisplayArrayInTable(Fertiliser_SourceData.Fertiliser_Products_Data2(), FertiliserProducts[[#Headers],[Company]],31)</f>
        <v/>
      </c>
      <c r="AG139" s="146" t="str" cm="1">
        <f t="array" ref="AG139">Common_InputFunctions.Utility_DisplayArrayInTable(Fertiliser_SourceData.Fertiliser_Products_Data2(), FertiliserProducts[[#Headers],[Company]],31)</f>
        <v/>
      </c>
      <c r="AH139" s="146" t="str" cm="1">
        <f t="array" ref="AH139">Common_InputFunctions.Utility_DisplayArrayInTable(Fertiliser_SourceData.Fertiliser_Products_Data2(), FertiliserProducts[[#Headers],[Company]],31)</f>
        <v/>
      </c>
      <c r="AK139" s="1"/>
      <c r="AL139" s="1"/>
      <c r="AM139" s="1"/>
    </row>
    <row r="140" spans="4:39" ht="20.100000000000001" customHeight="1" x14ac:dyDescent="0.2">
      <c r="D140" s="146" t="str" cm="1">
        <f t="array" ref="D140">Common_InputFunctions.Utility_DisplayArrayInTable(Fertiliser_SourceData.Fertiliser_Products_Data2(), FertiliserProducts[[#Headers],[Company]],31)</f>
        <v>Yara Australia</v>
      </c>
      <c r="E140" s="146" t="str" cm="1">
        <f t="array" ref="E140">Common_InputFunctions.Utility_DisplayArrayInTable(Fertiliser_SourceData.Fertiliser_Products_Data2(), FertiliserProducts[[#Headers],[Company]],31)</f>
        <v>YaraTera CALCINIT</v>
      </c>
      <c r="F140" s="146" t="str" cm="1">
        <f t="array" ref="F140">Common_InputFunctions.Utility_DisplayArrayInTable(Fertiliser_SourceData.Fertiliser_Products_Data2(), FertiliserProducts[[#Headers],[Company]],31)</f>
        <v>kg</v>
      </c>
      <c r="G140" s="146" cm="1">
        <f t="array" ref="G140">Common_InputFunctions.Utility_DisplayArrayInTable(Fertiliser_SourceData.Fertiliser_Products_Data2(), FertiliserProducts[[#Headers],[Company]],31)</f>
        <v>1</v>
      </c>
      <c r="H140" s="146" t="str" cm="1">
        <f t="array" ref="H140">Common_InputFunctions.Utility_DisplayArrayInTable(Fertiliser_SourceData.Fertiliser_Products_Data2(), FertiliserProducts[[#Headers],[Company]],31)</f>
        <v/>
      </c>
      <c r="I140" s="146" t="str" cm="1">
        <f t="array" ref="I140">Common_InputFunctions.Utility_DisplayArrayInTable(Fertiliser_SourceData.Fertiliser_Products_Data2(), FertiliserProducts[[#Headers],[Company]],31)</f>
        <v/>
      </c>
      <c r="J140" s="146" t="str" cm="1">
        <f t="array" ref="J140">Common_InputFunctions.Utility_DisplayArrayInTable(Fertiliser_SourceData.Fertiliser_Products_Data2(), FertiliserProducts[[#Headers],[Company]],31)</f>
        <v/>
      </c>
      <c r="K140" s="146" cm="1">
        <f t="array" ref="K140">Common_InputFunctions.Utility_DisplayArrayInTable(Fertiliser_SourceData.Fertiliser_Products_Data2(), FertiliserProducts[[#Headers],[Company]],31)</f>
        <v>15.5</v>
      </c>
      <c r="L140" s="146" t="str" cm="1">
        <f t="array" ref="L140">Common_InputFunctions.Utility_DisplayArrayInTable(Fertiliser_SourceData.Fertiliser_Products_Data2(), FertiliserProducts[[#Headers],[Company]],31)</f>
        <v/>
      </c>
      <c r="M140" s="146" t="str" cm="1">
        <f t="array" ref="M140">Common_InputFunctions.Utility_DisplayArrayInTable(Fertiliser_SourceData.Fertiliser_Products_Data2(), FertiliserProducts[[#Headers],[Company]],31)</f>
        <v/>
      </c>
      <c r="N140" s="146" t="str" cm="1">
        <f t="array" ref="N140">Common_InputFunctions.Utility_DisplayArrayInTable(Fertiliser_SourceData.Fertiliser_Products_Data2(), FertiliserProducts[[#Headers],[Company]],31)</f>
        <v/>
      </c>
      <c r="O140" s="146" t="str" cm="1">
        <f t="array" ref="O140">Common_InputFunctions.Utility_DisplayArrayInTable(Fertiliser_SourceData.Fertiliser_Products_Data2(), FertiliserProducts[[#Headers],[Company]],31)</f>
        <v>Calcium nitrate</v>
      </c>
      <c r="P140" s="146" cm="1">
        <f t="array" ref="P140">Common_InputFunctions.Utility_DisplayArrayInTable(Fertiliser_SourceData.Fertiliser_Products_Data2(), FertiliserProducts[[#Headers],[Company]],31)</f>
        <v>1</v>
      </c>
      <c r="Q140" s="146" t="str" cm="1">
        <f t="array" ref="Q140">Common_InputFunctions.Utility_DisplayArrayInTable(Fertiliser_SourceData.Fertiliser_Products_Data2(), FertiliserProducts[[#Headers],[Company]],31)</f>
        <v/>
      </c>
      <c r="R140" s="146" t="str" cm="1">
        <f t="array" ref="R140">Common_InputFunctions.Utility_DisplayArrayInTable(Fertiliser_SourceData.Fertiliser_Products_Data2(), FertiliserProducts[[#Headers],[Company]],31)</f>
        <v/>
      </c>
      <c r="S140" s="146" t="str" cm="1">
        <f t="array" ref="S140">Common_InputFunctions.Utility_DisplayArrayInTable(Fertiliser_SourceData.Fertiliser_Products_Data2(), FertiliserProducts[[#Headers],[Company]],31)</f>
        <v/>
      </c>
      <c r="T140" s="146" t="str" cm="1">
        <f t="array" ref="T140">Common_InputFunctions.Utility_DisplayArrayInTable(Fertiliser_SourceData.Fertiliser_Products_Data2(), FertiliserProducts[[#Headers],[Company]],31)</f>
        <v/>
      </c>
      <c r="U140" s="146" t="str" cm="1">
        <f t="array" ref="U140">Common_InputFunctions.Utility_DisplayArrayInTable(Fertiliser_SourceData.Fertiliser_Products_Data2(), FertiliserProducts[[#Headers],[Company]],31)</f>
        <v/>
      </c>
      <c r="V140" s="146" t="str" cm="1">
        <f t="array" ref="V140">Common_InputFunctions.Utility_DisplayArrayInTable(Fertiliser_SourceData.Fertiliser_Products_Data2(), FertiliserProducts[[#Headers],[Company]],31)</f>
        <v/>
      </c>
      <c r="W140" s="146" t="str" cm="1">
        <f t="array" ref="W140">Common_InputFunctions.Utility_DisplayArrayInTable(Fertiliser_SourceData.Fertiliser_Products_Data2(), FertiliserProducts[[#Headers],[Company]],31)</f>
        <v/>
      </c>
      <c r="X140" s="146" t="str" cm="1">
        <f t="array" ref="X140">Common_InputFunctions.Utility_DisplayArrayInTable(Fertiliser_SourceData.Fertiliser_Products_Data2(), FertiliserProducts[[#Headers],[Company]],31)</f>
        <v/>
      </c>
      <c r="Y140" s="146" t="str" cm="1">
        <f t="array" ref="Y140">Common_InputFunctions.Utility_DisplayArrayInTable(Fertiliser_SourceData.Fertiliser_Products_Data2(), FertiliserProducts[[#Headers],[Company]],31)</f>
        <v/>
      </c>
      <c r="Z140" s="146" t="str" cm="1">
        <f t="array" ref="Z140">Common_InputFunctions.Utility_DisplayArrayInTable(Fertiliser_SourceData.Fertiliser_Products_Data2(), FertiliserProducts[[#Headers],[Company]],31)</f>
        <v/>
      </c>
      <c r="AA140" s="146" t="str" cm="1">
        <f t="array" ref="AA140">Common_InputFunctions.Utility_DisplayArrayInTable(Fertiliser_SourceData.Fertiliser_Products_Data2(), FertiliserProducts[[#Headers],[Company]],31)</f>
        <v/>
      </c>
      <c r="AB140" s="146" t="str" cm="1">
        <f t="array" ref="AB140">Common_InputFunctions.Utility_DisplayArrayInTable(Fertiliser_SourceData.Fertiliser_Products_Data2(), FertiliserProducts[[#Headers],[Company]],31)</f>
        <v/>
      </c>
      <c r="AC140" s="146" t="str" cm="1">
        <f t="array" ref="AC140">Common_InputFunctions.Utility_DisplayArrayInTable(Fertiliser_SourceData.Fertiliser_Products_Data2(), FertiliserProducts[[#Headers],[Company]],31)</f>
        <v/>
      </c>
      <c r="AD140" s="146" t="str" cm="1">
        <f t="array" ref="AD140">Common_InputFunctions.Utility_DisplayArrayInTable(Fertiliser_SourceData.Fertiliser_Products_Data2(), FertiliserProducts[[#Headers],[Company]],31)</f>
        <v/>
      </c>
      <c r="AE140" s="146" t="str" cm="1">
        <f t="array" ref="AE140">Common_InputFunctions.Utility_DisplayArrayInTable(Fertiliser_SourceData.Fertiliser_Products_Data2(), FertiliserProducts[[#Headers],[Company]],31)</f>
        <v/>
      </c>
      <c r="AF140" s="146" t="str" cm="1">
        <f t="array" ref="AF140">Common_InputFunctions.Utility_DisplayArrayInTable(Fertiliser_SourceData.Fertiliser_Products_Data2(), FertiliserProducts[[#Headers],[Company]],31)</f>
        <v/>
      </c>
      <c r="AG140" s="146" t="str" cm="1">
        <f t="array" ref="AG140">Common_InputFunctions.Utility_DisplayArrayInTable(Fertiliser_SourceData.Fertiliser_Products_Data2(), FertiliserProducts[[#Headers],[Company]],31)</f>
        <v/>
      </c>
      <c r="AH140" s="146" t="str" cm="1">
        <f t="array" ref="AH140">Common_InputFunctions.Utility_DisplayArrayInTable(Fertiliser_SourceData.Fertiliser_Products_Data2(), FertiliserProducts[[#Headers],[Company]],31)</f>
        <v/>
      </c>
      <c r="AK140" s="1"/>
      <c r="AL140" s="1"/>
      <c r="AM140" s="1"/>
    </row>
    <row r="141" spans="4:39" ht="20.100000000000001" customHeight="1" x14ac:dyDescent="0.2">
      <c r="D141" s="146" t="str" cm="1">
        <f t="array" ref="D141">Common_InputFunctions.Utility_DisplayArrayInTable(Fertiliser_SourceData.Fertiliser_Products_Data2(), FertiliserProducts[[#Headers],[Company]],31)</f>
        <v>Yara Australia</v>
      </c>
      <c r="E141" s="146" t="str" cm="1">
        <f t="array" ref="E141">Common_InputFunctions.Utility_DisplayArrayInTable(Fertiliser_SourceData.Fertiliser_Products_Data2(), FertiliserProducts[[#Headers],[Company]],31)</f>
        <v>YaraLiva NITRABOR</v>
      </c>
      <c r="F141" s="146" t="str" cm="1">
        <f t="array" ref="F141">Common_InputFunctions.Utility_DisplayArrayInTable(Fertiliser_SourceData.Fertiliser_Products_Data2(), FertiliserProducts[[#Headers],[Company]],31)</f>
        <v>kg</v>
      </c>
      <c r="G141" s="146" cm="1">
        <f t="array" ref="G141">Common_InputFunctions.Utility_DisplayArrayInTable(Fertiliser_SourceData.Fertiliser_Products_Data2(), FertiliserProducts[[#Headers],[Company]],31)</f>
        <v>1</v>
      </c>
      <c r="H141" s="146" t="str" cm="1">
        <f t="array" ref="H141">Common_InputFunctions.Utility_DisplayArrayInTable(Fertiliser_SourceData.Fertiliser_Products_Data2(), FertiliserProducts[[#Headers],[Company]],31)</f>
        <v/>
      </c>
      <c r="I141" s="146" t="str" cm="1">
        <f t="array" ref="I141">Common_InputFunctions.Utility_DisplayArrayInTable(Fertiliser_SourceData.Fertiliser_Products_Data2(), FertiliserProducts[[#Headers],[Company]],31)</f>
        <v/>
      </c>
      <c r="J141" s="146" t="str" cm="1">
        <f t="array" ref="J141">Common_InputFunctions.Utility_DisplayArrayInTable(Fertiliser_SourceData.Fertiliser_Products_Data2(), FertiliserProducts[[#Headers],[Company]],31)</f>
        <v/>
      </c>
      <c r="K141" s="146" cm="1">
        <f t="array" ref="K141">Common_InputFunctions.Utility_DisplayArrayInTable(Fertiliser_SourceData.Fertiliser_Products_Data2(), FertiliserProducts[[#Headers],[Company]],31)</f>
        <v>15.4</v>
      </c>
      <c r="L141" s="146" t="str" cm="1">
        <f t="array" ref="L141">Common_InputFunctions.Utility_DisplayArrayInTable(Fertiliser_SourceData.Fertiliser_Products_Data2(), FertiliserProducts[[#Headers],[Company]],31)</f>
        <v/>
      </c>
      <c r="M141" s="146" t="str" cm="1">
        <f t="array" ref="M141">Common_InputFunctions.Utility_DisplayArrayInTable(Fertiliser_SourceData.Fertiliser_Products_Data2(), FertiliserProducts[[#Headers],[Company]],31)</f>
        <v/>
      </c>
      <c r="N141" s="146" t="str" cm="1">
        <f t="array" ref="N141">Common_InputFunctions.Utility_DisplayArrayInTable(Fertiliser_SourceData.Fertiliser_Products_Data2(), FertiliserProducts[[#Headers],[Company]],31)</f>
        <v/>
      </c>
      <c r="O141" s="146" t="str" cm="1">
        <f t="array" ref="O141">Common_InputFunctions.Utility_DisplayArrayInTable(Fertiliser_SourceData.Fertiliser_Products_Data2(), FertiliserProducts[[#Headers],[Company]],31)</f>
        <v>Calcium nitrate</v>
      </c>
      <c r="P141" s="146" cm="1">
        <f t="array" ref="P141">Common_InputFunctions.Utility_DisplayArrayInTable(Fertiliser_SourceData.Fertiliser_Products_Data2(), FertiliserProducts[[#Headers],[Company]],31)</f>
        <v>0.99354799999999999</v>
      </c>
      <c r="Q141" s="146" t="str" cm="1">
        <f t="array" ref="Q141">Common_InputFunctions.Utility_DisplayArrayInTable(Fertiliser_SourceData.Fertiliser_Products_Data2(), FertiliserProducts[[#Headers],[Company]],31)</f>
        <v>Boron</v>
      </c>
      <c r="R141" s="146" cm="1">
        <f t="array" ref="R141">Common_InputFunctions.Utility_DisplayArrayInTable(Fertiliser_SourceData.Fertiliser_Products_Data2(), FertiliserProducts[[#Headers],[Company]],31)</f>
        <v>3.0000000000000001E-3</v>
      </c>
      <c r="S141" s="146" t="str" cm="1">
        <f t="array" ref="S141">Common_InputFunctions.Utility_DisplayArrayInTable(Fertiliser_SourceData.Fertiliser_Products_Data2(), FertiliserProducts[[#Headers],[Company]],31)</f>
        <v/>
      </c>
      <c r="T141" s="146" t="str" cm="1">
        <f t="array" ref="T141">Common_InputFunctions.Utility_DisplayArrayInTable(Fertiliser_SourceData.Fertiliser_Products_Data2(), FertiliserProducts[[#Headers],[Company]],31)</f>
        <v/>
      </c>
      <c r="U141" s="146" t="str" cm="1">
        <f t="array" ref="U141">Common_InputFunctions.Utility_DisplayArrayInTable(Fertiliser_SourceData.Fertiliser_Products_Data2(), FertiliserProducts[[#Headers],[Company]],31)</f>
        <v/>
      </c>
      <c r="V141" s="146" t="str" cm="1">
        <f t="array" ref="V141">Common_InputFunctions.Utility_DisplayArrayInTable(Fertiliser_SourceData.Fertiliser_Products_Data2(), FertiliserProducts[[#Headers],[Company]],31)</f>
        <v/>
      </c>
      <c r="W141" s="146" t="str" cm="1">
        <f t="array" ref="W141">Common_InputFunctions.Utility_DisplayArrayInTable(Fertiliser_SourceData.Fertiliser_Products_Data2(), FertiliserProducts[[#Headers],[Company]],31)</f>
        <v/>
      </c>
      <c r="X141" s="146" t="str" cm="1">
        <f t="array" ref="X141">Common_InputFunctions.Utility_DisplayArrayInTable(Fertiliser_SourceData.Fertiliser_Products_Data2(), FertiliserProducts[[#Headers],[Company]],31)</f>
        <v/>
      </c>
      <c r="Y141" s="146" t="str" cm="1">
        <f t="array" ref="Y141">Common_InputFunctions.Utility_DisplayArrayInTable(Fertiliser_SourceData.Fertiliser_Products_Data2(), FertiliserProducts[[#Headers],[Company]],31)</f>
        <v/>
      </c>
      <c r="Z141" s="146" t="str" cm="1">
        <f t="array" ref="Z141">Common_InputFunctions.Utility_DisplayArrayInTable(Fertiliser_SourceData.Fertiliser_Products_Data2(), FertiliserProducts[[#Headers],[Company]],31)</f>
        <v/>
      </c>
      <c r="AA141" s="146" t="str" cm="1">
        <f t="array" ref="AA141">Common_InputFunctions.Utility_DisplayArrayInTable(Fertiliser_SourceData.Fertiliser_Products_Data2(), FertiliserProducts[[#Headers],[Company]],31)</f>
        <v/>
      </c>
      <c r="AB141" s="146" t="str" cm="1">
        <f t="array" ref="AB141">Common_InputFunctions.Utility_DisplayArrayInTable(Fertiliser_SourceData.Fertiliser_Products_Data2(), FertiliserProducts[[#Headers],[Company]],31)</f>
        <v/>
      </c>
      <c r="AC141" s="146" t="str" cm="1">
        <f t="array" ref="AC141">Common_InputFunctions.Utility_DisplayArrayInTable(Fertiliser_SourceData.Fertiliser_Products_Data2(), FertiliserProducts[[#Headers],[Company]],31)</f>
        <v/>
      </c>
      <c r="AD141" s="146" t="str" cm="1">
        <f t="array" ref="AD141">Common_InputFunctions.Utility_DisplayArrayInTable(Fertiliser_SourceData.Fertiliser_Products_Data2(), FertiliserProducts[[#Headers],[Company]],31)</f>
        <v/>
      </c>
      <c r="AE141" s="146" t="str" cm="1">
        <f t="array" ref="AE141">Common_InputFunctions.Utility_DisplayArrayInTable(Fertiliser_SourceData.Fertiliser_Products_Data2(), FertiliserProducts[[#Headers],[Company]],31)</f>
        <v/>
      </c>
      <c r="AF141" s="146" t="str" cm="1">
        <f t="array" ref="AF141">Common_InputFunctions.Utility_DisplayArrayInTable(Fertiliser_SourceData.Fertiliser_Products_Data2(), FertiliserProducts[[#Headers],[Company]],31)</f>
        <v/>
      </c>
      <c r="AG141" s="146" t="str" cm="1">
        <f t="array" ref="AG141">Common_InputFunctions.Utility_DisplayArrayInTable(Fertiliser_SourceData.Fertiliser_Products_Data2(), FertiliserProducts[[#Headers],[Company]],31)</f>
        <v/>
      </c>
      <c r="AH141" s="146" t="str" cm="1">
        <f t="array" ref="AH141">Common_InputFunctions.Utility_DisplayArrayInTable(Fertiliser_SourceData.Fertiliser_Products_Data2(), FertiliserProducts[[#Headers],[Company]],31)</f>
        <v/>
      </c>
      <c r="AK141" s="1"/>
      <c r="AL141" s="1"/>
      <c r="AM141" s="1"/>
    </row>
    <row r="142" spans="4:39" ht="20.100000000000001" customHeight="1" x14ac:dyDescent="0.2">
      <c r="D142" s="146" t="str" cm="1">
        <f t="array" ref="D142">Common_InputFunctions.Utility_DisplayArrayInTable(Fertiliser_SourceData.Fertiliser_Products_Data2(), FertiliserProducts[[#Headers],[Company]],31)</f>
        <v>Yara Australia</v>
      </c>
      <c r="E142" s="146" t="str" cm="1">
        <f t="array" ref="E142">Common_InputFunctions.Utility_DisplayArrayInTable(Fertiliser_SourceData.Fertiliser_Products_Data2(), FertiliserProducts[[#Headers],[Company]],31)</f>
        <v>YaraMila COMPLEX</v>
      </c>
      <c r="F142" s="146" t="str" cm="1">
        <f t="array" ref="F142">Common_InputFunctions.Utility_DisplayArrayInTable(Fertiliser_SourceData.Fertiliser_Products_Data2(), FertiliserProducts[[#Headers],[Company]],31)</f>
        <v>kg</v>
      </c>
      <c r="G142" s="146" cm="1">
        <f t="array" ref="G142">Common_InputFunctions.Utility_DisplayArrayInTable(Fertiliser_SourceData.Fertiliser_Products_Data2(), FertiliserProducts[[#Headers],[Company]],31)</f>
        <v>1</v>
      </c>
      <c r="H142" s="146" t="str" cm="1">
        <f t="array" ref="H142">Common_InputFunctions.Utility_DisplayArrayInTable(Fertiliser_SourceData.Fertiliser_Products_Data2(), FertiliserProducts[[#Headers],[Company]],31)</f>
        <v/>
      </c>
      <c r="I142" s="146" t="str" cm="1">
        <f t="array" ref="I142">Common_InputFunctions.Utility_DisplayArrayInTable(Fertiliser_SourceData.Fertiliser_Products_Data2(), FertiliserProducts[[#Headers],[Company]],31)</f>
        <v/>
      </c>
      <c r="J142" s="146" t="str" cm="1">
        <f t="array" ref="J142">Common_InputFunctions.Utility_DisplayArrayInTable(Fertiliser_SourceData.Fertiliser_Products_Data2(), FertiliserProducts[[#Headers],[Company]],31)</f>
        <v/>
      </c>
      <c r="K142" s="146" cm="1">
        <f t="array" ref="K142">Common_InputFunctions.Utility_DisplayArrayInTable(Fertiliser_SourceData.Fertiliser_Products_Data2(), FertiliserProducts[[#Headers],[Company]],31)</f>
        <v>12</v>
      </c>
      <c r="L142" s="146" cm="1">
        <f t="array" ref="L142">Common_InputFunctions.Utility_DisplayArrayInTable(Fertiliser_SourceData.Fertiliser_Products_Data2(), FertiliserProducts[[#Headers],[Company]],31)</f>
        <v>5</v>
      </c>
      <c r="M142" s="146" cm="1">
        <f t="array" ref="M142">Common_InputFunctions.Utility_DisplayArrayInTable(Fertiliser_SourceData.Fertiliser_Products_Data2(), FertiliserProducts[[#Headers],[Company]],31)</f>
        <v>15</v>
      </c>
      <c r="N142" s="146" cm="1">
        <f t="array" ref="N142">Common_InputFunctions.Utility_DisplayArrayInTable(Fertiliser_SourceData.Fertiliser_Products_Data2(), FertiliserProducts[[#Headers],[Company]],31)</f>
        <v>8</v>
      </c>
      <c r="O142" s="146" t="str" cm="1">
        <f t="array" ref="O142">Common_InputFunctions.Utility_DisplayArrayInTable(Fertiliser_SourceData.Fertiliser_Products_Data2(), FertiliserProducts[[#Headers],[Company]],31)</f>
        <v>Nitrogen - Nitrate</v>
      </c>
      <c r="P142" s="146" cm="1">
        <f t="array" ref="P142">Common_InputFunctions.Utility_DisplayArrayInTable(Fertiliser_SourceData.Fertiliser_Products_Data2(), FertiliserProducts[[#Headers],[Company]],31)</f>
        <v>0.05</v>
      </c>
      <c r="Q142" s="146" t="str" cm="1">
        <f t="array" ref="Q142">Common_InputFunctions.Utility_DisplayArrayInTable(Fertiliser_SourceData.Fertiliser_Products_Data2(), FertiliserProducts[[#Headers],[Company]],31)</f>
        <v>Nitrogen - Ammoniacal</v>
      </c>
      <c r="R142" s="146" cm="1">
        <f t="array" ref="R142">Common_InputFunctions.Utility_DisplayArrayInTable(Fertiliser_SourceData.Fertiliser_Products_Data2(), FertiliserProducts[[#Headers],[Company]],31)</f>
        <v>7.0000000000000007E-2</v>
      </c>
      <c r="S142" s="146" t="str" cm="1">
        <f t="array" ref="S142">Common_InputFunctions.Utility_DisplayArrayInTable(Fertiliser_SourceData.Fertiliser_Products_Data2(), FertiliserProducts[[#Headers],[Company]],31)</f>
        <v>Phosphorus - Generic</v>
      </c>
      <c r="T142" s="146" cm="1">
        <f t="array" ref="T142">Common_InputFunctions.Utility_DisplayArrayInTable(Fertiliser_SourceData.Fertiliser_Products_Data2(), FertiliserProducts[[#Headers],[Company]],31)</f>
        <v>0.05</v>
      </c>
      <c r="U142" s="146" t="str" cm="1">
        <f t="array" ref="U142">Common_InputFunctions.Utility_DisplayArrayInTable(Fertiliser_SourceData.Fertiliser_Products_Data2(), FertiliserProducts[[#Headers],[Company]],31)</f>
        <v>Potassium - Generic</v>
      </c>
      <c r="V142" s="146" cm="1">
        <f t="array" ref="V142">Common_InputFunctions.Utility_DisplayArrayInTable(Fertiliser_SourceData.Fertiliser_Products_Data2(), FertiliserProducts[[#Headers],[Company]],31)</f>
        <v>0.15</v>
      </c>
      <c r="W142" s="146" t="str" cm="1">
        <f t="array" ref="W142">Common_InputFunctions.Utility_DisplayArrayInTable(Fertiliser_SourceData.Fertiliser_Products_Data2(), FertiliserProducts[[#Headers],[Company]],31)</f>
        <v>Sulfur - Generic</v>
      </c>
      <c r="X142" s="146" cm="1">
        <f t="array" ref="X142">Common_InputFunctions.Utility_DisplayArrayInTable(Fertiliser_SourceData.Fertiliser_Products_Data2(), FertiliserProducts[[#Headers],[Company]],31)</f>
        <v>0.08</v>
      </c>
      <c r="Y142" s="146" t="str" cm="1">
        <f t="array" ref="Y142">Common_InputFunctions.Utility_DisplayArrayInTable(Fertiliser_SourceData.Fertiliser_Products_Data2(), FertiliserProducts[[#Headers],[Company]],31)</f>
        <v>Magnesium</v>
      </c>
      <c r="Z142" s="146" cm="1">
        <f t="array" ref="Z142">Common_InputFunctions.Utility_DisplayArrayInTable(Fertiliser_SourceData.Fertiliser_Products_Data2(), FertiliserProducts[[#Headers],[Company]],31)</f>
        <v>1.6E-2</v>
      </c>
      <c r="AA142" s="146" t="str" cm="1">
        <f t="array" ref="AA142">Common_InputFunctions.Utility_DisplayArrayInTable(Fertiliser_SourceData.Fertiliser_Products_Data2(), FertiliserProducts[[#Headers],[Company]],31)</f>
        <v>Zinc</v>
      </c>
      <c r="AB142" s="146" cm="1">
        <f t="array" ref="AB142">Common_InputFunctions.Utility_DisplayArrayInTable(Fertiliser_SourceData.Fertiliser_Products_Data2(), FertiliserProducts[[#Headers],[Company]],31)</f>
        <v>2.0000000000000001E-4</v>
      </c>
      <c r="AC142" s="146" t="str" cm="1">
        <f t="array" ref="AC142">Common_InputFunctions.Utility_DisplayArrayInTable(Fertiliser_SourceData.Fertiliser_Products_Data2(), FertiliserProducts[[#Headers],[Company]],31)</f>
        <v>Boron</v>
      </c>
      <c r="AD142" s="146" cm="1">
        <f t="array" ref="AD142">Common_InputFunctions.Utility_DisplayArrayInTable(Fertiliser_SourceData.Fertiliser_Products_Data2(), FertiliserProducts[[#Headers],[Company]],31)</f>
        <v>1.4999999999999999E-4</v>
      </c>
      <c r="AE142" s="146" t="str" cm="1">
        <f t="array" ref="AE142">Common_InputFunctions.Utility_DisplayArrayInTable(Fertiliser_SourceData.Fertiliser_Products_Data2(), FertiliserProducts[[#Headers],[Company]],31)</f>
        <v/>
      </c>
      <c r="AF142" s="146" t="str" cm="1">
        <f t="array" ref="AF142">Common_InputFunctions.Utility_DisplayArrayInTable(Fertiliser_SourceData.Fertiliser_Products_Data2(), FertiliserProducts[[#Headers],[Company]],31)</f>
        <v/>
      </c>
      <c r="AG142" s="146" t="str" cm="1">
        <f t="array" ref="AG142">Common_InputFunctions.Utility_DisplayArrayInTable(Fertiliser_SourceData.Fertiliser_Products_Data2(), FertiliserProducts[[#Headers],[Company]],31)</f>
        <v/>
      </c>
      <c r="AH142" s="146" t="str" cm="1">
        <f t="array" ref="AH142">Common_InputFunctions.Utility_DisplayArrayInTable(Fertiliser_SourceData.Fertiliser_Products_Data2(), FertiliserProducts[[#Headers],[Company]],31)</f>
        <v/>
      </c>
      <c r="AK142" s="1"/>
      <c r="AL142" s="1"/>
      <c r="AM142" s="1"/>
    </row>
    <row r="143" spans="4:39" ht="20.100000000000001" customHeight="1" x14ac:dyDescent="0.2">
      <c r="D143" s="146" t="str" cm="1">
        <f t="array" ref="D143">Common_InputFunctions.Utility_DisplayArrayInTable(Fertiliser_SourceData.Fertiliser_Products_Data2(), FertiliserProducts[[#Headers],[Company]],31)</f>
        <v>Yara Australia</v>
      </c>
      <c r="E143" s="146" t="str" cm="1">
        <f t="array" ref="E143">Common_InputFunctions.Utility_DisplayArrayInTable(Fertiliser_SourceData.Fertiliser_Products_Data2(), FertiliserProducts[[#Headers],[Company]],31)</f>
        <v>YaraRega 9-0-30 (14)</v>
      </c>
      <c r="F143" s="146" t="str" cm="1">
        <f t="array" ref="F143">Common_InputFunctions.Utility_DisplayArrayInTable(Fertiliser_SourceData.Fertiliser_Products_Data2(), FertiliserProducts[[#Headers],[Company]],31)</f>
        <v>kg</v>
      </c>
      <c r="G143" s="146" cm="1">
        <f t="array" ref="G143">Common_InputFunctions.Utility_DisplayArrayInTable(Fertiliser_SourceData.Fertiliser_Products_Data2(), FertiliserProducts[[#Headers],[Company]],31)</f>
        <v>1</v>
      </c>
      <c r="H143" s="146" t="str" cm="1">
        <f t="array" ref="H143">Common_InputFunctions.Utility_DisplayArrayInTable(Fertiliser_SourceData.Fertiliser_Products_Data2(), FertiliserProducts[[#Headers],[Company]],31)</f>
        <v/>
      </c>
      <c r="I143" s="146" t="str" cm="1">
        <f t="array" ref="I143">Common_InputFunctions.Utility_DisplayArrayInTable(Fertiliser_SourceData.Fertiliser_Products_Data2(), FertiliserProducts[[#Headers],[Company]],31)</f>
        <v/>
      </c>
      <c r="J143" s="146" t="str" cm="1">
        <f t="array" ref="J143">Common_InputFunctions.Utility_DisplayArrayInTable(Fertiliser_SourceData.Fertiliser_Products_Data2(), FertiliserProducts[[#Headers],[Company]],31)</f>
        <v/>
      </c>
      <c r="K143" s="146" cm="1">
        <f t="array" ref="K143">Common_InputFunctions.Utility_DisplayArrayInTable(Fertiliser_SourceData.Fertiliser_Products_Data2(), FertiliserProducts[[#Headers],[Company]],31)</f>
        <v>9</v>
      </c>
      <c r="L143" s="146" t="str" cm="1">
        <f t="array" ref="L143">Common_InputFunctions.Utility_DisplayArrayInTable(Fertiliser_SourceData.Fertiliser_Products_Data2(), FertiliserProducts[[#Headers],[Company]],31)</f>
        <v/>
      </c>
      <c r="M143" s="146" cm="1">
        <f t="array" ref="M143">Common_InputFunctions.Utility_DisplayArrayInTable(Fertiliser_SourceData.Fertiliser_Products_Data2(), FertiliserProducts[[#Headers],[Company]],31)</f>
        <v>30</v>
      </c>
      <c r="N143" s="146" cm="1">
        <f t="array" ref="N143">Common_InputFunctions.Utility_DisplayArrayInTable(Fertiliser_SourceData.Fertiliser_Products_Data2(), FertiliserProducts[[#Headers],[Company]],31)</f>
        <v>14</v>
      </c>
      <c r="O143" s="146" t="str" cm="1">
        <f t="array" ref="O143">Common_InputFunctions.Utility_DisplayArrayInTable(Fertiliser_SourceData.Fertiliser_Products_Data2(), FertiliserProducts[[#Headers],[Company]],31)</f>
        <v>Potassium - Generic</v>
      </c>
      <c r="P143" s="146" cm="1">
        <f t="array" ref="P143">Common_InputFunctions.Utility_DisplayArrayInTable(Fertiliser_SourceData.Fertiliser_Products_Data2(), FertiliserProducts[[#Headers],[Company]],31)</f>
        <v>0.3</v>
      </c>
      <c r="Q143" s="146" t="str" cm="1">
        <f t="array" ref="Q143">Common_InputFunctions.Utility_DisplayArrayInTable(Fertiliser_SourceData.Fertiliser_Products_Data2(), FertiliserProducts[[#Headers],[Company]],31)</f>
        <v>Sulfur - Generic</v>
      </c>
      <c r="R143" s="146" cm="1">
        <f t="array" ref="R143">Common_InputFunctions.Utility_DisplayArrayInTable(Fertiliser_SourceData.Fertiliser_Products_Data2(), FertiliserProducts[[#Headers],[Company]],31)</f>
        <v>0.14000000000000001</v>
      </c>
      <c r="S143" s="146" t="str" cm="1">
        <f t="array" ref="S143">Common_InputFunctions.Utility_DisplayArrayInTable(Fertiliser_SourceData.Fertiliser_Products_Data2(), FertiliserProducts[[#Headers],[Company]],31)</f>
        <v>Nitrogen - Nitrate</v>
      </c>
      <c r="T143" s="146" cm="1">
        <f t="array" ref="T143">Common_InputFunctions.Utility_DisplayArrayInTable(Fertiliser_SourceData.Fertiliser_Products_Data2(), FertiliserProducts[[#Headers],[Company]],31)</f>
        <v>4.4999999999999998E-2</v>
      </c>
      <c r="U143" s="146" t="str" cm="1">
        <f t="array" ref="U143">Common_InputFunctions.Utility_DisplayArrayInTable(Fertiliser_SourceData.Fertiliser_Products_Data2(), FertiliserProducts[[#Headers],[Company]],31)</f>
        <v>Nitrogen - Ammoniacal</v>
      </c>
      <c r="V143" s="146" cm="1">
        <f t="array" ref="V143">Common_InputFunctions.Utility_DisplayArrayInTable(Fertiliser_SourceData.Fertiliser_Products_Data2(), FertiliserProducts[[#Headers],[Company]],31)</f>
        <v>4.4999999999999998E-2</v>
      </c>
      <c r="W143" s="146" t="str" cm="1">
        <f t="array" ref="W143">Common_InputFunctions.Utility_DisplayArrayInTable(Fertiliser_SourceData.Fertiliser_Products_Data2(), FertiliserProducts[[#Headers],[Company]],31)</f>
        <v/>
      </c>
      <c r="X143" s="146" t="str" cm="1">
        <f t="array" ref="X143">Common_InputFunctions.Utility_DisplayArrayInTable(Fertiliser_SourceData.Fertiliser_Products_Data2(), FertiliserProducts[[#Headers],[Company]],31)</f>
        <v/>
      </c>
      <c r="Y143" s="146" t="str" cm="1">
        <f t="array" ref="Y143">Common_InputFunctions.Utility_DisplayArrayInTable(Fertiliser_SourceData.Fertiliser_Products_Data2(), FertiliserProducts[[#Headers],[Company]],31)</f>
        <v/>
      </c>
      <c r="Z143" s="146" t="str" cm="1">
        <f t="array" ref="Z143">Common_InputFunctions.Utility_DisplayArrayInTable(Fertiliser_SourceData.Fertiliser_Products_Data2(), FertiliserProducts[[#Headers],[Company]],31)</f>
        <v/>
      </c>
      <c r="AA143" s="146" t="str" cm="1">
        <f t="array" ref="AA143">Common_InputFunctions.Utility_DisplayArrayInTable(Fertiliser_SourceData.Fertiliser_Products_Data2(), FertiliserProducts[[#Headers],[Company]],31)</f>
        <v/>
      </c>
      <c r="AB143" s="146" t="str" cm="1">
        <f t="array" ref="AB143">Common_InputFunctions.Utility_DisplayArrayInTable(Fertiliser_SourceData.Fertiliser_Products_Data2(), FertiliserProducts[[#Headers],[Company]],31)</f>
        <v/>
      </c>
      <c r="AC143" s="146" t="str" cm="1">
        <f t="array" ref="AC143">Common_InputFunctions.Utility_DisplayArrayInTable(Fertiliser_SourceData.Fertiliser_Products_Data2(), FertiliserProducts[[#Headers],[Company]],31)</f>
        <v/>
      </c>
      <c r="AD143" s="146" t="str" cm="1">
        <f t="array" ref="AD143">Common_InputFunctions.Utility_DisplayArrayInTable(Fertiliser_SourceData.Fertiliser_Products_Data2(), FertiliserProducts[[#Headers],[Company]],31)</f>
        <v/>
      </c>
      <c r="AE143" s="146" t="str" cm="1">
        <f t="array" ref="AE143">Common_InputFunctions.Utility_DisplayArrayInTable(Fertiliser_SourceData.Fertiliser_Products_Data2(), FertiliserProducts[[#Headers],[Company]],31)</f>
        <v/>
      </c>
      <c r="AF143" s="146" t="str" cm="1">
        <f t="array" ref="AF143">Common_InputFunctions.Utility_DisplayArrayInTable(Fertiliser_SourceData.Fertiliser_Products_Data2(), FertiliserProducts[[#Headers],[Company]],31)</f>
        <v/>
      </c>
      <c r="AG143" s="146" t="str" cm="1">
        <f t="array" ref="AG143">Common_InputFunctions.Utility_DisplayArrayInTable(Fertiliser_SourceData.Fertiliser_Products_Data2(), FertiliserProducts[[#Headers],[Company]],31)</f>
        <v/>
      </c>
      <c r="AH143" s="146" t="str" cm="1">
        <f t="array" ref="AH143">Common_InputFunctions.Utility_DisplayArrayInTable(Fertiliser_SourceData.Fertiliser_Products_Data2(), FertiliserProducts[[#Headers],[Company]],31)</f>
        <v/>
      </c>
      <c r="AK143" s="1"/>
      <c r="AL143" s="1"/>
      <c r="AM143" s="1"/>
    </row>
    <row r="144" spans="4:39" ht="20.100000000000001" customHeight="1" x14ac:dyDescent="0.2">
      <c r="D144" s="146" t="str" cm="1">
        <f t="array" ref="D144">Common_InputFunctions.Utility_DisplayArrayInTable(Fertiliser_SourceData.Fertiliser_Products_Data2(), FertiliserProducts[[#Headers],[Company]],31)</f>
        <v>Yara Australia</v>
      </c>
      <c r="E144" s="146" t="str" cm="1">
        <f t="array" ref="E144">Common_InputFunctions.Utility_DisplayArrayInTable(Fertiliser_SourceData.Fertiliser_Products_Data2(), FertiliserProducts[[#Headers],[Company]],31)</f>
        <v>YaraRega 13-2-21</v>
      </c>
      <c r="F144" s="146" t="str" cm="1">
        <f t="array" ref="F144">Common_InputFunctions.Utility_DisplayArrayInTable(Fertiliser_SourceData.Fertiliser_Products_Data2(), FertiliserProducts[[#Headers],[Company]],31)</f>
        <v>kg</v>
      </c>
      <c r="G144" s="146" cm="1">
        <f t="array" ref="G144">Common_InputFunctions.Utility_DisplayArrayInTable(Fertiliser_SourceData.Fertiliser_Products_Data2(), FertiliserProducts[[#Headers],[Company]],31)</f>
        <v>1</v>
      </c>
      <c r="H144" s="146" t="str" cm="1">
        <f t="array" ref="H144">Common_InputFunctions.Utility_DisplayArrayInTable(Fertiliser_SourceData.Fertiliser_Products_Data2(), FertiliserProducts[[#Headers],[Company]],31)</f>
        <v/>
      </c>
      <c r="I144" s="146" t="str" cm="1">
        <f t="array" ref="I144">Common_InputFunctions.Utility_DisplayArrayInTable(Fertiliser_SourceData.Fertiliser_Products_Data2(), FertiliserProducts[[#Headers],[Company]],31)</f>
        <v/>
      </c>
      <c r="J144" s="146" t="str" cm="1">
        <f t="array" ref="J144">Common_InputFunctions.Utility_DisplayArrayInTable(Fertiliser_SourceData.Fertiliser_Products_Data2(), FertiliserProducts[[#Headers],[Company]],31)</f>
        <v/>
      </c>
      <c r="K144" s="146" cm="1">
        <f t="array" ref="K144">Common_InputFunctions.Utility_DisplayArrayInTable(Fertiliser_SourceData.Fertiliser_Products_Data2(), FertiliserProducts[[#Headers],[Company]],31)</f>
        <v>13</v>
      </c>
      <c r="L144" s="146" cm="1">
        <f t="array" ref="L144">Common_InputFunctions.Utility_DisplayArrayInTable(Fertiliser_SourceData.Fertiliser_Products_Data2(), FertiliserProducts[[#Headers],[Company]],31)</f>
        <v>1.75</v>
      </c>
      <c r="M144" s="146" cm="1">
        <f t="array" ref="M144">Common_InputFunctions.Utility_DisplayArrayInTable(Fertiliser_SourceData.Fertiliser_Products_Data2(), FertiliserProducts[[#Headers],[Company]],31)</f>
        <v>21</v>
      </c>
      <c r="N144" s="146" cm="1">
        <f t="array" ref="N144">Common_InputFunctions.Utility_DisplayArrayInTable(Fertiliser_SourceData.Fertiliser_Products_Data2(), FertiliserProducts[[#Headers],[Company]],31)</f>
        <v>10.8</v>
      </c>
      <c r="O144" s="146" t="str" cm="1">
        <f t="array" ref="O144">Common_InputFunctions.Utility_DisplayArrayInTable(Fertiliser_SourceData.Fertiliser_Products_Data2(), FertiliserProducts[[#Headers],[Company]],31)</f>
        <v>Potassium - Generic</v>
      </c>
      <c r="P144" s="146" cm="1">
        <f t="array" ref="P144">Common_InputFunctions.Utility_DisplayArrayInTable(Fertiliser_SourceData.Fertiliser_Products_Data2(), FertiliserProducts[[#Headers],[Company]],31)</f>
        <v>0.21</v>
      </c>
      <c r="Q144" s="146" t="str" cm="1">
        <f t="array" ref="Q144">Common_InputFunctions.Utility_DisplayArrayInTable(Fertiliser_SourceData.Fertiliser_Products_Data2(), FertiliserProducts[[#Headers],[Company]],31)</f>
        <v>Sulfur - Generic</v>
      </c>
      <c r="R144" s="146" cm="1">
        <f t="array" ref="R144">Common_InputFunctions.Utility_DisplayArrayInTable(Fertiliser_SourceData.Fertiliser_Products_Data2(), FertiliserProducts[[#Headers],[Company]],31)</f>
        <v>0.108</v>
      </c>
      <c r="S144" s="146" t="str" cm="1">
        <f t="array" ref="S144">Common_InputFunctions.Utility_DisplayArrayInTable(Fertiliser_SourceData.Fertiliser_Products_Data2(), FertiliserProducts[[#Headers],[Company]],31)</f>
        <v>Nitrogen - Ammoniacal</v>
      </c>
      <c r="T144" s="146" cm="1">
        <f t="array" ref="T144">Common_InputFunctions.Utility_DisplayArrayInTable(Fertiliser_SourceData.Fertiliser_Products_Data2(), FertiliserProducts[[#Headers],[Company]],31)</f>
        <v>7.6999999999999999E-2</v>
      </c>
      <c r="U144" s="146" t="str" cm="1">
        <f t="array" ref="U144">Common_InputFunctions.Utility_DisplayArrayInTable(Fertiliser_SourceData.Fertiliser_Products_Data2(), FertiliserProducts[[#Headers],[Company]],31)</f>
        <v>Nitrogen - Nitrate</v>
      </c>
      <c r="V144" s="146" cm="1">
        <f t="array" ref="V144">Common_InputFunctions.Utility_DisplayArrayInTable(Fertiliser_SourceData.Fertiliser_Products_Data2(), FertiliserProducts[[#Headers],[Company]],31)</f>
        <v>5.2999999999999999E-2</v>
      </c>
      <c r="W144" s="146" t="str" cm="1">
        <f t="array" ref="W144">Common_InputFunctions.Utility_DisplayArrayInTable(Fertiliser_SourceData.Fertiliser_Products_Data2(), FertiliserProducts[[#Headers],[Company]],31)</f>
        <v>Phosphorus - Generic</v>
      </c>
      <c r="X144" s="146" cm="1">
        <f t="array" ref="X144">Common_InputFunctions.Utility_DisplayArrayInTable(Fertiliser_SourceData.Fertiliser_Products_Data2(), FertiliserProducts[[#Headers],[Company]],31)</f>
        <v>1.7500000000000002E-2</v>
      </c>
      <c r="Y144" s="146" t="str" cm="1">
        <f t="array" ref="Y144">Common_InputFunctions.Utility_DisplayArrayInTable(Fertiliser_SourceData.Fertiliser_Products_Data2(), FertiliserProducts[[#Headers],[Company]],31)</f>
        <v>Magnesium</v>
      </c>
      <c r="Z144" s="146" cm="1">
        <f t="array" ref="Z144">Common_InputFunctions.Utility_DisplayArrayInTable(Fertiliser_SourceData.Fertiliser_Products_Data2(), FertiliserProducts[[#Headers],[Company]],31)</f>
        <v>4.0000000000000001E-3</v>
      </c>
      <c r="AA144" s="146" t="str" cm="1">
        <f t="array" ref="AA144">Common_InputFunctions.Utility_DisplayArrayInTable(Fertiliser_SourceData.Fertiliser_Products_Data2(), FertiliserProducts[[#Headers],[Company]],31)</f>
        <v>Zinc</v>
      </c>
      <c r="AB144" s="146" cm="1">
        <f t="array" ref="AB144">Common_InputFunctions.Utility_DisplayArrayInTable(Fertiliser_SourceData.Fertiliser_Products_Data2(), FertiliserProducts[[#Headers],[Company]],31)</f>
        <v>8.0000000000000004E-4</v>
      </c>
      <c r="AC144" s="146" t="str" cm="1">
        <f t="array" ref="AC144">Common_InputFunctions.Utility_DisplayArrayInTable(Fertiliser_SourceData.Fertiliser_Products_Data2(), FertiliserProducts[[#Headers],[Company]],31)</f>
        <v>Boron</v>
      </c>
      <c r="AD144" s="146" cm="1">
        <f t="array" ref="AD144">Common_InputFunctions.Utility_DisplayArrayInTable(Fertiliser_SourceData.Fertiliser_Products_Data2(), FertiliserProducts[[#Headers],[Company]],31)</f>
        <v>8.0000000000000004E-4</v>
      </c>
      <c r="AE144" s="146" t="str" cm="1">
        <f t="array" ref="AE144">Common_InputFunctions.Utility_DisplayArrayInTable(Fertiliser_SourceData.Fertiliser_Products_Data2(), FertiliserProducts[[#Headers],[Company]],31)</f>
        <v/>
      </c>
      <c r="AF144" s="146" t="str" cm="1">
        <f t="array" ref="AF144">Common_InputFunctions.Utility_DisplayArrayInTable(Fertiliser_SourceData.Fertiliser_Products_Data2(), FertiliserProducts[[#Headers],[Company]],31)</f>
        <v/>
      </c>
      <c r="AG144" s="146" t="str" cm="1">
        <f t="array" ref="AG144">Common_InputFunctions.Utility_DisplayArrayInTable(Fertiliser_SourceData.Fertiliser_Products_Data2(), FertiliserProducts[[#Headers],[Company]],31)</f>
        <v/>
      </c>
      <c r="AH144" s="146" t="str" cm="1">
        <f t="array" ref="AH144">Common_InputFunctions.Utility_DisplayArrayInTable(Fertiliser_SourceData.Fertiliser_Products_Data2(), FertiliserProducts[[#Headers],[Company]],31)</f>
        <v/>
      </c>
      <c r="AK144" s="1"/>
      <c r="AL144" s="1"/>
      <c r="AM144" s="1"/>
    </row>
    <row r="145" spans="1:39" ht="20.100000000000001" customHeight="1" x14ac:dyDescent="0.2">
      <c r="D145" s="146" t="str" cm="1">
        <f t="array" ref="D145">Common_InputFunctions.Utility_DisplayArrayInTable(Fertiliser_SourceData.Fertiliser_Products_Data2(), FertiliserProducts[[#Headers],[Company]],31)</f>
        <v>Yara Australia</v>
      </c>
      <c r="E145" s="146" t="str" cm="1">
        <f t="array" ref="E145">Common_InputFunctions.Utility_DisplayArrayInTable(Fertiliser_SourceData.Fertiliser_Products_Data2(), FertiliserProducts[[#Headers],[Company]],31)</f>
        <v>YaraRega 15-7-13 (7S)</v>
      </c>
      <c r="F145" s="146" t="str" cm="1">
        <f t="array" ref="F145">Common_InputFunctions.Utility_DisplayArrayInTable(Fertiliser_SourceData.Fertiliser_Products_Data2(), FertiliserProducts[[#Headers],[Company]],31)</f>
        <v>kg</v>
      </c>
      <c r="G145" s="146" cm="1">
        <f t="array" ref="G145">Common_InputFunctions.Utility_DisplayArrayInTable(Fertiliser_SourceData.Fertiliser_Products_Data2(), FertiliserProducts[[#Headers],[Company]],31)</f>
        <v>1</v>
      </c>
      <c r="H145" s="146" t="str" cm="1">
        <f t="array" ref="H145">Common_InputFunctions.Utility_DisplayArrayInTable(Fertiliser_SourceData.Fertiliser_Products_Data2(), FertiliserProducts[[#Headers],[Company]],31)</f>
        <v/>
      </c>
      <c r="I145" s="146" t="str" cm="1">
        <f t="array" ref="I145">Common_InputFunctions.Utility_DisplayArrayInTable(Fertiliser_SourceData.Fertiliser_Products_Data2(), FertiliserProducts[[#Headers],[Company]],31)</f>
        <v/>
      </c>
      <c r="J145" s="146" t="str" cm="1">
        <f t="array" ref="J145">Common_InputFunctions.Utility_DisplayArrayInTable(Fertiliser_SourceData.Fertiliser_Products_Data2(), FertiliserProducts[[#Headers],[Company]],31)</f>
        <v/>
      </c>
      <c r="K145" s="146" cm="1">
        <f t="array" ref="K145">Common_InputFunctions.Utility_DisplayArrayInTable(Fertiliser_SourceData.Fertiliser_Products_Data2(), FertiliserProducts[[#Headers],[Company]],31)</f>
        <v>15</v>
      </c>
      <c r="L145" s="146" cm="1">
        <f t="array" ref="L145">Common_InputFunctions.Utility_DisplayArrayInTable(Fertiliser_SourceData.Fertiliser_Products_Data2(), FertiliserProducts[[#Headers],[Company]],31)</f>
        <v>6.5</v>
      </c>
      <c r="M145" s="146" cm="1">
        <f t="array" ref="M145">Common_InputFunctions.Utility_DisplayArrayInTable(Fertiliser_SourceData.Fertiliser_Products_Data2(), FertiliserProducts[[#Headers],[Company]],31)</f>
        <v>12.5</v>
      </c>
      <c r="N145" s="146" cm="1">
        <f t="array" ref="N145">Common_InputFunctions.Utility_DisplayArrayInTable(Fertiliser_SourceData.Fertiliser_Products_Data2(), FertiliserProducts[[#Headers],[Company]],31)</f>
        <v>7.2</v>
      </c>
      <c r="O145" s="146" t="str" cm="1">
        <f t="array" ref="O145">Common_InputFunctions.Utility_DisplayArrayInTable(Fertiliser_SourceData.Fertiliser_Products_Data2(), FertiliserProducts[[#Headers],[Company]],31)</f>
        <v>Nitrogen - Nitrate</v>
      </c>
      <c r="P145" s="146" cm="1">
        <f t="array" ref="P145">Common_InputFunctions.Utility_DisplayArrayInTable(Fertiliser_SourceData.Fertiliser_Products_Data2(), FertiliserProducts[[#Headers],[Company]],31)</f>
        <v>9.5000000000000001E-2</v>
      </c>
      <c r="Q145" s="146" t="str" cm="1">
        <f t="array" ref="Q145">Common_InputFunctions.Utility_DisplayArrayInTable(Fertiliser_SourceData.Fertiliser_Products_Data2(), FertiliserProducts[[#Headers],[Company]],31)</f>
        <v>Potassium - Generic</v>
      </c>
      <c r="R145" s="146" cm="1">
        <f t="array" ref="R145">Common_InputFunctions.Utility_DisplayArrayInTable(Fertiliser_SourceData.Fertiliser_Products_Data2(), FertiliserProducts[[#Headers],[Company]],31)</f>
        <v>0.125</v>
      </c>
      <c r="S145" s="146" t="str" cm="1">
        <f t="array" ref="S145">Common_InputFunctions.Utility_DisplayArrayInTable(Fertiliser_SourceData.Fertiliser_Products_Data2(), FertiliserProducts[[#Headers],[Company]],31)</f>
        <v>Sulfur - Generic</v>
      </c>
      <c r="T145" s="146" cm="1">
        <f t="array" ref="T145">Common_InputFunctions.Utility_DisplayArrayInTable(Fertiliser_SourceData.Fertiliser_Products_Data2(), FertiliserProducts[[#Headers],[Company]],31)</f>
        <v>7.1999999999999995E-2</v>
      </c>
      <c r="U145" s="146" t="str" cm="1">
        <f t="array" ref="U145">Common_InputFunctions.Utility_DisplayArrayInTable(Fertiliser_SourceData.Fertiliser_Products_Data2(), FertiliserProducts[[#Headers],[Company]],31)</f>
        <v>Phosphorus - Generic</v>
      </c>
      <c r="V145" s="146" cm="1">
        <f t="array" ref="V145">Common_InputFunctions.Utility_DisplayArrayInTable(Fertiliser_SourceData.Fertiliser_Products_Data2(), FertiliserProducts[[#Headers],[Company]],31)</f>
        <v>6.5000000000000002E-2</v>
      </c>
      <c r="W145" s="146" t="str" cm="1">
        <f t="array" ref="W145">Common_InputFunctions.Utility_DisplayArrayInTable(Fertiliser_SourceData.Fertiliser_Products_Data2(), FertiliserProducts[[#Headers],[Company]],31)</f>
        <v>Nitrogen - Ammoniacal</v>
      </c>
      <c r="X145" s="146" cm="1">
        <f t="array" ref="X145">Common_InputFunctions.Utility_DisplayArrayInTable(Fertiliser_SourceData.Fertiliser_Products_Data2(), FertiliserProducts[[#Headers],[Company]],31)</f>
        <v>5.5E-2</v>
      </c>
      <c r="Y145" s="146" t="str" cm="1">
        <f t="array" ref="Y145">Common_InputFunctions.Utility_DisplayArrayInTable(Fertiliser_SourceData.Fertiliser_Products_Data2(), FertiliserProducts[[#Headers],[Company]],31)</f>
        <v>Magnesium</v>
      </c>
      <c r="Z145" s="146" cm="1">
        <f t="array" ref="Z145">Common_InputFunctions.Utility_DisplayArrayInTable(Fertiliser_SourceData.Fertiliser_Products_Data2(), FertiliserProducts[[#Headers],[Company]],31)</f>
        <v>6.6E-3</v>
      </c>
      <c r="AA145" s="146" t="str" cm="1">
        <f t="array" ref="AA145">Common_InputFunctions.Utility_DisplayArrayInTable(Fertiliser_SourceData.Fertiliser_Products_Data2(), FertiliserProducts[[#Headers],[Company]],31)</f>
        <v>Boron</v>
      </c>
      <c r="AB145" s="146" cm="1">
        <f t="array" ref="AB145">Common_InputFunctions.Utility_DisplayArrayInTable(Fertiliser_SourceData.Fertiliser_Products_Data2(), FertiliserProducts[[#Headers],[Company]],31)</f>
        <v>1E-3</v>
      </c>
      <c r="AC145" s="146" t="str" cm="1">
        <f t="array" ref="AC145">Common_InputFunctions.Utility_DisplayArrayInTable(Fertiliser_SourceData.Fertiliser_Products_Data2(), FertiliserProducts[[#Headers],[Company]],31)</f>
        <v>Zinc</v>
      </c>
      <c r="AD145" s="146" cm="1">
        <f t="array" ref="AD145">Common_InputFunctions.Utility_DisplayArrayInTable(Fertiliser_SourceData.Fertiliser_Products_Data2(), FertiliserProducts[[#Headers],[Company]],31)</f>
        <v>5.9999999999999995E-4</v>
      </c>
      <c r="AE145" s="146" t="str" cm="1">
        <f t="array" ref="AE145">Common_InputFunctions.Utility_DisplayArrayInTable(Fertiliser_SourceData.Fertiliser_Products_Data2(), FertiliserProducts[[#Headers],[Company]],31)</f>
        <v/>
      </c>
      <c r="AF145" s="146" t="str" cm="1">
        <f t="array" ref="AF145">Common_InputFunctions.Utility_DisplayArrayInTable(Fertiliser_SourceData.Fertiliser_Products_Data2(), FertiliserProducts[[#Headers],[Company]],31)</f>
        <v/>
      </c>
      <c r="AG145" s="146" t="str" cm="1">
        <f t="array" ref="AG145">Common_InputFunctions.Utility_DisplayArrayInTable(Fertiliser_SourceData.Fertiliser_Products_Data2(), FertiliserProducts[[#Headers],[Company]],31)</f>
        <v/>
      </c>
      <c r="AH145" s="146" t="str" cm="1">
        <f t="array" ref="AH145">Common_InputFunctions.Utility_DisplayArrayInTable(Fertiliser_SourceData.Fertiliser_Products_Data2(), FertiliserProducts[[#Headers],[Company]],31)</f>
        <v/>
      </c>
      <c r="AK145" s="1"/>
      <c r="AL145" s="1"/>
      <c r="AM145" s="1"/>
    </row>
    <row r="146" spans="1:39" ht="20.100000000000001" customHeight="1" x14ac:dyDescent="0.2">
      <c r="D146" s="146" t="str" cm="1">
        <f t="array" ref="D146">Common_InputFunctions.Utility_DisplayArrayInTable(Fertiliser_SourceData.Fertiliser_Products_Data2(), FertiliserProducts[[#Headers],[Company]],31)</f>
        <v>Yara Australia</v>
      </c>
      <c r="E146" s="146" t="str" cm="1">
        <f t="array" ref="E146">Common_InputFunctions.Utility_DisplayArrayInTable(Fertiliser_SourceData.Fertiliser_Products_Data2(), FertiliserProducts[[#Headers],[Company]],31)</f>
        <v>YaraTera CALCINIT B</v>
      </c>
      <c r="F146" s="146" t="str" cm="1">
        <f t="array" ref="F146">Common_InputFunctions.Utility_DisplayArrayInTable(Fertiliser_SourceData.Fertiliser_Products_Data2(), FertiliserProducts[[#Headers],[Company]],31)</f>
        <v>kg</v>
      </c>
      <c r="G146" s="146" cm="1">
        <f t="array" ref="G146">Common_InputFunctions.Utility_DisplayArrayInTable(Fertiliser_SourceData.Fertiliser_Products_Data2(), FertiliserProducts[[#Headers],[Company]],31)</f>
        <v>1</v>
      </c>
      <c r="H146" s="146" t="str" cm="1">
        <f t="array" ref="H146">Common_InputFunctions.Utility_DisplayArrayInTable(Fertiliser_SourceData.Fertiliser_Products_Data2(), FertiliserProducts[[#Headers],[Company]],31)</f>
        <v/>
      </c>
      <c r="I146" s="146" t="str" cm="1">
        <f t="array" ref="I146">Common_InputFunctions.Utility_DisplayArrayInTable(Fertiliser_SourceData.Fertiliser_Products_Data2(), FertiliserProducts[[#Headers],[Company]],31)</f>
        <v/>
      </c>
      <c r="J146" s="146" t="str" cm="1">
        <f t="array" ref="J146">Common_InputFunctions.Utility_DisplayArrayInTable(Fertiliser_SourceData.Fertiliser_Products_Data2(), FertiliserProducts[[#Headers],[Company]],31)</f>
        <v/>
      </c>
      <c r="K146" s="146" cm="1">
        <f t="array" ref="K146">Common_InputFunctions.Utility_DisplayArrayInTable(Fertiliser_SourceData.Fertiliser_Products_Data2(), FertiliserProducts[[#Headers],[Company]],31)</f>
        <v>15.5</v>
      </c>
      <c r="L146" s="146" t="str" cm="1">
        <f t="array" ref="L146">Common_InputFunctions.Utility_DisplayArrayInTable(Fertiliser_SourceData.Fertiliser_Products_Data2(), FertiliserProducts[[#Headers],[Company]],31)</f>
        <v/>
      </c>
      <c r="M146" s="146" t="str" cm="1">
        <f t="array" ref="M146">Common_InputFunctions.Utility_DisplayArrayInTable(Fertiliser_SourceData.Fertiliser_Products_Data2(), FertiliserProducts[[#Headers],[Company]],31)</f>
        <v/>
      </c>
      <c r="N146" s="146" t="str" cm="1">
        <f t="array" ref="N146">Common_InputFunctions.Utility_DisplayArrayInTable(Fertiliser_SourceData.Fertiliser_Products_Data2(), FertiliserProducts[[#Headers],[Company]],31)</f>
        <v/>
      </c>
      <c r="O146" s="146" t="str" cm="1">
        <f t="array" ref="O146">Common_InputFunctions.Utility_DisplayArrayInTable(Fertiliser_SourceData.Fertiliser_Products_Data2(), FertiliserProducts[[#Headers],[Company]],31)</f>
        <v>Calcium nitrate</v>
      </c>
      <c r="P146" s="146" cm="1">
        <f t="array" ref="P146">Common_InputFunctions.Utility_DisplayArrayInTable(Fertiliser_SourceData.Fertiliser_Products_Data2(), FertiliserProducts[[#Headers],[Company]],31)</f>
        <v>1</v>
      </c>
      <c r="Q146" s="146" t="str" cm="1">
        <f t="array" ref="Q146">Common_InputFunctions.Utility_DisplayArrayInTable(Fertiliser_SourceData.Fertiliser_Products_Data2(), FertiliserProducts[[#Headers],[Company]],31)</f>
        <v>Boron</v>
      </c>
      <c r="R146" s="146" cm="1">
        <f t="array" ref="R146">Common_InputFunctions.Utility_DisplayArrayInTable(Fertiliser_SourceData.Fertiliser_Products_Data2(), FertiliserProducts[[#Headers],[Company]],31)</f>
        <v>1E-3</v>
      </c>
      <c r="S146" s="146" t="str" cm="1">
        <f t="array" ref="S146">Common_InputFunctions.Utility_DisplayArrayInTable(Fertiliser_SourceData.Fertiliser_Products_Data2(), FertiliserProducts[[#Headers],[Company]],31)</f>
        <v/>
      </c>
      <c r="T146" s="146" t="str" cm="1">
        <f t="array" ref="T146">Common_InputFunctions.Utility_DisplayArrayInTable(Fertiliser_SourceData.Fertiliser_Products_Data2(), FertiliserProducts[[#Headers],[Company]],31)</f>
        <v/>
      </c>
      <c r="U146" s="146" t="str" cm="1">
        <f t="array" ref="U146">Common_InputFunctions.Utility_DisplayArrayInTable(Fertiliser_SourceData.Fertiliser_Products_Data2(), FertiliserProducts[[#Headers],[Company]],31)</f>
        <v/>
      </c>
      <c r="V146" s="146" t="str" cm="1">
        <f t="array" ref="V146">Common_InputFunctions.Utility_DisplayArrayInTable(Fertiliser_SourceData.Fertiliser_Products_Data2(), FertiliserProducts[[#Headers],[Company]],31)</f>
        <v/>
      </c>
      <c r="W146" s="146" t="str" cm="1">
        <f t="array" ref="W146">Common_InputFunctions.Utility_DisplayArrayInTable(Fertiliser_SourceData.Fertiliser_Products_Data2(), FertiliserProducts[[#Headers],[Company]],31)</f>
        <v/>
      </c>
      <c r="X146" s="146" t="str" cm="1">
        <f t="array" ref="X146">Common_InputFunctions.Utility_DisplayArrayInTable(Fertiliser_SourceData.Fertiliser_Products_Data2(), FertiliserProducts[[#Headers],[Company]],31)</f>
        <v/>
      </c>
      <c r="Y146" s="146" t="str" cm="1">
        <f t="array" ref="Y146">Common_InputFunctions.Utility_DisplayArrayInTable(Fertiliser_SourceData.Fertiliser_Products_Data2(), FertiliserProducts[[#Headers],[Company]],31)</f>
        <v/>
      </c>
      <c r="Z146" s="146" t="str" cm="1">
        <f t="array" ref="Z146">Common_InputFunctions.Utility_DisplayArrayInTable(Fertiliser_SourceData.Fertiliser_Products_Data2(), FertiliserProducts[[#Headers],[Company]],31)</f>
        <v/>
      </c>
      <c r="AA146" s="146" t="str" cm="1">
        <f t="array" ref="AA146">Common_InputFunctions.Utility_DisplayArrayInTable(Fertiliser_SourceData.Fertiliser_Products_Data2(), FertiliserProducts[[#Headers],[Company]],31)</f>
        <v/>
      </c>
      <c r="AB146" s="146" t="str" cm="1">
        <f t="array" ref="AB146">Common_InputFunctions.Utility_DisplayArrayInTable(Fertiliser_SourceData.Fertiliser_Products_Data2(), FertiliserProducts[[#Headers],[Company]],31)</f>
        <v/>
      </c>
      <c r="AC146" s="146" t="str" cm="1">
        <f t="array" ref="AC146">Common_InputFunctions.Utility_DisplayArrayInTable(Fertiliser_SourceData.Fertiliser_Products_Data2(), FertiliserProducts[[#Headers],[Company]],31)</f>
        <v/>
      </c>
      <c r="AD146" s="146" t="str" cm="1">
        <f t="array" ref="AD146">Common_InputFunctions.Utility_DisplayArrayInTable(Fertiliser_SourceData.Fertiliser_Products_Data2(), FertiliserProducts[[#Headers],[Company]],31)</f>
        <v/>
      </c>
      <c r="AE146" s="146" t="str" cm="1">
        <f t="array" ref="AE146">Common_InputFunctions.Utility_DisplayArrayInTable(Fertiliser_SourceData.Fertiliser_Products_Data2(), FertiliserProducts[[#Headers],[Company]],31)</f>
        <v/>
      </c>
      <c r="AF146" s="146" t="str" cm="1">
        <f t="array" ref="AF146">Common_InputFunctions.Utility_DisplayArrayInTable(Fertiliser_SourceData.Fertiliser_Products_Data2(), FertiliserProducts[[#Headers],[Company]],31)</f>
        <v/>
      </c>
      <c r="AG146" s="146" t="str" cm="1">
        <f t="array" ref="AG146">Common_InputFunctions.Utility_DisplayArrayInTable(Fertiliser_SourceData.Fertiliser_Products_Data2(), FertiliserProducts[[#Headers],[Company]],31)</f>
        <v/>
      </c>
      <c r="AH146" s="146" t="str" cm="1">
        <f t="array" ref="AH146">Common_InputFunctions.Utility_DisplayArrayInTable(Fertiliser_SourceData.Fertiliser_Products_Data2(), FertiliserProducts[[#Headers],[Company]],31)</f>
        <v/>
      </c>
      <c r="AK146" s="1"/>
      <c r="AL146" s="1"/>
      <c r="AM146" s="1"/>
    </row>
    <row r="147" spans="1:39" ht="20.100000000000001" customHeight="1" x14ac:dyDescent="0.2">
      <c r="D147" s="146" t="str" cm="1">
        <f t="array" ref="D147">Common_InputFunctions.Utility_DisplayArrayInTable(Fertiliser_SourceData.Fertiliser_Products_Data2(), FertiliserProducts[[#Headers],[Company]],31)</f>
        <v>Yara Australia</v>
      </c>
      <c r="E147" s="146" t="str" cm="1">
        <f t="array" ref="E147">Common_InputFunctions.Utility_DisplayArrayInTable(Fertiliser_SourceData.Fertiliser_Products_Data2(), FertiliserProducts[[#Headers],[Company]],31)</f>
        <v>YaraTera KRISTA MAP</v>
      </c>
      <c r="F147" s="146" t="str" cm="1">
        <f t="array" ref="F147">Common_InputFunctions.Utility_DisplayArrayInTable(Fertiliser_SourceData.Fertiliser_Products_Data2(), FertiliserProducts[[#Headers],[Company]],31)</f>
        <v>kg</v>
      </c>
      <c r="G147" s="146" cm="1">
        <f t="array" ref="G147">Common_InputFunctions.Utility_DisplayArrayInTable(Fertiliser_SourceData.Fertiliser_Products_Data2(), FertiliserProducts[[#Headers],[Company]],31)</f>
        <v>1</v>
      </c>
      <c r="H147" s="146" t="str" cm="1">
        <f t="array" ref="H147">Common_InputFunctions.Utility_DisplayArrayInTable(Fertiliser_SourceData.Fertiliser_Products_Data2(), FertiliserProducts[[#Headers],[Company]],31)</f>
        <v/>
      </c>
      <c r="I147" s="146" t="str" cm="1">
        <f t="array" ref="I147">Common_InputFunctions.Utility_DisplayArrayInTable(Fertiliser_SourceData.Fertiliser_Products_Data2(), FertiliserProducts[[#Headers],[Company]],31)</f>
        <v/>
      </c>
      <c r="J147" s="146" t="str" cm="1">
        <f t="array" ref="J147">Common_InputFunctions.Utility_DisplayArrayInTable(Fertiliser_SourceData.Fertiliser_Products_Data2(), FertiliserProducts[[#Headers],[Company]],31)</f>
        <v/>
      </c>
      <c r="K147" s="146" cm="1">
        <f t="array" ref="K147">Common_InputFunctions.Utility_DisplayArrayInTable(Fertiliser_SourceData.Fertiliser_Products_Data2(), FertiliserProducts[[#Headers],[Company]],31)</f>
        <v>10</v>
      </c>
      <c r="L147" s="146" cm="1">
        <f t="array" ref="L147">Common_InputFunctions.Utility_DisplayArrayInTable(Fertiliser_SourceData.Fertiliser_Products_Data2(), FertiliserProducts[[#Headers],[Company]],31)</f>
        <v>21.9</v>
      </c>
      <c r="M147" s="146" t="str" cm="1">
        <f t="array" ref="M147">Common_InputFunctions.Utility_DisplayArrayInTable(Fertiliser_SourceData.Fertiliser_Products_Data2(), FertiliserProducts[[#Headers],[Company]],31)</f>
        <v/>
      </c>
      <c r="N147" s="146" t="str" cm="1">
        <f t="array" ref="N147">Common_InputFunctions.Utility_DisplayArrayInTable(Fertiliser_SourceData.Fertiliser_Products_Data2(), FertiliserProducts[[#Headers],[Company]],31)</f>
        <v/>
      </c>
      <c r="O147" s="146" t="str" cm="1">
        <f t="array" ref="O147">Common_InputFunctions.Utility_DisplayArrayInTable(Fertiliser_SourceData.Fertiliser_Products_Data2(), FertiliserProducts[[#Headers],[Company]],31)</f>
        <v>Monoammonium phosphate (MAP)</v>
      </c>
      <c r="P147" s="146" cm="1">
        <f t="array" ref="P147">Common_InputFunctions.Utility_DisplayArrayInTable(Fertiliser_SourceData.Fertiliser_Products_Data2(), FertiliserProducts[[#Headers],[Company]],31)</f>
        <v>1</v>
      </c>
      <c r="Q147" s="146" t="str" cm="1">
        <f t="array" ref="Q147">Common_InputFunctions.Utility_DisplayArrayInTable(Fertiliser_SourceData.Fertiliser_Products_Data2(), FertiliserProducts[[#Headers],[Company]],31)</f>
        <v/>
      </c>
      <c r="R147" s="146" t="str" cm="1">
        <f t="array" ref="R147">Common_InputFunctions.Utility_DisplayArrayInTable(Fertiliser_SourceData.Fertiliser_Products_Data2(), FertiliserProducts[[#Headers],[Company]],31)</f>
        <v/>
      </c>
      <c r="S147" s="146" t="str" cm="1">
        <f t="array" ref="S147">Common_InputFunctions.Utility_DisplayArrayInTable(Fertiliser_SourceData.Fertiliser_Products_Data2(), FertiliserProducts[[#Headers],[Company]],31)</f>
        <v/>
      </c>
      <c r="T147" s="146" t="str" cm="1">
        <f t="array" ref="T147">Common_InputFunctions.Utility_DisplayArrayInTable(Fertiliser_SourceData.Fertiliser_Products_Data2(), FertiliserProducts[[#Headers],[Company]],31)</f>
        <v/>
      </c>
      <c r="U147" s="146" t="str" cm="1">
        <f t="array" ref="U147">Common_InputFunctions.Utility_DisplayArrayInTable(Fertiliser_SourceData.Fertiliser_Products_Data2(), FertiliserProducts[[#Headers],[Company]],31)</f>
        <v/>
      </c>
      <c r="V147" s="146" t="str" cm="1">
        <f t="array" ref="V147">Common_InputFunctions.Utility_DisplayArrayInTable(Fertiliser_SourceData.Fertiliser_Products_Data2(), FertiliserProducts[[#Headers],[Company]],31)</f>
        <v/>
      </c>
      <c r="W147" s="146" t="str" cm="1">
        <f t="array" ref="W147">Common_InputFunctions.Utility_DisplayArrayInTable(Fertiliser_SourceData.Fertiliser_Products_Data2(), FertiliserProducts[[#Headers],[Company]],31)</f>
        <v/>
      </c>
      <c r="X147" s="146" t="str" cm="1">
        <f t="array" ref="X147">Common_InputFunctions.Utility_DisplayArrayInTable(Fertiliser_SourceData.Fertiliser_Products_Data2(), FertiliserProducts[[#Headers],[Company]],31)</f>
        <v/>
      </c>
      <c r="Y147" s="146" t="str" cm="1">
        <f t="array" ref="Y147">Common_InputFunctions.Utility_DisplayArrayInTable(Fertiliser_SourceData.Fertiliser_Products_Data2(), FertiliserProducts[[#Headers],[Company]],31)</f>
        <v/>
      </c>
      <c r="Z147" s="146" t="str" cm="1">
        <f t="array" ref="Z147">Common_InputFunctions.Utility_DisplayArrayInTable(Fertiliser_SourceData.Fertiliser_Products_Data2(), FertiliserProducts[[#Headers],[Company]],31)</f>
        <v/>
      </c>
      <c r="AA147" s="146" t="str" cm="1">
        <f t="array" ref="AA147">Common_InputFunctions.Utility_DisplayArrayInTable(Fertiliser_SourceData.Fertiliser_Products_Data2(), FertiliserProducts[[#Headers],[Company]],31)</f>
        <v/>
      </c>
      <c r="AB147" s="146" t="str" cm="1">
        <f t="array" ref="AB147">Common_InputFunctions.Utility_DisplayArrayInTable(Fertiliser_SourceData.Fertiliser_Products_Data2(), FertiliserProducts[[#Headers],[Company]],31)</f>
        <v/>
      </c>
      <c r="AC147" s="146" t="str" cm="1">
        <f t="array" ref="AC147">Common_InputFunctions.Utility_DisplayArrayInTable(Fertiliser_SourceData.Fertiliser_Products_Data2(), FertiliserProducts[[#Headers],[Company]],31)</f>
        <v/>
      </c>
      <c r="AD147" s="146" t="str" cm="1">
        <f t="array" ref="AD147">Common_InputFunctions.Utility_DisplayArrayInTable(Fertiliser_SourceData.Fertiliser_Products_Data2(), FertiliserProducts[[#Headers],[Company]],31)</f>
        <v/>
      </c>
      <c r="AE147" s="146" t="str" cm="1">
        <f t="array" ref="AE147">Common_InputFunctions.Utility_DisplayArrayInTable(Fertiliser_SourceData.Fertiliser_Products_Data2(), FertiliserProducts[[#Headers],[Company]],31)</f>
        <v/>
      </c>
      <c r="AF147" s="146" t="str" cm="1">
        <f t="array" ref="AF147">Common_InputFunctions.Utility_DisplayArrayInTable(Fertiliser_SourceData.Fertiliser_Products_Data2(), FertiliserProducts[[#Headers],[Company]],31)</f>
        <v/>
      </c>
      <c r="AG147" s="146" t="str" cm="1">
        <f t="array" ref="AG147">Common_InputFunctions.Utility_DisplayArrayInTable(Fertiliser_SourceData.Fertiliser_Products_Data2(), FertiliserProducts[[#Headers],[Company]],31)</f>
        <v/>
      </c>
      <c r="AH147" s="146" t="str" cm="1">
        <f t="array" ref="AH147">Common_InputFunctions.Utility_DisplayArrayInTable(Fertiliser_SourceData.Fertiliser_Products_Data2(), FertiliserProducts[[#Headers],[Company]],31)</f>
        <v/>
      </c>
      <c r="AK147" s="1"/>
      <c r="AL147" s="1"/>
      <c r="AM147" s="1"/>
    </row>
    <row r="148" spans="1:39" ht="20.100000000000001" customHeight="1" x14ac:dyDescent="0.2">
      <c r="D148" s="146" t="str" cm="1">
        <f t="array" ref="D148">Common_InputFunctions.Utility_DisplayArrayInTable(Fertiliser_SourceData.Fertiliser_Products_Data2(), FertiliserProducts[[#Headers],[Company]],31)</f>
        <v>Yara Australia</v>
      </c>
      <c r="E148" s="146" t="str" cm="1">
        <f t="array" ref="E148">Common_InputFunctions.Utility_DisplayArrayInTable(Fertiliser_SourceData.Fertiliser_Products_Data2(), FertiliserProducts[[#Headers],[Company]],31)</f>
        <v>YaraTera KRISTALON RED</v>
      </c>
      <c r="F148" s="146" t="str" cm="1">
        <f t="array" ref="F148">Common_InputFunctions.Utility_DisplayArrayInTable(Fertiliser_SourceData.Fertiliser_Products_Data2(), FertiliserProducts[[#Headers],[Company]],31)</f>
        <v>kg</v>
      </c>
      <c r="G148" s="146" cm="1">
        <f t="array" ref="G148">Common_InputFunctions.Utility_DisplayArrayInTable(Fertiliser_SourceData.Fertiliser_Products_Data2(), FertiliserProducts[[#Headers],[Company]],31)</f>
        <v>1</v>
      </c>
      <c r="H148" s="146" t="str" cm="1">
        <f t="array" ref="H148">Common_InputFunctions.Utility_DisplayArrayInTable(Fertiliser_SourceData.Fertiliser_Products_Data2(), FertiliserProducts[[#Headers],[Company]],31)</f>
        <v/>
      </c>
      <c r="I148" s="146" t="str" cm="1">
        <f t="array" ref="I148">Common_InputFunctions.Utility_DisplayArrayInTable(Fertiliser_SourceData.Fertiliser_Products_Data2(), FertiliserProducts[[#Headers],[Company]],31)</f>
        <v/>
      </c>
      <c r="J148" s="146" t="str" cm="1">
        <f t="array" ref="J148">Common_InputFunctions.Utility_DisplayArrayInTable(Fertiliser_SourceData.Fertiliser_Products_Data2(), FertiliserProducts[[#Headers],[Company]],31)</f>
        <v/>
      </c>
      <c r="K148" s="146" cm="1">
        <f t="array" ref="K148">Common_InputFunctions.Utility_DisplayArrayInTable(Fertiliser_SourceData.Fertiliser_Products_Data2(), FertiliserProducts[[#Headers],[Company]],31)</f>
        <v>12</v>
      </c>
      <c r="L148" s="146" cm="1">
        <f t="array" ref="L148">Common_InputFunctions.Utility_DisplayArrayInTable(Fertiliser_SourceData.Fertiliser_Products_Data2(), FertiliserProducts[[#Headers],[Company]],31)</f>
        <v>5.2</v>
      </c>
      <c r="M148" s="146" cm="1">
        <f t="array" ref="M148">Common_InputFunctions.Utility_DisplayArrayInTable(Fertiliser_SourceData.Fertiliser_Products_Data2(), FertiliserProducts[[#Headers],[Company]],31)</f>
        <v>29.9</v>
      </c>
      <c r="N148" s="146" cm="1">
        <f t="array" ref="N148">Common_InputFunctions.Utility_DisplayArrayInTable(Fertiliser_SourceData.Fertiliser_Products_Data2(), FertiliserProducts[[#Headers],[Company]],31)</f>
        <v>1</v>
      </c>
      <c r="O148" s="146" t="str" cm="1">
        <f t="array" ref="O148">Common_InputFunctions.Utility_DisplayArrayInTable(Fertiliser_SourceData.Fertiliser_Products_Data2(), FertiliserProducts[[#Headers],[Company]],31)</f>
        <v>Potassium - Generic</v>
      </c>
      <c r="P148" s="146" cm="1">
        <f t="array" ref="P148">Common_InputFunctions.Utility_DisplayArrayInTable(Fertiliser_SourceData.Fertiliser_Products_Data2(), FertiliserProducts[[#Headers],[Company]],31)</f>
        <v>0.29899999999999999</v>
      </c>
      <c r="Q148" s="146" t="str" cm="1">
        <f t="array" ref="Q148">Common_InputFunctions.Utility_DisplayArrayInTable(Fertiliser_SourceData.Fertiliser_Products_Data2(), FertiliserProducts[[#Headers],[Company]],31)</f>
        <v>Nitrogen - Nitrate</v>
      </c>
      <c r="R148" s="146" cm="1">
        <f t="array" ref="R148">Common_InputFunctions.Utility_DisplayArrayInTable(Fertiliser_SourceData.Fertiliser_Products_Data2(), FertiliserProducts[[#Headers],[Company]],31)</f>
        <v>0.10100000000000001</v>
      </c>
      <c r="S148" s="146" t="str" cm="1">
        <f t="array" ref="S148">Common_InputFunctions.Utility_DisplayArrayInTable(Fertiliser_SourceData.Fertiliser_Products_Data2(), FertiliserProducts[[#Headers],[Company]],31)</f>
        <v>Phosphorus - Generic</v>
      </c>
      <c r="T148" s="146" cm="1">
        <f t="array" ref="T148">Common_InputFunctions.Utility_DisplayArrayInTable(Fertiliser_SourceData.Fertiliser_Products_Data2(), FertiliserProducts[[#Headers],[Company]],31)</f>
        <v>5.1999999999999998E-2</v>
      </c>
      <c r="U148" s="146" t="str" cm="1">
        <f t="array" ref="U148">Common_InputFunctions.Utility_DisplayArrayInTable(Fertiliser_SourceData.Fertiliser_Products_Data2(), FertiliserProducts[[#Headers],[Company]],31)</f>
        <v>Nitrogen - Ammoniacal</v>
      </c>
      <c r="V148" s="146" cm="1">
        <f t="array" ref="V148">Common_InputFunctions.Utility_DisplayArrayInTable(Fertiliser_SourceData.Fertiliser_Products_Data2(), FertiliserProducts[[#Headers],[Company]],31)</f>
        <v>1.9E-2</v>
      </c>
      <c r="W148" s="146" t="str" cm="1">
        <f t="array" ref="W148">Common_InputFunctions.Utility_DisplayArrayInTable(Fertiliser_SourceData.Fertiliser_Products_Data2(), FertiliserProducts[[#Headers],[Company]],31)</f>
        <v>Sulfur - Generic</v>
      </c>
      <c r="X148" s="146" cm="1">
        <f t="array" ref="X148">Common_InputFunctions.Utility_DisplayArrayInTable(Fertiliser_SourceData.Fertiliser_Products_Data2(), FertiliserProducts[[#Headers],[Company]],31)</f>
        <v>0.01</v>
      </c>
      <c r="Y148" s="146" t="str" cm="1">
        <f t="array" ref="Y148">Common_InputFunctions.Utility_DisplayArrayInTable(Fertiliser_SourceData.Fertiliser_Products_Data2(), FertiliserProducts[[#Headers],[Company]],31)</f>
        <v>Magnesium</v>
      </c>
      <c r="Z148" s="146" cm="1">
        <f t="array" ref="Z148">Common_InputFunctions.Utility_DisplayArrayInTable(Fertiliser_SourceData.Fertiliser_Products_Data2(), FertiliserProducts[[#Headers],[Company]],31)</f>
        <v>6.0000000000000001E-3</v>
      </c>
      <c r="AA148" s="146" t="str" cm="1">
        <f t="array" ref="AA148">Common_InputFunctions.Utility_DisplayArrayInTable(Fertiliser_SourceData.Fertiliser_Products_Data2(), FertiliserProducts[[#Headers],[Company]],31)</f>
        <v>Iron</v>
      </c>
      <c r="AB148" s="146" cm="1">
        <f t="array" ref="AB148">Common_InputFunctions.Utility_DisplayArrayInTable(Fertiliser_SourceData.Fertiliser_Products_Data2(), FertiliserProducts[[#Headers],[Company]],31)</f>
        <v>6.9999999999999999E-4</v>
      </c>
      <c r="AC148" s="146" t="str" cm="1">
        <f t="array" ref="AC148">Common_InputFunctions.Utility_DisplayArrayInTable(Fertiliser_SourceData.Fertiliser_Products_Data2(), FertiliserProducts[[#Headers],[Company]],31)</f>
        <v>Manganese</v>
      </c>
      <c r="AD148" s="146" cm="1">
        <f t="array" ref="AD148">Common_InputFunctions.Utility_DisplayArrayInTable(Fertiliser_SourceData.Fertiliser_Products_Data2(), FertiliserProducts[[#Headers],[Company]],31)</f>
        <v>4.0000000000000002E-4</v>
      </c>
      <c r="AE148" s="146" t="str" cm="1">
        <f t="array" ref="AE148">Common_InputFunctions.Utility_DisplayArrayInTable(Fertiliser_SourceData.Fertiliser_Products_Data2(), FertiliserProducts[[#Headers],[Company]],31)</f>
        <v>Zinc</v>
      </c>
      <c r="AF148" s="146" cm="1">
        <f t="array" ref="AF148">Common_InputFunctions.Utility_DisplayArrayInTable(Fertiliser_SourceData.Fertiliser_Products_Data2(), FertiliserProducts[[#Headers],[Company]],31)</f>
        <v>2.5000000000000001E-4</v>
      </c>
      <c r="AG148" s="146" t="str" cm="1">
        <f t="array" ref="AG148">Common_InputFunctions.Utility_DisplayArrayInTable(Fertiliser_SourceData.Fertiliser_Products_Data2(), FertiliserProducts[[#Headers],[Company]],31)</f>
        <v>Boron</v>
      </c>
      <c r="AH148" s="146" cm="1">
        <f t="array" ref="AH148">Common_InputFunctions.Utility_DisplayArrayInTable(Fertiliser_SourceData.Fertiliser_Products_Data2(), FertiliserProducts[[#Headers],[Company]],31)</f>
        <v>2.5000000000000001E-4</v>
      </c>
      <c r="AK148" s="1"/>
      <c r="AL148" s="1"/>
      <c r="AM148" s="1"/>
    </row>
    <row r="149" spans="1:39" ht="20.100000000000001" customHeight="1" x14ac:dyDescent="0.2">
      <c r="D149" s="146" t="str" cm="1">
        <f t="array" ref="D149">Common_InputFunctions.Utility_DisplayArrayInTable(Fertiliser_SourceData.Fertiliser_Products_Data2(), FertiliserProducts[[#Headers],[Company]],31)</f>
        <v>Yara Australia</v>
      </c>
      <c r="E149" s="146" t="str" cm="1">
        <f t="array" ref="E149">Common_InputFunctions.Utility_DisplayArrayInTable(Fertiliser_SourceData.Fertiliser_Products_Data2(), FertiliserProducts[[#Headers],[Company]],31)</f>
        <v>YaraTera KRISTALON SPECIAL</v>
      </c>
      <c r="F149" s="146" t="str" cm="1">
        <f t="array" ref="F149">Common_InputFunctions.Utility_DisplayArrayInTable(Fertiliser_SourceData.Fertiliser_Products_Data2(), FertiliserProducts[[#Headers],[Company]],31)</f>
        <v>kg</v>
      </c>
      <c r="G149" s="146" cm="1">
        <f t="array" ref="G149">Common_InputFunctions.Utility_DisplayArrayInTable(Fertiliser_SourceData.Fertiliser_Products_Data2(), FertiliserProducts[[#Headers],[Company]],31)</f>
        <v>1</v>
      </c>
      <c r="H149" s="146" t="str" cm="1">
        <f t="array" ref="H149">Common_InputFunctions.Utility_DisplayArrayInTable(Fertiliser_SourceData.Fertiliser_Products_Data2(), FertiliserProducts[[#Headers],[Company]],31)</f>
        <v/>
      </c>
      <c r="I149" s="146" t="str" cm="1">
        <f t="array" ref="I149">Common_InputFunctions.Utility_DisplayArrayInTable(Fertiliser_SourceData.Fertiliser_Products_Data2(), FertiliserProducts[[#Headers],[Company]],31)</f>
        <v/>
      </c>
      <c r="J149" s="146" t="str" cm="1">
        <f t="array" ref="J149">Common_InputFunctions.Utility_DisplayArrayInTable(Fertiliser_SourceData.Fertiliser_Products_Data2(), FertiliserProducts[[#Headers],[Company]],31)</f>
        <v/>
      </c>
      <c r="K149" s="146" cm="1">
        <f t="array" ref="K149">Common_InputFunctions.Utility_DisplayArrayInTable(Fertiliser_SourceData.Fertiliser_Products_Data2(), FertiliserProducts[[#Headers],[Company]],31)</f>
        <v>18</v>
      </c>
      <c r="L149" s="146" cm="1">
        <f t="array" ref="L149">Common_InputFunctions.Utility_DisplayArrayInTable(Fertiliser_SourceData.Fertiliser_Products_Data2(), FertiliserProducts[[#Headers],[Company]],31)</f>
        <v>7.9</v>
      </c>
      <c r="M149" s="146" cm="1">
        <f t="array" ref="M149">Common_InputFunctions.Utility_DisplayArrayInTable(Fertiliser_SourceData.Fertiliser_Products_Data2(), FertiliserProducts[[#Headers],[Company]],31)</f>
        <v>14.9</v>
      </c>
      <c r="N149" s="146" cm="1">
        <f t="array" ref="N149">Common_InputFunctions.Utility_DisplayArrayInTable(Fertiliser_SourceData.Fertiliser_Products_Data2(), FertiliserProducts[[#Headers],[Company]],31)</f>
        <v>2</v>
      </c>
      <c r="O149" s="146" t="str" cm="1">
        <f t="array" ref="O149">Common_InputFunctions.Utility_DisplayArrayInTable(Fertiliser_SourceData.Fertiliser_Products_Data2(), FertiliserProducts[[#Headers],[Company]],31)</f>
        <v>Potassium - Generic</v>
      </c>
      <c r="P149" s="146" cm="1">
        <f t="array" ref="P149">Common_InputFunctions.Utility_DisplayArrayInTable(Fertiliser_SourceData.Fertiliser_Products_Data2(), FertiliserProducts[[#Headers],[Company]],31)</f>
        <v>0.14899999999999999</v>
      </c>
      <c r="Q149" s="146" t="str" cm="1">
        <f t="array" ref="Q149">Common_InputFunctions.Utility_DisplayArrayInTable(Fertiliser_SourceData.Fertiliser_Products_Data2(), FertiliserProducts[[#Headers],[Company]],31)</f>
        <v>Urea</v>
      </c>
      <c r="R149" s="146" cm="1">
        <f t="array" ref="R149">Common_InputFunctions.Utility_DisplayArrayInTable(Fertiliser_SourceData.Fertiliser_Products_Data2(), FertiliserProducts[[#Headers],[Company]],31)</f>
        <v>0.21304300000000001</v>
      </c>
      <c r="S149" s="146" t="str" cm="1">
        <f t="array" ref="S149">Common_InputFunctions.Utility_DisplayArrayInTable(Fertiliser_SourceData.Fertiliser_Products_Data2(), FertiliserProducts[[#Headers],[Company]],31)</f>
        <v>Phosphorus - Generic</v>
      </c>
      <c r="T149" s="146" cm="1">
        <f t="array" ref="T149">Common_InputFunctions.Utility_DisplayArrayInTable(Fertiliser_SourceData.Fertiliser_Products_Data2(), FertiliserProducts[[#Headers],[Company]],31)</f>
        <v>7.9000000000000001E-2</v>
      </c>
      <c r="U149" s="146" t="str" cm="1">
        <f t="array" ref="U149">Common_InputFunctions.Utility_DisplayArrayInTable(Fertiliser_SourceData.Fertiliser_Products_Data2(), FertiliserProducts[[#Headers],[Company]],31)</f>
        <v>Nitrogen - Nitrate</v>
      </c>
      <c r="V149" s="146" cm="1">
        <f t="array" ref="V149">Common_InputFunctions.Utility_DisplayArrayInTable(Fertiliser_SourceData.Fertiliser_Products_Data2(), FertiliserProducts[[#Headers],[Company]],31)</f>
        <v>4.9000000000000002E-2</v>
      </c>
      <c r="W149" s="146" t="str" cm="1">
        <f t="array" ref="W149">Common_InputFunctions.Utility_DisplayArrayInTable(Fertiliser_SourceData.Fertiliser_Products_Data2(), FertiliserProducts[[#Headers],[Company]],31)</f>
        <v>Nitrogen - Ammoniacal</v>
      </c>
      <c r="X149" s="146" cm="1">
        <f t="array" ref="X149">Common_InputFunctions.Utility_DisplayArrayInTable(Fertiliser_SourceData.Fertiliser_Products_Data2(), FertiliserProducts[[#Headers],[Company]],31)</f>
        <v>3.3000000000000002E-2</v>
      </c>
      <c r="Y149" s="146" t="str" cm="1">
        <f t="array" ref="Y149">Common_InputFunctions.Utility_DisplayArrayInTable(Fertiliser_SourceData.Fertiliser_Products_Data2(), FertiliserProducts[[#Headers],[Company]],31)</f>
        <v>Sulfur - Generic</v>
      </c>
      <c r="Z149" s="146" cm="1">
        <f t="array" ref="Z149">Common_InputFunctions.Utility_DisplayArrayInTable(Fertiliser_SourceData.Fertiliser_Products_Data2(), FertiliserProducts[[#Headers],[Company]],31)</f>
        <v>0.02</v>
      </c>
      <c r="AA149" s="146" t="str" cm="1">
        <f t="array" ref="AA149">Common_InputFunctions.Utility_DisplayArrayInTable(Fertiliser_SourceData.Fertiliser_Products_Data2(), FertiliserProducts[[#Headers],[Company]],31)</f>
        <v>Magnesium</v>
      </c>
      <c r="AB149" s="146" cm="1">
        <f t="array" ref="AB149">Common_InputFunctions.Utility_DisplayArrayInTable(Fertiliser_SourceData.Fertiliser_Products_Data2(), FertiliserProducts[[#Headers],[Company]],31)</f>
        <v>1.7999999999999999E-2</v>
      </c>
      <c r="AC149" s="146" t="str" cm="1">
        <f t="array" ref="AC149">Common_InputFunctions.Utility_DisplayArrayInTable(Fertiliser_SourceData.Fertiliser_Products_Data2(), FertiliserProducts[[#Headers],[Company]],31)</f>
        <v>Iron</v>
      </c>
      <c r="AD149" s="146" cm="1">
        <f t="array" ref="AD149">Common_InputFunctions.Utility_DisplayArrayInTable(Fertiliser_SourceData.Fertiliser_Products_Data2(), FertiliserProducts[[#Headers],[Company]],31)</f>
        <v>6.9999999999999999E-4</v>
      </c>
      <c r="AE149" s="146" t="str" cm="1">
        <f t="array" ref="AE149">Common_InputFunctions.Utility_DisplayArrayInTable(Fertiliser_SourceData.Fertiliser_Products_Data2(), FertiliserProducts[[#Headers],[Company]],31)</f>
        <v>Manganese</v>
      </c>
      <c r="AF149" s="146" cm="1">
        <f t="array" ref="AF149">Common_InputFunctions.Utility_DisplayArrayInTable(Fertiliser_SourceData.Fertiliser_Products_Data2(), FertiliserProducts[[#Headers],[Company]],31)</f>
        <v>4.0000000000000002E-4</v>
      </c>
      <c r="AG149" s="146" t="str" cm="1">
        <f t="array" ref="AG149">Common_InputFunctions.Utility_DisplayArrayInTable(Fertiliser_SourceData.Fertiliser_Products_Data2(), FertiliserProducts[[#Headers],[Company]],31)</f>
        <v>Zinc</v>
      </c>
      <c r="AH149" s="146" cm="1">
        <f t="array" ref="AH149">Common_InputFunctions.Utility_DisplayArrayInTable(Fertiliser_SourceData.Fertiliser_Products_Data2(), FertiliserProducts[[#Headers],[Company]],31)</f>
        <v>2.5000000000000001E-4</v>
      </c>
      <c r="AK149" s="1"/>
      <c r="AL149" s="1"/>
      <c r="AM149" s="1"/>
    </row>
    <row r="150" spans="1:39" ht="20.100000000000001" customHeight="1" x14ac:dyDescent="0.2">
      <c r="D150" s="146" t="str" cm="1">
        <f t="array" ref="D150">Common_InputFunctions.Utility_DisplayArrayInTable(Fertiliser_SourceData.Fertiliser_Products_Data3(), FertiliserProducts[[#Headers],[Company]],61)</f>
        <v>Yara Australia</v>
      </c>
      <c r="E150" s="146" t="str" cm="1">
        <f t="array" ref="E150">Common_InputFunctions.Utility_DisplayArrayInTable(Fertiliser_SourceData.Fertiliser_Products_Data3(), FertiliserProducts[[#Headers],[Company]],61)</f>
        <v>YaraMila 21-7-3(4)</v>
      </c>
      <c r="F150" s="146" t="str" cm="1">
        <f t="array" ref="F150">Common_InputFunctions.Utility_DisplayArrayInTable(Fertiliser_SourceData.Fertiliser_Products_Data3(), FertiliserProducts[[#Headers],[Company]],61)</f>
        <v>kg</v>
      </c>
      <c r="G150" s="146" cm="1">
        <f t="array" ref="G150">Common_InputFunctions.Utility_DisplayArrayInTable(Fertiliser_SourceData.Fertiliser_Products_Data3(), FertiliserProducts[[#Headers],[Company]],61)</f>
        <v>1</v>
      </c>
      <c r="H150" s="146" t="str" cm="1">
        <f t="array" ref="H150">Common_InputFunctions.Utility_DisplayArrayInTable(Fertiliser_SourceData.Fertiliser_Products_Data3(), FertiliserProducts[[#Headers],[Company]],61)</f>
        <v/>
      </c>
      <c r="I150" s="146" t="str" cm="1">
        <f t="array" ref="I150">Common_InputFunctions.Utility_DisplayArrayInTable(Fertiliser_SourceData.Fertiliser_Products_Data3(), FertiliserProducts[[#Headers],[Company]],61)</f>
        <v/>
      </c>
      <c r="J150" s="146" t="str" cm="1">
        <f t="array" ref="J150">Common_InputFunctions.Utility_DisplayArrayInTable(Fertiliser_SourceData.Fertiliser_Products_Data3(), FertiliserProducts[[#Headers],[Company]],61)</f>
        <v/>
      </c>
      <c r="K150" s="146" cm="1">
        <f t="array" ref="K150">Common_InputFunctions.Utility_DisplayArrayInTable(Fertiliser_SourceData.Fertiliser_Products_Data3(), FertiliserProducts[[#Headers],[Company]],61)</f>
        <v>21</v>
      </c>
      <c r="L150" s="146" cm="1">
        <f t="array" ref="L150">Common_InputFunctions.Utility_DisplayArrayInTable(Fertiliser_SourceData.Fertiliser_Products_Data3(), FertiliserProducts[[#Headers],[Company]],61)</f>
        <v>7.4</v>
      </c>
      <c r="M150" s="146" cm="1">
        <f t="array" ref="M150">Common_InputFunctions.Utility_DisplayArrayInTable(Fertiliser_SourceData.Fertiliser_Products_Data3(), FertiliserProducts[[#Headers],[Company]],61)</f>
        <v>2.5</v>
      </c>
      <c r="N150" s="146" cm="1">
        <f t="array" ref="N150">Common_InputFunctions.Utility_DisplayArrayInTable(Fertiliser_SourceData.Fertiliser_Products_Data3(), FertiliserProducts[[#Headers],[Company]],61)</f>
        <v>4</v>
      </c>
      <c r="O150" s="146" t="str" cm="1">
        <f t="array" ref="O150">Common_InputFunctions.Utility_DisplayArrayInTable(Fertiliser_SourceData.Fertiliser_Products_Data3(), FertiliserProducts[[#Headers],[Company]],61)</f>
        <v>Nitrogen - Nitrate</v>
      </c>
      <c r="P150" s="146" cm="1">
        <f t="array" ref="P150">Common_InputFunctions.Utility_DisplayArrayInTable(Fertiliser_SourceData.Fertiliser_Products_Data3(), FertiliserProducts[[#Headers],[Company]],61)</f>
        <v>0.105</v>
      </c>
      <c r="Q150" s="146" t="str" cm="1">
        <f t="array" ref="Q150">Common_InputFunctions.Utility_DisplayArrayInTable(Fertiliser_SourceData.Fertiliser_Products_Data3(), FertiliserProducts[[#Headers],[Company]],61)</f>
        <v>Nitrogen - Ammoniacal</v>
      </c>
      <c r="R150" s="146" cm="1">
        <f t="array" ref="R150">Common_InputFunctions.Utility_DisplayArrayInTable(Fertiliser_SourceData.Fertiliser_Products_Data3(), FertiliserProducts[[#Headers],[Company]],61)</f>
        <v>0.105</v>
      </c>
      <c r="S150" s="146" t="str" cm="1">
        <f t="array" ref="S150">Common_InputFunctions.Utility_DisplayArrayInTable(Fertiliser_SourceData.Fertiliser_Products_Data3(), FertiliserProducts[[#Headers],[Company]],61)</f>
        <v>Phosphorus - Generic</v>
      </c>
      <c r="T150" s="146" cm="1">
        <f t="array" ref="T150">Common_InputFunctions.Utility_DisplayArrayInTable(Fertiliser_SourceData.Fertiliser_Products_Data3(), FertiliserProducts[[#Headers],[Company]],61)</f>
        <v>7.3999999999999996E-2</v>
      </c>
      <c r="U150" s="146" t="str" cm="1">
        <f t="array" ref="U150">Common_InputFunctions.Utility_DisplayArrayInTable(Fertiliser_SourceData.Fertiliser_Products_Data3(), FertiliserProducts[[#Headers],[Company]],61)</f>
        <v>Sulfur - Generic</v>
      </c>
      <c r="V150" s="146" cm="1">
        <f t="array" ref="V150">Common_InputFunctions.Utility_DisplayArrayInTable(Fertiliser_SourceData.Fertiliser_Products_Data3(), FertiliserProducts[[#Headers],[Company]],61)</f>
        <v>0.04</v>
      </c>
      <c r="W150" s="146" t="str" cm="1">
        <f t="array" ref="W150">Common_InputFunctions.Utility_DisplayArrayInTable(Fertiliser_SourceData.Fertiliser_Products_Data3(), FertiliserProducts[[#Headers],[Company]],61)</f>
        <v>Potassium - Generic</v>
      </c>
      <c r="X150" s="146" cm="1">
        <f t="array" ref="X150">Common_InputFunctions.Utility_DisplayArrayInTable(Fertiliser_SourceData.Fertiliser_Products_Data3(), FertiliserProducts[[#Headers],[Company]],61)</f>
        <v>2.5000000000000001E-2</v>
      </c>
      <c r="Y150" s="146" t="str" cm="1">
        <f t="array" ref="Y150">Common_InputFunctions.Utility_DisplayArrayInTable(Fertiliser_SourceData.Fertiliser_Products_Data3(), FertiliserProducts[[#Headers],[Company]],61)</f>
        <v>Magnesium</v>
      </c>
      <c r="Z150" s="146" cm="1">
        <f t="array" ref="Z150">Common_InputFunctions.Utility_DisplayArrayInTable(Fertiliser_SourceData.Fertiliser_Products_Data3(), FertiliserProducts[[#Headers],[Company]],61)</f>
        <v>4.0000000000000001E-3</v>
      </c>
      <c r="AA150" s="146" t="str" cm="1">
        <f t="array" ref="AA150">Common_InputFunctions.Utility_DisplayArrayInTable(Fertiliser_SourceData.Fertiliser_Products_Data3(), FertiliserProducts[[#Headers],[Company]],61)</f>
        <v>Zinc</v>
      </c>
      <c r="AB150" s="146" cm="1">
        <f t="array" ref="AB150">Common_InputFunctions.Utility_DisplayArrayInTable(Fertiliser_SourceData.Fertiliser_Products_Data3(), FertiliserProducts[[#Headers],[Company]],61)</f>
        <v>1.5E-3</v>
      </c>
      <c r="AC150" s="146" t="str" cm="1">
        <f t="array" ref="AC150">Common_InputFunctions.Utility_DisplayArrayInTable(Fertiliser_SourceData.Fertiliser_Products_Data3(), FertiliserProducts[[#Headers],[Company]],61)</f>
        <v/>
      </c>
      <c r="AD150" s="146" t="str" cm="1">
        <f t="array" ref="AD150">Common_InputFunctions.Utility_DisplayArrayInTable(Fertiliser_SourceData.Fertiliser_Products_Data3(), FertiliserProducts[[#Headers],[Company]],61)</f>
        <v/>
      </c>
      <c r="AE150" s="146" t="str" cm="1">
        <f t="array" ref="AE150">Common_InputFunctions.Utility_DisplayArrayInTable(Fertiliser_SourceData.Fertiliser_Products_Data3(), FertiliserProducts[[#Headers],[Company]],61)</f>
        <v/>
      </c>
      <c r="AF150" s="146" t="str" cm="1">
        <f t="array" ref="AF150">Common_InputFunctions.Utility_DisplayArrayInTable(Fertiliser_SourceData.Fertiliser_Products_Data3(), FertiliserProducts[[#Headers],[Company]],61)</f>
        <v/>
      </c>
      <c r="AG150" s="146" t="str" cm="1">
        <f t="array" ref="AG150">Common_InputFunctions.Utility_DisplayArrayInTable(Fertiliser_SourceData.Fertiliser_Products_Data3(), FertiliserProducts[[#Headers],[Company]],61)</f>
        <v/>
      </c>
      <c r="AH150" s="146" t="str" cm="1">
        <f t="array" ref="AH150">Common_InputFunctions.Utility_DisplayArrayInTable(Fertiliser_SourceData.Fertiliser_Products_Data3(), FertiliserProducts[[#Headers],[Company]],61)</f>
        <v/>
      </c>
      <c r="AK150" s="1"/>
      <c r="AL150" s="1"/>
      <c r="AM150" s="1"/>
    </row>
    <row r="151" spans="1:39" ht="20.100000000000001" customHeight="1" x14ac:dyDescent="0.2">
      <c r="D151" s="146" t="str" cm="1">
        <f t="array" ref="D151">Common_InputFunctions.Utility_DisplayArrayInTable(Fertiliser_SourceData.Fertiliser_Products_Data3(), FertiliserProducts[[#Headers],[Company]],61)</f>
        <v>Yara Australia</v>
      </c>
      <c r="E151" s="146" t="str" cm="1">
        <f t="array" ref="E151">Common_InputFunctions.Utility_DisplayArrayInTable(Fertiliser_SourceData.Fertiliser_Products_Data3(), FertiliserProducts[[#Headers],[Company]],61)</f>
        <v>YaraTera KRISTALON SCARLET</v>
      </c>
      <c r="F151" s="146" t="str" cm="1">
        <f t="array" ref="F151">Common_InputFunctions.Utility_DisplayArrayInTable(Fertiliser_SourceData.Fertiliser_Products_Data3(), FertiliserProducts[[#Headers],[Company]],61)</f>
        <v>kg</v>
      </c>
      <c r="G151" s="146" cm="1">
        <f t="array" ref="G151">Common_InputFunctions.Utility_DisplayArrayInTable(Fertiliser_SourceData.Fertiliser_Products_Data3(), FertiliserProducts[[#Headers],[Company]],61)</f>
        <v>1</v>
      </c>
      <c r="H151" s="146" t="str" cm="1">
        <f t="array" ref="H151">Common_InputFunctions.Utility_DisplayArrayInTable(Fertiliser_SourceData.Fertiliser_Products_Data3(), FertiliserProducts[[#Headers],[Company]],61)</f>
        <v/>
      </c>
      <c r="I151" s="146" t="str" cm="1">
        <f t="array" ref="I151">Common_InputFunctions.Utility_DisplayArrayInTable(Fertiliser_SourceData.Fertiliser_Products_Data3(), FertiliserProducts[[#Headers],[Company]],61)</f>
        <v/>
      </c>
      <c r="J151" s="146" t="str" cm="1">
        <f t="array" ref="J151">Common_InputFunctions.Utility_DisplayArrayInTable(Fertiliser_SourceData.Fertiliser_Products_Data3(), FertiliserProducts[[#Headers],[Company]],61)</f>
        <v/>
      </c>
      <c r="K151" s="146" cm="1">
        <f t="array" ref="K151">Common_InputFunctions.Utility_DisplayArrayInTable(Fertiliser_SourceData.Fertiliser_Products_Data3(), FertiliserProducts[[#Headers],[Company]],61)</f>
        <v>7.5</v>
      </c>
      <c r="L151" s="146" t="str" cm="1">
        <f t="array" ref="L151">Common_InputFunctions.Utility_DisplayArrayInTable(Fertiliser_SourceData.Fertiliser_Products_Data3(), FertiliserProducts[[#Headers],[Company]],61)</f>
        <v/>
      </c>
      <c r="M151" s="146" cm="1">
        <f t="array" ref="M151">Common_InputFunctions.Utility_DisplayArrayInTable(Fertiliser_SourceData.Fertiliser_Products_Data3(), FertiliserProducts[[#Headers],[Company]],61)</f>
        <v>29.9</v>
      </c>
      <c r="N151" s="146" cm="1">
        <f t="array" ref="N151">Common_InputFunctions.Utility_DisplayArrayInTable(Fertiliser_SourceData.Fertiliser_Products_Data3(), FertiliserProducts[[#Headers],[Company]],61)</f>
        <v>4</v>
      </c>
      <c r="O151" s="146" t="str" cm="1">
        <f t="array" ref="O151">Common_InputFunctions.Utility_DisplayArrayInTable(Fertiliser_SourceData.Fertiliser_Products_Data3(), FertiliserProducts[[#Headers],[Company]],61)</f>
        <v>Potassium - Generic</v>
      </c>
      <c r="P151" s="146" cm="1">
        <f t="array" ref="P151">Common_InputFunctions.Utility_DisplayArrayInTable(Fertiliser_SourceData.Fertiliser_Products_Data3(), FertiliserProducts[[#Headers],[Company]],61)</f>
        <v>0.29899999999999999</v>
      </c>
      <c r="Q151" s="146" t="str" cm="1">
        <f t="array" ref="Q151">Common_InputFunctions.Utility_DisplayArrayInTable(Fertiliser_SourceData.Fertiliser_Products_Data3(), FertiliserProducts[[#Headers],[Company]],61)</f>
        <v>Nitrogen - Nitrate</v>
      </c>
      <c r="R151" s="146" cm="1">
        <f t="array" ref="R151">Common_InputFunctions.Utility_DisplayArrayInTable(Fertiliser_SourceData.Fertiliser_Products_Data3(), FertiliserProducts[[#Headers],[Company]],61)</f>
        <v>5.1999999999999998E-2</v>
      </c>
      <c r="S151" s="146" t="str" cm="1">
        <f t="array" ref="S151">Common_InputFunctions.Utility_DisplayArrayInTable(Fertiliser_SourceData.Fertiliser_Products_Data3(), FertiliserProducts[[#Headers],[Company]],61)</f>
        <v>Sulfur - Generic</v>
      </c>
      <c r="T151" s="146" cm="1">
        <f t="array" ref="T151">Common_InputFunctions.Utility_DisplayArrayInTable(Fertiliser_SourceData.Fertiliser_Products_Data3(), FertiliserProducts[[#Headers],[Company]],61)</f>
        <v>0.04</v>
      </c>
      <c r="U151" s="146" t="str" cm="1">
        <f t="array" ref="U151">Common_InputFunctions.Utility_DisplayArrayInTable(Fertiliser_SourceData.Fertiliser_Products_Data3(), FertiliserProducts[[#Headers],[Company]],61)</f>
        <v>Magnesium</v>
      </c>
      <c r="V151" s="146" cm="1">
        <f t="array" ref="V151">Common_InputFunctions.Utility_DisplayArrayInTable(Fertiliser_SourceData.Fertiliser_Products_Data3(), FertiliserProducts[[#Headers],[Company]],61)</f>
        <v>2.7E-2</v>
      </c>
      <c r="W151" s="146" t="str" cm="1">
        <f t="array" ref="W151">Common_InputFunctions.Utility_DisplayArrayInTable(Fertiliser_SourceData.Fertiliser_Products_Data3(), FertiliserProducts[[#Headers],[Company]],61)</f>
        <v>Nitrogen - Ammoniacal</v>
      </c>
      <c r="X151" s="146" cm="1">
        <f t="array" ref="X151">Common_InputFunctions.Utility_DisplayArrayInTable(Fertiliser_SourceData.Fertiliser_Products_Data3(), FertiliserProducts[[#Headers],[Company]],61)</f>
        <v>2.3E-2</v>
      </c>
      <c r="Y151" s="146" t="str" cm="1">
        <f t="array" ref="Y151">Common_InputFunctions.Utility_DisplayArrayInTable(Fertiliser_SourceData.Fertiliser_Products_Data3(), FertiliserProducts[[#Headers],[Company]],61)</f>
        <v/>
      </c>
      <c r="Z151" s="146" t="str" cm="1">
        <f t="array" ref="Z151">Common_InputFunctions.Utility_DisplayArrayInTable(Fertiliser_SourceData.Fertiliser_Products_Data3(), FertiliserProducts[[#Headers],[Company]],61)</f>
        <v/>
      </c>
      <c r="AA151" s="146" t="str" cm="1">
        <f t="array" ref="AA151">Common_InputFunctions.Utility_DisplayArrayInTable(Fertiliser_SourceData.Fertiliser_Products_Data3(), FertiliserProducts[[#Headers],[Company]],61)</f>
        <v/>
      </c>
      <c r="AB151" s="146" t="str" cm="1">
        <f t="array" ref="AB151">Common_InputFunctions.Utility_DisplayArrayInTable(Fertiliser_SourceData.Fertiliser_Products_Data3(), FertiliserProducts[[#Headers],[Company]],61)</f>
        <v/>
      </c>
      <c r="AC151" s="146" t="str" cm="1">
        <f t="array" ref="AC151">Common_InputFunctions.Utility_DisplayArrayInTable(Fertiliser_SourceData.Fertiliser_Products_Data3(), FertiliserProducts[[#Headers],[Company]],61)</f>
        <v/>
      </c>
      <c r="AD151" s="146" t="str" cm="1">
        <f t="array" ref="AD151">Common_InputFunctions.Utility_DisplayArrayInTable(Fertiliser_SourceData.Fertiliser_Products_Data3(), FertiliserProducts[[#Headers],[Company]],61)</f>
        <v/>
      </c>
      <c r="AE151" s="146" t="str" cm="1">
        <f t="array" ref="AE151">Common_InputFunctions.Utility_DisplayArrayInTable(Fertiliser_SourceData.Fertiliser_Products_Data3(), FertiliserProducts[[#Headers],[Company]],61)</f>
        <v/>
      </c>
      <c r="AF151" s="146" t="str" cm="1">
        <f t="array" ref="AF151">Common_InputFunctions.Utility_DisplayArrayInTable(Fertiliser_SourceData.Fertiliser_Products_Data3(), FertiliserProducts[[#Headers],[Company]],61)</f>
        <v/>
      </c>
      <c r="AG151" s="146" t="str" cm="1">
        <f t="array" ref="AG151">Common_InputFunctions.Utility_DisplayArrayInTable(Fertiliser_SourceData.Fertiliser_Products_Data3(), FertiliserProducts[[#Headers],[Company]],61)</f>
        <v/>
      </c>
      <c r="AH151" s="146" t="str" cm="1">
        <f t="array" ref="AH151">Common_InputFunctions.Utility_DisplayArrayInTable(Fertiliser_SourceData.Fertiliser_Products_Data3(), FertiliserProducts[[#Headers],[Company]],61)</f>
        <v/>
      </c>
      <c r="AK151" s="1"/>
      <c r="AL151" s="1"/>
      <c r="AM151" s="1"/>
    </row>
    <row r="152" spans="1:39" ht="20.100000000000001" customHeight="1" x14ac:dyDescent="0.2">
      <c r="D152" s="146" t="str" cm="1">
        <f t="array" ref="D152">Common_InputFunctions.Utility_DisplayArrayInTable(Fertiliser_SourceData.Fertiliser_Products_Data3(), FertiliserProducts[[#Headers],[Company]],61)</f>
        <v>Campbells fertilisers Australia</v>
      </c>
      <c r="E152" s="146" t="str" cm="1">
        <f t="array" ref="E152">Common_InputFunctions.Utility_DisplayArrayInTable(Fertiliser_SourceData.Fertiliser_Products_Data3(), FertiliserProducts[[#Headers],[Company]],61)</f>
        <v>Solu-MAP</v>
      </c>
      <c r="F152" s="146" t="str" cm="1">
        <f t="array" ref="F152">Common_InputFunctions.Utility_DisplayArrayInTable(Fertiliser_SourceData.Fertiliser_Products_Data3(), FertiliserProducts[[#Headers],[Company]],61)</f>
        <v>kg</v>
      </c>
      <c r="G152" s="146" cm="1">
        <f t="array" ref="G152">Common_InputFunctions.Utility_DisplayArrayInTable(Fertiliser_SourceData.Fertiliser_Products_Data3(), FertiliserProducts[[#Headers],[Company]],61)</f>
        <v>1</v>
      </c>
      <c r="H152" s="146" t="str" cm="1">
        <f t="array" ref="H152">Common_InputFunctions.Utility_DisplayArrayInTable(Fertiliser_SourceData.Fertiliser_Products_Data3(), FertiliserProducts[[#Headers],[Company]],61)</f>
        <v/>
      </c>
      <c r="I152" s="146" t="str" cm="1">
        <f t="array" ref="I152">Common_InputFunctions.Utility_DisplayArrayInTable(Fertiliser_SourceData.Fertiliser_Products_Data3(), FertiliserProducts[[#Headers],[Company]],61)</f>
        <v/>
      </c>
      <c r="J152" s="146" t="str" cm="1">
        <f t="array" ref="J152">Common_InputFunctions.Utility_DisplayArrayInTable(Fertiliser_SourceData.Fertiliser_Products_Data3(), FertiliserProducts[[#Headers],[Company]],61)</f>
        <v/>
      </c>
      <c r="K152" s="146" cm="1">
        <f t="array" ref="K152">Common_InputFunctions.Utility_DisplayArrayInTable(Fertiliser_SourceData.Fertiliser_Products_Data3(), FertiliserProducts[[#Headers],[Company]],61)</f>
        <v>10</v>
      </c>
      <c r="L152" s="146" cm="1">
        <f t="array" ref="L152">Common_InputFunctions.Utility_DisplayArrayInTable(Fertiliser_SourceData.Fertiliser_Products_Data3(), FertiliserProducts[[#Headers],[Company]],61)</f>
        <v>21.9</v>
      </c>
      <c r="M152" s="146" t="str" cm="1">
        <f t="array" ref="M152">Common_InputFunctions.Utility_DisplayArrayInTable(Fertiliser_SourceData.Fertiliser_Products_Data3(), FertiliserProducts[[#Headers],[Company]],61)</f>
        <v/>
      </c>
      <c r="N152" s="146" t="str" cm="1">
        <f t="array" ref="N152">Common_InputFunctions.Utility_DisplayArrayInTable(Fertiliser_SourceData.Fertiliser_Products_Data3(), FertiliserProducts[[#Headers],[Company]],61)</f>
        <v/>
      </c>
      <c r="O152" s="146" t="str" cm="1">
        <f t="array" ref="O152">Common_InputFunctions.Utility_DisplayArrayInTable(Fertiliser_SourceData.Fertiliser_Products_Data3(), FertiliserProducts[[#Headers],[Company]],61)</f>
        <v>Monoammonium phosphate (MAP)</v>
      </c>
      <c r="P152" s="146" cm="1">
        <f t="array" ref="P152">Common_InputFunctions.Utility_DisplayArrayInTable(Fertiliser_SourceData.Fertiliser_Products_Data3(), FertiliserProducts[[#Headers],[Company]],61)</f>
        <v>1</v>
      </c>
      <c r="Q152" s="146" t="str" cm="1">
        <f t="array" ref="Q152">Common_InputFunctions.Utility_DisplayArrayInTable(Fertiliser_SourceData.Fertiliser_Products_Data3(), FertiliserProducts[[#Headers],[Company]],61)</f>
        <v/>
      </c>
      <c r="R152" s="146" t="str" cm="1">
        <f t="array" ref="R152">Common_InputFunctions.Utility_DisplayArrayInTable(Fertiliser_SourceData.Fertiliser_Products_Data3(), FertiliserProducts[[#Headers],[Company]],61)</f>
        <v/>
      </c>
      <c r="S152" s="146" t="str" cm="1">
        <f t="array" ref="S152">Common_InputFunctions.Utility_DisplayArrayInTable(Fertiliser_SourceData.Fertiliser_Products_Data3(), FertiliserProducts[[#Headers],[Company]],61)</f>
        <v/>
      </c>
      <c r="T152" s="146" t="str" cm="1">
        <f t="array" ref="T152">Common_InputFunctions.Utility_DisplayArrayInTable(Fertiliser_SourceData.Fertiliser_Products_Data3(), FertiliserProducts[[#Headers],[Company]],61)</f>
        <v/>
      </c>
      <c r="U152" s="146" t="str" cm="1">
        <f t="array" ref="U152">Common_InputFunctions.Utility_DisplayArrayInTable(Fertiliser_SourceData.Fertiliser_Products_Data3(), FertiliserProducts[[#Headers],[Company]],61)</f>
        <v/>
      </c>
      <c r="V152" s="146" t="str" cm="1">
        <f t="array" ref="V152">Common_InputFunctions.Utility_DisplayArrayInTable(Fertiliser_SourceData.Fertiliser_Products_Data3(), FertiliserProducts[[#Headers],[Company]],61)</f>
        <v/>
      </c>
      <c r="W152" s="146" t="str" cm="1">
        <f t="array" ref="W152">Common_InputFunctions.Utility_DisplayArrayInTable(Fertiliser_SourceData.Fertiliser_Products_Data3(), FertiliserProducts[[#Headers],[Company]],61)</f>
        <v/>
      </c>
      <c r="X152" s="146" t="str" cm="1">
        <f t="array" ref="X152">Common_InputFunctions.Utility_DisplayArrayInTable(Fertiliser_SourceData.Fertiliser_Products_Data3(), FertiliserProducts[[#Headers],[Company]],61)</f>
        <v/>
      </c>
      <c r="Y152" s="146" t="str" cm="1">
        <f t="array" ref="Y152">Common_InputFunctions.Utility_DisplayArrayInTable(Fertiliser_SourceData.Fertiliser_Products_Data3(), FertiliserProducts[[#Headers],[Company]],61)</f>
        <v/>
      </c>
      <c r="Z152" s="146" t="str" cm="1">
        <f t="array" ref="Z152">Common_InputFunctions.Utility_DisplayArrayInTable(Fertiliser_SourceData.Fertiliser_Products_Data3(), FertiliserProducts[[#Headers],[Company]],61)</f>
        <v/>
      </c>
      <c r="AA152" s="146" t="str" cm="1">
        <f t="array" ref="AA152">Common_InputFunctions.Utility_DisplayArrayInTable(Fertiliser_SourceData.Fertiliser_Products_Data3(), FertiliserProducts[[#Headers],[Company]],61)</f>
        <v/>
      </c>
      <c r="AB152" s="146" t="str" cm="1">
        <f t="array" ref="AB152">Common_InputFunctions.Utility_DisplayArrayInTable(Fertiliser_SourceData.Fertiliser_Products_Data3(), FertiliserProducts[[#Headers],[Company]],61)</f>
        <v/>
      </c>
      <c r="AC152" s="146" t="str" cm="1">
        <f t="array" ref="AC152">Common_InputFunctions.Utility_DisplayArrayInTable(Fertiliser_SourceData.Fertiliser_Products_Data3(), FertiliserProducts[[#Headers],[Company]],61)</f>
        <v/>
      </c>
      <c r="AD152" s="146" t="str" cm="1">
        <f t="array" ref="AD152">Common_InputFunctions.Utility_DisplayArrayInTable(Fertiliser_SourceData.Fertiliser_Products_Data3(), FertiliserProducts[[#Headers],[Company]],61)</f>
        <v/>
      </c>
      <c r="AE152" s="146" t="str" cm="1">
        <f t="array" ref="AE152">Common_InputFunctions.Utility_DisplayArrayInTable(Fertiliser_SourceData.Fertiliser_Products_Data3(), FertiliserProducts[[#Headers],[Company]],61)</f>
        <v/>
      </c>
      <c r="AF152" s="146" t="str" cm="1">
        <f t="array" ref="AF152">Common_InputFunctions.Utility_DisplayArrayInTable(Fertiliser_SourceData.Fertiliser_Products_Data3(), FertiliserProducts[[#Headers],[Company]],61)</f>
        <v/>
      </c>
      <c r="AG152" s="146" t="str" cm="1">
        <f t="array" ref="AG152">Common_InputFunctions.Utility_DisplayArrayInTable(Fertiliser_SourceData.Fertiliser_Products_Data3(), FertiliserProducts[[#Headers],[Company]],61)</f>
        <v/>
      </c>
      <c r="AH152" s="146" t="str" cm="1">
        <f t="array" ref="AH152">Common_InputFunctions.Utility_DisplayArrayInTable(Fertiliser_SourceData.Fertiliser_Products_Data3(), FertiliserProducts[[#Headers],[Company]],61)</f>
        <v/>
      </c>
      <c r="AK152" s="1"/>
      <c r="AL152" s="1"/>
      <c r="AM152" s="1"/>
    </row>
    <row r="153" spans="1:39" ht="20.100000000000001" customHeight="1" x14ac:dyDescent="0.2">
      <c r="D153" s="146" t="str" cm="1">
        <f t="array" ref="D153">Common_InputFunctions.Utility_DisplayArrayInTable(Fertiliser_SourceData.Fertiliser_Products_Data3(), FertiliserProducts[[#Headers],[Company]],61)</f>
        <v>Campbells fertilisers Australia</v>
      </c>
      <c r="E153" s="146" t="str" cm="1">
        <f t="array" ref="E153">Common_InputFunctions.Utility_DisplayArrayInTable(Fertiliser_SourceData.Fertiliser_Products_Data3(), FertiliserProducts[[#Headers],[Company]],61)</f>
        <v>Solu-Sam</v>
      </c>
      <c r="F153" s="146" t="str" cm="1">
        <f t="array" ref="F153">Common_InputFunctions.Utility_DisplayArrayInTable(Fertiliser_SourceData.Fertiliser_Products_Data3(), FertiliserProducts[[#Headers],[Company]],61)</f>
        <v>kg</v>
      </c>
      <c r="G153" s="146" cm="1">
        <f t="array" ref="G153">Common_InputFunctions.Utility_DisplayArrayInTable(Fertiliser_SourceData.Fertiliser_Products_Data3(), FertiliserProducts[[#Headers],[Company]],61)</f>
        <v>1</v>
      </c>
      <c r="H153" s="146" t="str" cm="1">
        <f t="array" ref="H153">Common_InputFunctions.Utility_DisplayArrayInTable(Fertiliser_SourceData.Fertiliser_Products_Data3(), FertiliserProducts[[#Headers],[Company]],61)</f>
        <v/>
      </c>
      <c r="I153" s="146" t="str" cm="1">
        <f t="array" ref="I153">Common_InputFunctions.Utility_DisplayArrayInTable(Fertiliser_SourceData.Fertiliser_Products_Data3(), FertiliserProducts[[#Headers],[Company]],61)</f>
        <v/>
      </c>
      <c r="J153" s="146" t="str" cm="1">
        <f t="array" ref="J153">Common_InputFunctions.Utility_DisplayArrayInTable(Fertiliser_SourceData.Fertiliser_Products_Data3(), FertiliserProducts[[#Headers],[Company]],61)</f>
        <v/>
      </c>
      <c r="K153" s="146" cm="1">
        <f t="array" ref="K153">Common_InputFunctions.Utility_DisplayArrayInTable(Fertiliser_SourceData.Fertiliser_Products_Data3(), FertiliserProducts[[#Headers],[Company]],61)</f>
        <v>21</v>
      </c>
      <c r="L153" s="146" t="str" cm="1">
        <f t="array" ref="L153">Common_InputFunctions.Utility_DisplayArrayInTable(Fertiliser_SourceData.Fertiliser_Products_Data3(), FertiliserProducts[[#Headers],[Company]],61)</f>
        <v/>
      </c>
      <c r="M153" s="146" t="str" cm="1">
        <f t="array" ref="M153">Common_InputFunctions.Utility_DisplayArrayInTable(Fertiliser_SourceData.Fertiliser_Products_Data3(), FertiliserProducts[[#Headers],[Company]],61)</f>
        <v/>
      </c>
      <c r="N153" s="146" cm="1">
        <f t="array" ref="N153">Common_InputFunctions.Utility_DisplayArrayInTable(Fertiliser_SourceData.Fertiliser_Products_Data3(), FertiliserProducts[[#Headers],[Company]],61)</f>
        <v>24</v>
      </c>
      <c r="O153" s="146" t="str" cm="1">
        <f t="array" ref="O153">Common_InputFunctions.Utility_DisplayArrayInTable(Fertiliser_SourceData.Fertiliser_Products_Data3(), FertiliserProducts[[#Headers],[Company]],61)</f>
        <v>Sulphate of ammonia (SOA)</v>
      </c>
      <c r="P153" s="146" cm="1">
        <f t="array" ref="P153">Common_InputFunctions.Utility_DisplayArrayInTable(Fertiliser_SourceData.Fertiliser_Products_Data3(), FertiliserProducts[[#Headers],[Company]],61)</f>
        <v>1</v>
      </c>
      <c r="Q153" s="146" t="str" cm="1">
        <f t="array" ref="Q153">Common_InputFunctions.Utility_DisplayArrayInTable(Fertiliser_SourceData.Fertiliser_Products_Data3(), FertiliserProducts[[#Headers],[Company]],61)</f>
        <v/>
      </c>
      <c r="R153" s="146" t="str" cm="1">
        <f t="array" ref="R153">Common_InputFunctions.Utility_DisplayArrayInTable(Fertiliser_SourceData.Fertiliser_Products_Data3(), FertiliserProducts[[#Headers],[Company]],61)</f>
        <v/>
      </c>
      <c r="S153" s="146" t="str" cm="1">
        <f t="array" ref="S153">Common_InputFunctions.Utility_DisplayArrayInTable(Fertiliser_SourceData.Fertiliser_Products_Data3(), FertiliserProducts[[#Headers],[Company]],61)</f>
        <v/>
      </c>
      <c r="T153" s="146" t="str" cm="1">
        <f t="array" ref="T153">Common_InputFunctions.Utility_DisplayArrayInTable(Fertiliser_SourceData.Fertiliser_Products_Data3(), FertiliserProducts[[#Headers],[Company]],61)</f>
        <v/>
      </c>
      <c r="U153" s="146" t="str" cm="1">
        <f t="array" ref="U153">Common_InputFunctions.Utility_DisplayArrayInTable(Fertiliser_SourceData.Fertiliser_Products_Data3(), FertiliserProducts[[#Headers],[Company]],61)</f>
        <v/>
      </c>
      <c r="V153" s="146" t="str" cm="1">
        <f t="array" ref="V153">Common_InputFunctions.Utility_DisplayArrayInTable(Fertiliser_SourceData.Fertiliser_Products_Data3(), FertiliserProducts[[#Headers],[Company]],61)</f>
        <v/>
      </c>
      <c r="W153" s="146" t="str" cm="1">
        <f t="array" ref="W153">Common_InputFunctions.Utility_DisplayArrayInTable(Fertiliser_SourceData.Fertiliser_Products_Data3(), FertiliserProducts[[#Headers],[Company]],61)</f>
        <v/>
      </c>
      <c r="X153" s="146" t="str" cm="1">
        <f t="array" ref="X153">Common_InputFunctions.Utility_DisplayArrayInTable(Fertiliser_SourceData.Fertiliser_Products_Data3(), FertiliserProducts[[#Headers],[Company]],61)</f>
        <v/>
      </c>
      <c r="Y153" s="146" t="str" cm="1">
        <f t="array" ref="Y153">Common_InputFunctions.Utility_DisplayArrayInTable(Fertiliser_SourceData.Fertiliser_Products_Data3(), FertiliserProducts[[#Headers],[Company]],61)</f>
        <v/>
      </c>
      <c r="Z153" s="146" t="str" cm="1">
        <f t="array" ref="Z153">Common_InputFunctions.Utility_DisplayArrayInTable(Fertiliser_SourceData.Fertiliser_Products_Data3(), FertiliserProducts[[#Headers],[Company]],61)</f>
        <v/>
      </c>
      <c r="AA153" s="146" t="str" cm="1">
        <f t="array" ref="AA153">Common_InputFunctions.Utility_DisplayArrayInTable(Fertiliser_SourceData.Fertiliser_Products_Data3(), FertiliserProducts[[#Headers],[Company]],61)</f>
        <v/>
      </c>
      <c r="AB153" s="146" t="str" cm="1">
        <f t="array" ref="AB153">Common_InputFunctions.Utility_DisplayArrayInTable(Fertiliser_SourceData.Fertiliser_Products_Data3(), FertiliserProducts[[#Headers],[Company]],61)</f>
        <v/>
      </c>
      <c r="AC153" s="146" t="str" cm="1">
        <f t="array" ref="AC153">Common_InputFunctions.Utility_DisplayArrayInTable(Fertiliser_SourceData.Fertiliser_Products_Data3(), FertiliserProducts[[#Headers],[Company]],61)</f>
        <v/>
      </c>
      <c r="AD153" s="146" t="str" cm="1">
        <f t="array" ref="AD153">Common_InputFunctions.Utility_DisplayArrayInTable(Fertiliser_SourceData.Fertiliser_Products_Data3(), FertiliserProducts[[#Headers],[Company]],61)</f>
        <v/>
      </c>
      <c r="AE153" s="146" t="str" cm="1">
        <f t="array" ref="AE153">Common_InputFunctions.Utility_DisplayArrayInTable(Fertiliser_SourceData.Fertiliser_Products_Data3(), FertiliserProducts[[#Headers],[Company]],61)</f>
        <v/>
      </c>
      <c r="AF153" s="146" t="str" cm="1">
        <f t="array" ref="AF153">Common_InputFunctions.Utility_DisplayArrayInTable(Fertiliser_SourceData.Fertiliser_Products_Data3(), FertiliserProducts[[#Headers],[Company]],61)</f>
        <v/>
      </c>
      <c r="AG153" s="146" t="str" cm="1">
        <f t="array" ref="AG153">Common_InputFunctions.Utility_DisplayArrayInTable(Fertiliser_SourceData.Fertiliser_Products_Data3(), FertiliserProducts[[#Headers],[Company]],61)</f>
        <v/>
      </c>
      <c r="AH153" s="146" t="str" cm="1">
        <f t="array" ref="AH153">Common_InputFunctions.Utility_DisplayArrayInTable(Fertiliser_SourceData.Fertiliser_Products_Data3(), FertiliserProducts[[#Headers],[Company]],61)</f>
        <v/>
      </c>
      <c r="AK153" s="1"/>
      <c r="AL153" s="1"/>
      <c r="AM153" s="1"/>
    </row>
    <row r="154" spans="1:39" ht="20.100000000000001" customHeight="1" x14ac:dyDescent="0.2">
      <c r="D154" s="146" t="str" cm="1">
        <f t="array" ref="D154">Common_InputFunctions.Utility_DisplayArrayInTable(Fertiliser_SourceData.Fertiliser_Products_Data3(), FertiliserProducts[[#Headers],[Company]],61)</f>
        <v>Campbells fertilisers Australia</v>
      </c>
      <c r="E154" s="146" t="str" cm="1">
        <f t="array" ref="E154">Common_InputFunctions.Utility_DisplayArrayInTable(Fertiliser_SourceData.Fertiliser_Products_Data3(), FertiliserProducts[[#Headers],[Company]],61)</f>
        <v>Rustica Plus</v>
      </c>
      <c r="F154" s="146" t="str" cm="1">
        <f t="array" ref="F154">Common_InputFunctions.Utility_DisplayArrayInTable(Fertiliser_SourceData.Fertiliser_Products_Data3(), FertiliserProducts[[#Headers],[Company]],61)</f>
        <v>kg</v>
      </c>
      <c r="G154" s="146" cm="1">
        <f t="array" ref="G154">Common_InputFunctions.Utility_DisplayArrayInTable(Fertiliser_SourceData.Fertiliser_Products_Data3(), FertiliserProducts[[#Headers],[Company]],61)</f>
        <v>1</v>
      </c>
      <c r="H154" s="146" t="str" cm="1">
        <f t="array" ref="H154">Common_InputFunctions.Utility_DisplayArrayInTable(Fertiliser_SourceData.Fertiliser_Products_Data3(), FertiliserProducts[[#Headers],[Company]],61)</f>
        <v/>
      </c>
      <c r="I154" s="146" t="str" cm="1">
        <f t="array" ref="I154">Common_InputFunctions.Utility_DisplayArrayInTable(Fertiliser_SourceData.Fertiliser_Products_Data3(), FertiliserProducts[[#Headers],[Company]],61)</f>
        <v/>
      </c>
      <c r="J154" s="146" t="str" cm="1">
        <f t="array" ref="J154">Common_InputFunctions.Utility_DisplayArrayInTable(Fertiliser_SourceData.Fertiliser_Products_Data3(), FertiliserProducts[[#Headers],[Company]],61)</f>
        <v/>
      </c>
      <c r="K154" s="146" cm="1">
        <f t="array" ref="K154">Common_InputFunctions.Utility_DisplayArrayInTable(Fertiliser_SourceData.Fertiliser_Products_Data3(), FertiliserProducts[[#Headers],[Company]],61)</f>
        <v>12</v>
      </c>
      <c r="L154" s="146" cm="1">
        <f t="array" ref="L154">Common_InputFunctions.Utility_DisplayArrayInTable(Fertiliser_SourceData.Fertiliser_Products_Data3(), FertiliserProducts[[#Headers],[Company]],61)</f>
        <v>5</v>
      </c>
      <c r="M154" s="146" cm="1">
        <f t="array" ref="M154">Common_InputFunctions.Utility_DisplayArrayInTable(Fertiliser_SourceData.Fertiliser_Products_Data3(), FertiliserProducts[[#Headers],[Company]],61)</f>
        <v>14</v>
      </c>
      <c r="N154" s="146" cm="1">
        <f t="array" ref="N154">Common_InputFunctions.Utility_DisplayArrayInTable(Fertiliser_SourceData.Fertiliser_Products_Data3(), FertiliserProducts[[#Headers],[Company]],61)</f>
        <v>9.6999999999999993</v>
      </c>
      <c r="O154" s="146" t="str" cm="1">
        <f t="array" ref="O154">Common_InputFunctions.Utility_DisplayArrayInTable(Fertiliser_SourceData.Fertiliser_Products_Data3(), FertiliserProducts[[#Headers],[Company]],61)</f>
        <v>Potassium - Generic</v>
      </c>
      <c r="P154" s="146" cm="1">
        <f t="array" ref="P154">Common_InputFunctions.Utility_DisplayArrayInTable(Fertiliser_SourceData.Fertiliser_Products_Data3(), FertiliserProducts[[#Headers],[Company]],61)</f>
        <v>0.14000000000000001</v>
      </c>
      <c r="Q154" s="146" t="str" cm="1">
        <f t="array" ref="Q154">Common_InputFunctions.Utility_DisplayArrayInTable(Fertiliser_SourceData.Fertiliser_Products_Data3(), FertiliserProducts[[#Headers],[Company]],61)</f>
        <v>Sulfur - Generic</v>
      </c>
      <c r="R154" s="146" cm="1">
        <f t="array" ref="R154">Common_InputFunctions.Utility_DisplayArrayInTable(Fertiliser_SourceData.Fertiliser_Products_Data3(), FertiliserProducts[[#Headers],[Company]],61)</f>
        <v>9.7000000000000003E-2</v>
      </c>
      <c r="S154" s="146" t="str" cm="1">
        <f t="array" ref="S154">Common_InputFunctions.Utility_DisplayArrayInTable(Fertiliser_SourceData.Fertiliser_Products_Data3(), FertiliserProducts[[#Headers],[Company]],61)</f>
        <v>Nitrogen - Nitrate</v>
      </c>
      <c r="T154" s="146" cm="1">
        <f t="array" ref="T154">Common_InputFunctions.Utility_DisplayArrayInTable(Fertiliser_SourceData.Fertiliser_Products_Data3(), FertiliserProducts[[#Headers],[Company]],61)</f>
        <v>0.06</v>
      </c>
      <c r="U154" s="146" t="str" cm="1">
        <f t="array" ref="U154">Common_InputFunctions.Utility_DisplayArrayInTable(Fertiliser_SourceData.Fertiliser_Products_Data3(), FertiliserProducts[[#Headers],[Company]],61)</f>
        <v>Nitrogen - Ammoniacal</v>
      </c>
      <c r="V154" s="146" cm="1">
        <f t="array" ref="V154">Common_InputFunctions.Utility_DisplayArrayInTable(Fertiliser_SourceData.Fertiliser_Products_Data3(), FertiliserProducts[[#Headers],[Company]],61)</f>
        <v>0.06</v>
      </c>
      <c r="W154" s="146" t="str" cm="1">
        <f t="array" ref="W154">Common_InputFunctions.Utility_DisplayArrayInTable(Fertiliser_SourceData.Fertiliser_Products_Data3(), FertiliserProducts[[#Headers],[Company]],61)</f>
        <v>Phosphorus - Generic</v>
      </c>
      <c r="X154" s="146" cm="1">
        <f t="array" ref="X154">Common_InputFunctions.Utility_DisplayArrayInTable(Fertiliser_SourceData.Fertiliser_Products_Data3(), FertiliserProducts[[#Headers],[Company]],61)</f>
        <v>0.05</v>
      </c>
      <c r="Y154" s="146" t="str" cm="1">
        <f t="array" ref="Y154">Common_InputFunctions.Utility_DisplayArrayInTable(Fertiliser_SourceData.Fertiliser_Products_Data3(), FertiliserProducts[[#Headers],[Company]],61)</f>
        <v>Calcium</v>
      </c>
      <c r="Z154" s="146" cm="1">
        <f t="array" ref="Z154">Common_InputFunctions.Utility_DisplayArrayInTable(Fertiliser_SourceData.Fertiliser_Products_Data3(), FertiliserProducts[[#Headers],[Company]],61)</f>
        <v>3.1E-2</v>
      </c>
      <c r="AA154" s="146" t="str" cm="1">
        <f t="array" ref="AA154">Common_InputFunctions.Utility_DisplayArrayInTable(Fertiliser_SourceData.Fertiliser_Products_Data3(), FertiliserProducts[[#Headers],[Company]],61)</f>
        <v>Magnesium</v>
      </c>
      <c r="AB154" s="146" cm="1">
        <f t="array" ref="AB154">Common_InputFunctions.Utility_DisplayArrayInTable(Fertiliser_SourceData.Fertiliser_Products_Data3(), FertiliserProducts[[#Headers],[Company]],61)</f>
        <v>1.2E-2</v>
      </c>
      <c r="AC154" s="146" t="str" cm="1">
        <f t="array" ref="AC154">Common_InputFunctions.Utility_DisplayArrayInTable(Fertiliser_SourceData.Fertiliser_Products_Data3(), FertiliserProducts[[#Headers],[Company]],61)</f>
        <v>Zinc</v>
      </c>
      <c r="AD154" s="146" cm="1">
        <f t="array" ref="AD154">Common_InputFunctions.Utility_DisplayArrayInTable(Fertiliser_SourceData.Fertiliser_Products_Data3(), FertiliserProducts[[#Headers],[Company]],61)</f>
        <v>1E-3</v>
      </c>
      <c r="AE154" s="146" t="str" cm="1">
        <f t="array" ref="AE154">Common_InputFunctions.Utility_DisplayArrayInTable(Fertiliser_SourceData.Fertiliser_Products_Data3(), FertiliserProducts[[#Headers],[Company]],61)</f>
        <v>Boron</v>
      </c>
      <c r="AF154" s="146" cm="1">
        <f t="array" ref="AF154">Common_InputFunctions.Utility_DisplayArrayInTable(Fertiliser_SourceData.Fertiliser_Products_Data3(), FertiliserProducts[[#Headers],[Company]],61)</f>
        <v>2.0000000000000001E-4</v>
      </c>
      <c r="AG154" s="146" t="str" cm="1">
        <f t="array" ref="AG154">Common_InputFunctions.Utility_DisplayArrayInTable(Fertiliser_SourceData.Fertiliser_Products_Data3(), FertiliserProducts[[#Headers],[Company]],61)</f>
        <v/>
      </c>
      <c r="AH154" s="146" t="str" cm="1">
        <f t="array" ref="AH154">Common_InputFunctions.Utility_DisplayArrayInTable(Fertiliser_SourceData.Fertiliser_Products_Data3(), FertiliserProducts[[#Headers],[Company]],61)</f>
        <v/>
      </c>
      <c r="AK154" s="1"/>
    </row>
    <row r="155" spans="1:39" ht="20.100000000000001" customHeight="1" x14ac:dyDescent="0.2">
      <c r="D155" s="146" t="str" cm="1">
        <f t="array" ref="D155">Common_InputFunctions.Utility_DisplayArrayInTable(Fertiliser_SourceData.Fertiliser_Products_Data3(), FertiliserProducts[[#Headers],[Company]],61)</f>
        <v>Campbells fertilisers Australia</v>
      </c>
      <c r="E155" s="146" t="str" cm="1">
        <f t="array" ref="E155">Common_InputFunctions.Utility_DisplayArrayInTable(Fertiliser_SourceData.Fertiliser_Products_Data3(), FertiliserProducts[[#Headers],[Company]],61)</f>
        <v>Platinum Plus</v>
      </c>
      <c r="F155" s="146" t="str" cm="1">
        <f t="array" ref="F155">Common_InputFunctions.Utility_DisplayArrayInTable(Fertiliser_SourceData.Fertiliser_Products_Data3(), FertiliserProducts[[#Headers],[Company]],61)</f>
        <v>kg</v>
      </c>
      <c r="G155" s="146" cm="1">
        <f t="array" ref="G155">Common_InputFunctions.Utility_DisplayArrayInTable(Fertiliser_SourceData.Fertiliser_Products_Data3(), FertiliserProducts[[#Headers],[Company]],61)</f>
        <v>1</v>
      </c>
      <c r="H155" s="146" t="str" cm="1">
        <f t="array" ref="H155">Common_InputFunctions.Utility_DisplayArrayInTable(Fertiliser_SourceData.Fertiliser_Products_Data3(), FertiliserProducts[[#Headers],[Company]],61)</f>
        <v/>
      </c>
      <c r="I155" s="146" t="str" cm="1">
        <f t="array" ref="I155">Common_InputFunctions.Utility_DisplayArrayInTable(Fertiliser_SourceData.Fertiliser_Products_Data3(), FertiliserProducts[[#Headers],[Company]],61)</f>
        <v/>
      </c>
      <c r="J155" s="146" t="str" cm="1">
        <f t="array" ref="J155">Common_InputFunctions.Utility_DisplayArrayInTable(Fertiliser_SourceData.Fertiliser_Products_Data3(), FertiliserProducts[[#Headers],[Company]],61)</f>
        <v/>
      </c>
      <c r="K155" s="146" cm="1">
        <f t="array" ref="K155">Common_InputFunctions.Utility_DisplayArrayInTable(Fertiliser_SourceData.Fertiliser_Products_Data3(), FertiliserProducts[[#Headers],[Company]],61)</f>
        <v>10</v>
      </c>
      <c r="L155" s="146" cm="1">
        <f t="array" ref="L155">Common_InputFunctions.Utility_DisplayArrayInTable(Fertiliser_SourceData.Fertiliser_Products_Data3(), FertiliserProducts[[#Headers],[Company]],61)</f>
        <v>11</v>
      </c>
      <c r="M155" s="146" cm="1">
        <f t="array" ref="M155">Common_InputFunctions.Utility_DisplayArrayInTable(Fertiliser_SourceData.Fertiliser_Products_Data3(), FertiliserProducts[[#Headers],[Company]],61)</f>
        <v>10</v>
      </c>
      <c r="N155" s="146" cm="1">
        <f t="array" ref="N155">Common_InputFunctions.Utility_DisplayArrayInTable(Fertiliser_SourceData.Fertiliser_Products_Data3(), FertiliserProducts[[#Headers],[Company]],61)</f>
        <v>6</v>
      </c>
      <c r="O155" s="146" t="str" cm="1">
        <f t="array" ref="O155">Common_InputFunctions.Utility_DisplayArrayInTable(Fertiliser_SourceData.Fertiliser_Products_Data3(), FertiliserProducts[[#Headers],[Company]],61)</f>
        <v>Phosphorus - Generic</v>
      </c>
      <c r="P155" s="146" cm="1">
        <f t="array" ref="P155">Common_InputFunctions.Utility_DisplayArrayInTable(Fertiliser_SourceData.Fertiliser_Products_Data3(), FertiliserProducts[[#Headers],[Company]],61)</f>
        <v>0.11</v>
      </c>
      <c r="Q155" s="146" t="str" cm="1">
        <f t="array" ref="Q155">Common_InputFunctions.Utility_DisplayArrayInTable(Fertiliser_SourceData.Fertiliser_Products_Data3(), FertiliserProducts[[#Headers],[Company]],61)</f>
        <v>Potassium - Generic</v>
      </c>
      <c r="R155" s="146" cm="1">
        <f t="array" ref="R155">Common_InputFunctions.Utility_DisplayArrayInTable(Fertiliser_SourceData.Fertiliser_Products_Data3(), FertiliserProducts[[#Headers],[Company]],61)</f>
        <v>0.1</v>
      </c>
      <c r="S155" s="146" t="str" cm="1">
        <f t="array" ref="S155">Common_InputFunctions.Utility_DisplayArrayInTable(Fertiliser_SourceData.Fertiliser_Products_Data3(), FertiliserProducts[[#Headers],[Company]],61)</f>
        <v>Sulfur - Generic</v>
      </c>
      <c r="T155" s="146" cm="1">
        <f t="array" ref="T155">Common_InputFunctions.Utility_DisplayArrayInTable(Fertiliser_SourceData.Fertiliser_Products_Data3(), FertiliserProducts[[#Headers],[Company]],61)</f>
        <v>0.06</v>
      </c>
      <c r="U155" s="146" t="str" cm="1">
        <f t="array" ref="U155">Common_InputFunctions.Utility_DisplayArrayInTable(Fertiliser_SourceData.Fertiliser_Products_Data3(), FertiliserProducts[[#Headers],[Company]],61)</f>
        <v>Nitrogen - Nitrate</v>
      </c>
      <c r="V155" s="146" cm="1">
        <f t="array" ref="V155">Common_InputFunctions.Utility_DisplayArrayInTable(Fertiliser_SourceData.Fertiliser_Products_Data3(), FertiliserProducts[[#Headers],[Company]],61)</f>
        <v>0.05</v>
      </c>
      <c r="W155" s="146" t="str" cm="1">
        <f t="array" ref="W155">Common_InputFunctions.Utility_DisplayArrayInTable(Fertiliser_SourceData.Fertiliser_Products_Data3(), FertiliserProducts[[#Headers],[Company]],61)</f>
        <v>Nitrogen - Ammoniacal</v>
      </c>
      <c r="X155" s="146" cm="1">
        <f t="array" ref="X155">Common_InputFunctions.Utility_DisplayArrayInTable(Fertiliser_SourceData.Fertiliser_Products_Data3(), FertiliserProducts[[#Headers],[Company]],61)</f>
        <v>0.05</v>
      </c>
      <c r="Y155" s="146" t="str" cm="1">
        <f t="array" ref="Y155">Common_InputFunctions.Utility_DisplayArrayInTable(Fertiliser_SourceData.Fertiliser_Products_Data3(), FertiliserProducts[[#Headers],[Company]],61)</f>
        <v>Calcium</v>
      </c>
      <c r="Z155" s="146" cm="1">
        <f t="array" ref="Z155">Common_InputFunctions.Utility_DisplayArrayInTable(Fertiliser_SourceData.Fertiliser_Products_Data3(), FertiliserProducts[[#Headers],[Company]],61)</f>
        <v>4.2999999999999997E-2</v>
      </c>
      <c r="AA155" s="146" t="str" cm="1">
        <f t="array" ref="AA155">Common_InputFunctions.Utility_DisplayArrayInTable(Fertiliser_SourceData.Fertiliser_Products_Data3(), FertiliserProducts[[#Headers],[Company]],61)</f>
        <v>Magnesium</v>
      </c>
      <c r="AB155" s="146" cm="1">
        <f t="array" ref="AB155">Common_InputFunctions.Utility_DisplayArrayInTable(Fertiliser_SourceData.Fertiliser_Products_Data3(), FertiliserProducts[[#Headers],[Company]],61)</f>
        <v>1.2E-2</v>
      </c>
      <c r="AC155" s="146" t="str" cm="1">
        <f t="array" ref="AC155">Common_InputFunctions.Utility_DisplayArrayInTable(Fertiliser_SourceData.Fertiliser_Products_Data3(), FertiliserProducts[[#Headers],[Company]],61)</f>
        <v>Zinc</v>
      </c>
      <c r="AD155" s="146" cm="1">
        <f t="array" ref="AD155">Common_InputFunctions.Utility_DisplayArrayInTable(Fertiliser_SourceData.Fertiliser_Products_Data3(), FertiliserProducts[[#Headers],[Company]],61)</f>
        <v>3.5999999999999999E-3</v>
      </c>
      <c r="AE155" s="146" t="str" cm="1">
        <f t="array" ref="AE155">Common_InputFunctions.Utility_DisplayArrayInTable(Fertiliser_SourceData.Fertiliser_Products_Data3(), FertiliserProducts[[#Headers],[Company]],61)</f>
        <v>Boron</v>
      </c>
      <c r="AF155" s="146" cm="1">
        <f t="array" ref="AF155">Common_InputFunctions.Utility_DisplayArrayInTable(Fertiliser_SourceData.Fertiliser_Products_Data3(), FertiliserProducts[[#Headers],[Company]],61)</f>
        <v>1E-3</v>
      </c>
      <c r="AG155" s="146" t="str" cm="1">
        <f t="array" ref="AG155">Common_InputFunctions.Utility_DisplayArrayInTable(Fertiliser_SourceData.Fertiliser_Products_Data3(), FertiliserProducts[[#Headers],[Company]],61)</f>
        <v/>
      </c>
      <c r="AH155" s="146" t="str" cm="1">
        <f t="array" ref="AH155">Common_InputFunctions.Utility_DisplayArrayInTable(Fertiliser_SourceData.Fertiliser_Products_Data3(), FertiliserProducts[[#Headers],[Company]],61)</f>
        <v/>
      </c>
      <c r="AK155" s="1"/>
    </row>
    <row r="156" spans="1:39" ht="20.100000000000001" customHeight="1" x14ac:dyDescent="0.2">
      <c r="A156" s="79" t="str">
        <f>HYPERLINK("#A1", "▲ Back to top")</f>
        <v>▲ Back to top</v>
      </c>
      <c r="D156" s="146" t="str" cm="1">
        <f t="array" ref="D156">Common_InputFunctions.Utility_DisplayArrayInTable(Fertiliser_SourceData.Fertiliser_Products_Data3(), FertiliserProducts[[#Headers],[Company]],61)</f>
        <v>Campbells fertilisers Australia</v>
      </c>
      <c r="E156" s="146" t="str" cm="1">
        <f t="array" ref="E156">Common_InputFunctions.Utility_DisplayArrayInTable(Fertiliser_SourceData.Fertiliser_Products_Data3(), FertiliserProducts[[#Headers],[Company]],61)</f>
        <v>Tropika</v>
      </c>
      <c r="F156" s="146" t="str" cm="1">
        <f t="array" ref="F156">Common_InputFunctions.Utility_DisplayArrayInTable(Fertiliser_SourceData.Fertiliser_Products_Data3(), FertiliserProducts[[#Headers],[Company]],61)</f>
        <v>kg</v>
      </c>
      <c r="G156" s="146" cm="1">
        <f t="array" ref="G156">Common_InputFunctions.Utility_DisplayArrayInTable(Fertiliser_SourceData.Fertiliser_Products_Data3(), FertiliserProducts[[#Headers],[Company]],61)</f>
        <v>1</v>
      </c>
      <c r="H156" s="146" t="str" cm="1">
        <f t="array" ref="H156">Common_InputFunctions.Utility_DisplayArrayInTable(Fertiliser_SourceData.Fertiliser_Products_Data3(), FertiliserProducts[[#Headers],[Company]],61)</f>
        <v/>
      </c>
      <c r="I156" s="146" t="str" cm="1">
        <f t="array" ref="I156">Common_InputFunctions.Utility_DisplayArrayInTable(Fertiliser_SourceData.Fertiliser_Products_Data3(), FertiliserProducts[[#Headers],[Company]],61)</f>
        <v/>
      </c>
      <c r="J156" s="146" t="str" cm="1">
        <f t="array" ref="J156">Common_InputFunctions.Utility_DisplayArrayInTable(Fertiliser_SourceData.Fertiliser_Products_Data3(), FertiliserProducts[[#Headers],[Company]],61)</f>
        <v/>
      </c>
      <c r="K156" s="146" cm="1">
        <f t="array" ref="K156">Common_InputFunctions.Utility_DisplayArrayInTable(Fertiliser_SourceData.Fertiliser_Products_Data3(), FertiliserProducts[[#Headers],[Company]],61)</f>
        <v>11</v>
      </c>
      <c r="L156" s="146" cm="1">
        <f t="array" ref="L156">Common_InputFunctions.Utility_DisplayArrayInTable(Fertiliser_SourceData.Fertiliser_Products_Data3(), FertiliserProducts[[#Headers],[Company]],61)</f>
        <v>2.6</v>
      </c>
      <c r="M156" s="146" cm="1">
        <f t="array" ref="M156">Common_InputFunctions.Utility_DisplayArrayInTable(Fertiliser_SourceData.Fertiliser_Products_Data3(), FertiliserProducts[[#Headers],[Company]],61)</f>
        <v>20.8</v>
      </c>
      <c r="N156" s="146" cm="1">
        <f t="array" ref="N156">Common_InputFunctions.Utility_DisplayArrayInTable(Fertiliser_SourceData.Fertiliser_Products_Data3(), FertiliserProducts[[#Headers],[Company]],61)</f>
        <v>4</v>
      </c>
      <c r="O156" s="146" t="str" cm="1">
        <f t="array" ref="O156">Common_InputFunctions.Utility_DisplayArrayInTable(Fertiliser_SourceData.Fertiliser_Products_Data3(), FertiliserProducts[[#Headers],[Company]],61)</f>
        <v>Nitrogen - Nitrate</v>
      </c>
      <c r="P156" s="146" cm="1">
        <f t="array" ref="P156">Common_InputFunctions.Utility_DisplayArrayInTable(Fertiliser_SourceData.Fertiliser_Products_Data3(), FertiliserProducts[[#Headers],[Company]],61)</f>
        <v>5.5E-2</v>
      </c>
      <c r="Q156" s="146" t="str" cm="1">
        <f t="array" ref="Q156">Common_InputFunctions.Utility_DisplayArrayInTable(Fertiliser_SourceData.Fertiliser_Products_Data3(), FertiliserProducts[[#Headers],[Company]],61)</f>
        <v>Nitrogen - Ammoniacal</v>
      </c>
      <c r="R156" s="146" cm="1">
        <f t="array" ref="R156">Common_InputFunctions.Utility_DisplayArrayInTable(Fertiliser_SourceData.Fertiliser_Products_Data3(), FertiliserProducts[[#Headers],[Company]],61)</f>
        <v>5.5E-2</v>
      </c>
      <c r="S156" s="146" t="str" cm="1">
        <f t="array" ref="S156">Common_InputFunctions.Utility_DisplayArrayInTable(Fertiliser_SourceData.Fertiliser_Products_Data3(), FertiliserProducts[[#Headers],[Company]],61)</f>
        <v>Phosphorus - Generic</v>
      </c>
      <c r="T156" s="146" cm="1">
        <f t="array" ref="T156">Common_InputFunctions.Utility_DisplayArrayInTable(Fertiliser_SourceData.Fertiliser_Products_Data3(), FertiliserProducts[[#Headers],[Company]],61)</f>
        <v>2.5999999999999999E-2</v>
      </c>
      <c r="U156" s="146" t="str" cm="1">
        <f t="array" ref="U156">Common_InputFunctions.Utility_DisplayArrayInTable(Fertiliser_SourceData.Fertiliser_Products_Data3(), FertiliserProducts[[#Headers],[Company]],61)</f>
        <v>Potassium - Generic</v>
      </c>
      <c r="V156" s="146" cm="1">
        <f t="array" ref="V156">Common_InputFunctions.Utility_DisplayArrayInTable(Fertiliser_SourceData.Fertiliser_Products_Data3(), FertiliserProducts[[#Headers],[Company]],61)</f>
        <v>0.20799999999999999</v>
      </c>
      <c r="W156" s="146" t="str" cm="1">
        <f t="array" ref="W156">Common_InputFunctions.Utility_DisplayArrayInTable(Fertiliser_SourceData.Fertiliser_Products_Data3(), FertiliserProducts[[#Headers],[Company]],61)</f>
        <v>Sulfur - Generic</v>
      </c>
      <c r="X156" s="146" cm="1">
        <f t="array" ref="X156">Common_InputFunctions.Utility_DisplayArrayInTable(Fertiliser_SourceData.Fertiliser_Products_Data3(), FertiliserProducts[[#Headers],[Company]],61)</f>
        <v>0.04</v>
      </c>
      <c r="Y156" s="146" t="str" cm="1">
        <f t="array" ref="Y156">Common_InputFunctions.Utility_DisplayArrayInTable(Fertiliser_SourceData.Fertiliser_Products_Data3(), FertiliserProducts[[#Headers],[Company]],61)</f>
        <v>Magnesium</v>
      </c>
      <c r="Z156" s="146" cm="1">
        <f t="array" ref="Z156">Common_InputFunctions.Utility_DisplayArrayInTable(Fertiliser_SourceData.Fertiliser_Products_Data3(), FertiliserProducts[[#Headers],[Company]],61)</f>
        <v>2.4E-2</v>
      </c>
      <c r="AA156" s="146" t="str" cm="1">
        <f t="array" ref="AA156">Common_InputFunctions.Utility_DisplayArrayInTable(Fertiliser_SourceData.Fertiliser_Products_Data3(), FertiliserProducts[[#Headers],[Company]],61)</f>
        <v/>
      </c>
      <c r="AB156" s="146" t="str" cm="1">
        <f t="array" ref="AB156">Common_InputFunctions.Utility_DisplayArrayInTable(Fertiliser_SourceData.Fertiliser_Products_Data3(), FertiliserProducts[[#Headers],[Company]],61)</f>
        <v/>
      </c>
      <c r="AC156" s="146" t="str" cm="1">
        <f t="array" ref="AC156">Common_InputFunctions.Utility_DisplayArrayInTable(Fertiliser_SourceData.Fertiliser_Products_Data3(), FertiliserProducts[[#Headers],[Company]],61)</f>
        <v/>
      </c>
      <c r="AD156" s="146" t="str" cm="1">
        <f t="array" ref="AD156">Common_InputFunctions.Utility_DisplayArrayInTable(Fertiliser_SourceData.Fertiliser_Products_Data3(), FertiliserProducts[[#Headers],[Company]],61)</f>
        <v/>
      </c>
      <c r="AE156" s="146" t="str" cm="1">
        <f t="array" ref="AE156">Common_InputFunctions.Utility_DisplayArrayInTable(Fertiliser_SourceData.Fertiliser_Products_Data3(), FertiliserProducts[[#Headers],[Company]],61)</f>
        <v/>
      </c>
      <c r="AF156" s="146" t="str" cm="1">
        <f t="array" ref="AF156">Common_InputFunctions.Utility_DisplayArrayInTable(Fertiliser_SourceData.Fertiliser_Products_Data3(), FertiliserProducts[[#Headers],[Company]],61)</f>
        <v/>
      </c>
      <c r="AG156" s="146" t="str" cm="1">
        <f t="array" ref="AG156">Common_InputFunctions.Utility_DisplayArrayInTable(Fertiliser_SourceData.Fertiliser_Products_Data3(), FertiliserProducts[[#Headers],[Company]],61)</f>
        <v/>
      </c>
      <c r="AH156" s="146" t="str" cm="1">
        <f t="array" ref="AH156">Common_InputFunctions.Utility_DisplayArrayInTable(Fertiliser_SourceData.Fertiliser_Products_Data3(), FertiliserProducts[[#Headers],[Company]],61)</f>
        <v/>
      </c>
      <c r="AK156" s="1"/>
    </row>
    <row r="157" spans="1:39" ht="20.100000000000001" customHeight="1" x14ac:dyDescent="0.2">
      <c r="D157" s="146" t="str" cm="1">
        <f t="array" ref="D157">Common_InputFunctions.Utility_DisplayArrayInTable(Fertiliser_SourceData.Fertiliser_Products_Data3(), FertiliserProducts[[#Headers],[Company]],61)</f>
        <v>Campbells fertilisers Australia</v>
      </c>
      <c r="E157" s="146" t="str" cm="1">
        <f t="array" ref="E157">Common_InputFunctions.Utility_DisplayArrayInTable(Fertiliser_SourceData.Fertiliser_Products_Data3(), FertiliserProducts[[#Headers],[Company]],61)</f>
        <v>Rustica Nergetic</v>
      </c>
      <c r="F157" s="146" t="str" cm="1">
        <f t="array" ref="F157">Common_InputFunctions.Utility_DisplayArrayInTable(Fertiliser_SourceData.Fertiliser_Products_Data3(), FertiliserProducts[[#Headers],[Company]],61)</f>
        <v>kg</v>
      </c>
      <c r="G157" s="146" cm="1">
        <f t="array" ref="G157">Common_InputFunctions.Utility_DisplayArrayInTable(Fertiliser_SourceData.Fertiliser_Products_Data3(), FertiliserProducts[[#Headers],[Company]],61)</f>
        <v>1</v>
      </c>
      <c r="H157" s="146" t="str" cm="1">
        <f t="array" ref="H157">Common_InputFunctions.Utility_DisplayArrayInTable(Fertiliser_SourceData.Fertiliser_Products_Data3(), FertiliserProducts[[#Headers],[Company]],61)</f>
        <v/>
      </c>
      <c r="I157" s="146" t="str" cm="1">
        <f t="array" ref="I157">Common_InputFunctions.Utility_DisplayArrayInTable(Fertiliser_SourceData.Fertiliser_Products_Data3(), FertiliserProducts[[#Headers],[Company]],61)</f>
        <v/>
      </c>
      <c r="J157" s="146" t="str" cm="1">
        <f t="array" ref="J157">Common_InputFunctions.Utility_DisplayArrayInTable(Fertiliser_SourceData.Fertiliser_Products_Data3(), FertiliserProducts[[#Headers],[Company]],61)</f>
        <v/>
      </c>
      <c r="K157" s="146" cm="1">
        <f t="array" ref="K157">Common_InputFunctions.Utility_DisplayArrayInTable(Fertiliser_SourceData.Fertiliser_Products_Data3(), FertiliserProducts[[#Headers],[Company]],61)</f>
        <v>12</v>
      </c>
      <c r="L157" s="146" cm="1">
        <f t="array" ref="L157">Common_InputFunctions.Utility_DisplayArrayInTable(Fertiliser_SourceData.Fertiliser_Products_Data3(), FertiliserProducts[[#Headers],[Company]],61)</f>
        <v>5.2</v>
      </c>
      <c r="M157" s="146" cm="1">
        <f t="array" ref="M157">Common_InputFunctions.Utility_DisplayArrayInTable(Fertiliser_SourceData.Fertiliser_Products_Data3(), FertiliserProducts[[#Headers],[Company]],61)</f>
        <v>14.1</v>
      </c>
      <c r="N157" s="146" cm="1">
        <f t="array" ref="N157">Common_InputFunctions.Utility_DisplayArrayInTable(Fertiliser_SourceData.Fertiliser_Products_Data3(), FertiliserProducts[[#Headers],[Company]],61)</f>
        <v>9.6</v>
      </c>
      <c r="O157" s="146" t="str" cm="1">
        <f t="array" ref="O157">Common_InputFunctions.Utility_DisplayArrayInTable(Fertiliser_SourceData.Fertiliser_Products_Data3(), FertiliserProducts[[#Headers],[Company]],61)</f>
        <v>Potassium - Generic</v>
      </c>
      <c r="P157" s="146" cm="1">
        <f t="array" ref="P157">Common_InputFunctions.Utility_DisplayArrayInTable(Fertiliser_SourceData.Fertiliser_Products_Data3(), FertiliserProducts[[#Headers],[Company]],61)</f>
        <v>0.14099999999999999</v>
      </c>
      <c r="Q157" s="146" t="str" cm="1">
        <f t="array" ref="Q157">Common_InputFunctions.Utility_DisplayArrayInTable(Fertiliser_SourceData.Fertiliser_Products_Data3(), FertiliserProducts[[#Headers],[Company]],61)</f>
        <v>Sulfur - Generic</v>
      </c>
      <c r="R157" s="146" cm="1">
        <f t="array" ref="R157">Common_InputFunctions.Utility_DisplayArrayInTable(Fertiliser_SourceData.Fertiliser_Products_Data3(), FertiliserProducts[[#Headers],[Company]],61)</f>
        <v>9.6000000000000002E-2</v>
      </c>
      <c r="S157" s="146" t="str" cm="1">
        <f t="array" ref="S157">Common_InputFunctions.Utility_DisplayArrayInTable(Fertiliser_SourceData.Fertiliser_Products_Data3(), FertiliserProducts[[#Headers],[Company]],61)</f>
        <v>Nitrogen - Nitrate</v>
      </c>
      <c r="T157" s="146" cm="1">
        <f t="array" ref="T157">Common_InputFunctions.Utility_DisplayArrayInTable(Fertiliser_SourceData.Fertiliser_Products_Data3(), FertiliserProducts[[#Headers],[Company]],61)</f>
        <v>0.06</v>
      </c>
      <c r="U157" s="146" t="str" cm="1">
        <f t="array" ref="U157">Common_InputFunctions.Utility_DisplayArrayInTable(Fertiliser_SourceData.Fertiliser_Products_Data3(), FertiliserProducts[[#Headers],[Company]],61)</f>
        <v>Nitrogen - Ammoniacal</v>
      </c>
      <c r="V157" s="146" cm="1">
        <f t="array" ref="V157">Common_InputFunctions.Utility_DisplayArrayInTable(Fertiliser_SourceData.Fertiliser_Products_Data3(), FertiliserProducts[[#Headers],[Company]],61)</f>
        <v>0.06</v>
      </c>
      <c r="W157" s="146" t="str" cm="1">
        <f t="array" ref="W157">Common_InputFunctions.Utility_DisplayArrayInTable(Fertiliser_SourceData.Fertiliser_Products_Data3(), FertiliserProducts[[#Headers],[Company]],61)</f>
        <v>Phosphorus - Generic</v>
      </c>
      <c r="X157" s="146" cm="1">
        <f t="array" ref="X157">Common_InputFunctions.Utility_DisplayArrayInTable(Fertiliser_SourceData.Fertiliser_Products_Data3(), FertiliserProducts[[#Headers],[Company]],61)</f>
        <v>5.1999999999999998E-2</v>
      </c>
      <c r="Y157" s="146" t="str" cm="1">
        <f t="array" ref="Y157">Common_InputFunctions.Utility_DisplayArrayInTable(Fertiliser_SourceData.Fertiliser_Products_Data3(), FertiliserProducts[[#Headers],[Company]],61)</f>
        <v>Magnesium</v>
      </c>
      <c r="Z157" s="146" cm="1">
        <f t="array" ref="Z157">Common_InputFunctions.Utility_DisplayArrayInTable(Fertiliser_SourceData.Fertiliser_Products_Data3(), FertiliserProducts[[#Headers],[Company]],61)</f>
        <v>1.2E-2</v>
      </c>
      <c r="AA157" s="146" t="str" cm="1">
        <f t="array" ref="AA157">Common_InputFunctions.Utility_DisplayArrayInTable(Fertiliser_SourceData.Fertiliser_Products_Data3(), FertiliserProducts[[#Headers],[Company]],61)</f>
        <v>Zinc</v>
      </c>
      <c r="AB157" s="146" cm="1">
        <f t="array" ref="AB157">Common_InputFunctions.Utility_DisplayArrayInTable(Fertiliser_SourceData.Fertiliser_Products_Data3(), FertiliserProducts[[#Headers],[Company]],61)</f>
        <v>8.0000000000000004E-4</v>
      </c>
      <c r="AC157" s="146" t="str" cm="1">
        <f t="array" ref="AC157">Common_InputFunctions.Utility_DisplayArrayInTable(Fertiliser_SourceData.Fertiliser_Products_Data3(), FertiliserProducts[[#Headers],[Company]],61)</f>
        <v>Iron</v>
      </c>
      <c r="AD157" s="146" cm="1">
        <f t="array" ref="AD157">Common_InputFunctions.Utility_DisplayArrayInTable(Fertiliser_SourceData.Fertiliser_Products_Data3(), FertiliserProducts[[#Headers],[Company]],61)</f>
        <v>6.9999999999999999E-4</v>
      </c>
      <c r="AE157" s="146" t="str" cm="1">
        <f t="array" ref="AE157">Common_InputFunctions.Utility_DisplayArrayInTable(Fertiliser_SourceData.Fertiliser_Products_Data3(), FertiliserProducts[[#Headers],[Company]],61)</f>
        <v>Manganese</v>
      </c>
      <c r="AF157" s="146" cm="1">
        <f t="array" ref="AF157">Common_InputFunctions.Utility_DisplayArrayInTable(Fertiliser_SourceData.Fertiliser_Products_Data3(), FertiliserProducts[[#Headers],[Company]],61)</f>
        <v>5.9999999999999995E-4</v>
      </c>
      <c r="AG157" s="146" t="str" cm="1">
        <f t="array" ref="AG157">Common_InputFunctions.Utility_DisplayArrayInTable(Fertiliser_SourceData.Fertiliser_Products_Data3(), FertiliserProducts[[#Headers],[Company]],61)</f>
        <v>Boron</v>
      </c>
      <c r="AH157" s="146" cm="1">
        <f t="array" ref="AH157">Common_InputFunctions.Utility_DisplayArrayInTable(Fertiliser_SourceData.Fertiliser_Products_Data3(), FertiliserProducts[[#Headers],[Company]],61)</f>
        <v>2.0000000000000001E-4</v>
      </c>
      <c r="AK157" s="1"/>
    </row>
    <row r="158" spans="1:39" ht="20.100000000000001" customHeight="1" x14ac:dyDescent="0.2">
      <c r="D158" s="146" t="str" cm="1">
        <f t="array" ref="D158">Common_InputFunctions.Utility_DisplayArrayInTable(Fertiliser_SourceData.Fertiliser_Products_Data3(), FertiliserProducts[[#Headers],[Company]],61)</f>
        <v>Campbells fertilisers Australia</v>
      </c>
      <c r="E158" s="146" t="str" cm="1">
        <f t="array" ref="E158">Common_InputFunctions.Utility_DisplayArrayInTable(Fertiliser_SourceData.Fertiliser_Products_Data3(), FertiliserProducts[[#Headers],[Company]],61)</f>
        <v>Quick-N Nergetic</v>
      </c>
      <c r="F158" s="146" t="str" cm="1">
        <f t="array" ref="F158">Common_InputFunctions.Utility_DisplayArrayInTable(Fertiliser_SourceData.Fertiliser_Products_Data3(), FertiliserProducts[[#Headers],[Company]],61)</f>
        <v>kg</v>
      </c>
      <c r="G158" s="146" cm="1">
        <f t="array" ref="G158">Common_InputFunctions.Utility_DisplayArrayInTable(Fertiliser_SourceData.Fertiliser_Products_Data3(), FertiliserProducts[[#Headers],[Company]],61)</f>
        <v>1</v>
      </c>
      <c r="H158" s="146" t="str" cm="1">
        <f t="array" ref="H158">Common_InputFunctions.Utility_DisplayArrayInTable(Fertiliser_SourceData.Fertiliser_Products_Data3(), FertiliserProducts[[#Headers],[Company]],61)</f>
        <v/>
      </c>
      <c r="I158" s="146" t="str" cm="1">
        <f t="array" ref="I158">Common_InputFunctions.Utility_DisplayArrayInTable(Fertiliser_SourceData.Fertiliser_Products_Data3(), FertiliserProducts[[#Headers],[Company]],61)</f>
        <v/>
      </c>
      <c r="J158" s="146" t="str" cm="1">
        <f t="array" ref="J158">Common_InputFunctions.Utility_DisplayArrayInTable(Fertiliser_SourceData.Fertiliser_Products_Data3(), FertiliserProducts[[#Headers],[Company]],61)</f>
        <v/>
      </c>
      <c r="K158" s="146" cm="1">
        <f t="array" ref="K158">Common_InputFunctions.Utility_DisplayArrayInTable(Fertiliser_SourceData.Fertiliser_Products_Data3(), FertiliserProducts[[#Headers],[Company]],61)</f>
        <v>25</v>
      </c>
      <c r="L158" s="146" t="str" cm="1">
        <f t="array" ref="L158">Common_InputFunctions.Utility_DisplayArrayInTable(Fertiliser_SourceData.Fertiliser_Products_Data3(), FertiliserProducts[[#Headers],[Company]],61)</f>
        <v/>
      </c>
      <c r="M158" s="146" t="str" cm="1">
        <f t="array" ref="M158">Common_InputFunctions.Utility_DisplayArrayInTable(Fertiliser_SourceData.Fertiliser_Products_Data3(), FertiliserProducts[[#Headers],[Company]],61)</f>
        <v/>
      </c>
      <c r="N158" s="146" cm="1">
        <f t="array" ref="N158">Common_InputFunctions.Utility_DisplayArrayInTable(Fertiliser_SourceData.Fertiliser_Products_Data3(), FertiliserProducts[[#Headers],[Company]],61)</f>
        <v>12.8</v>
      </c>
      <c r="O158" s="146" t="str" cm="1">
        <f t="array" ref="O158">Common_InputFunctions.Utility_DisplayArrayInTable(Fertiliser_SourceData.Fertiliser_Products_Data3(), FertiliserProducts[[#Headers],[Company]],61)</f>
        <v>Sulphate of ammonia (SOA)</v>
      </c>
      <c r="P158" s="146" cm="1">
        <f t="array" ref="P158">Common_InputFunctions.Utility_DisplayArrayInTable(Fertiliser_SourceData.Fertiliser_Products_Data3(), FertiliserProducts[[#Headers],[Company]],61)</f>
        <v>0.53333299999999995</v>
      </c>
      <c r="Q158" s="146" t="str" cm="1">
        <f t="array" ref="Q158">Common_InputFunctions.Utility_DisplayArrayInTable(Fertiliser_SourceData.Fertiliser_Products_Data3(), FertiliserProducts[[#Headers],[Company]],61)</f>
        <v>Ammonium nitrate (AN)</v>
      </c>
      <c r="R158" s="146" cm="1">
        <f t="array" ref="R158">Common_InputFunctions.Utility_DisplayArrayInTable(Fertiliser_SourceData.Fertiliser_Products_Data3(), FertiliserProducts[[#Headers],[Company]],61)</f>
        <v>0.40949600000000003</v>
      </c>
      <c r="S158" s="146" t="str" cm="1">
        <f t="array" ref="S158">Common_InputFunctions.Utility_DisplayArrayInTable(Fertiliser_SourceData.Fertiliser_Products_Data3(), FertiliserProducts[[#Headers],[Company]],61)</f>
        <v>Zinc</v>
      </c>
      <c r="T158" s="146" cm="1">
        <f t="array" ref="T158">Common_InputFunctions.Utility_DisplayArrayInTable(Fertiliser_SourceData.Fertiliser_Products_Data3(), FertiliserProducts[[#Headers],[Company]],61)</f>
        <v>1E-3</v>
      </c>
      <c r="U158" s="146" t="str" cm="1">
        <f t="array" ref="U158">Common_InputFunctions.Utility_DisplayArrayInTable(Fertiliser_SourceData.Fertiliser_Products_Data3(), FertiliserProducts[[#Headers],[Company]],61)</f>
        <v>Manganese</v>
      </c>
      <c r="V158" s="146" cm="1">
        <f t="array" ref="V158">Common_InputFunctions.Utility_DisplayArrayInTable(Fertiliser_SourceData.Fertiliser_Products_Data3(), FertiliserProducts[[#Headers],[Company]],61)</f>
        <v>1E-3</v>
      </c>
      <c r="W158" s="146" t="str" cm="1">
        <f t="array" ref="W158">Common_InputFunctions.Utility_DisplayArrayInTable(Fertiliser_SourceData.Fertiliser_Products_Data3(), FertiliserProducts[[#Headers],[Company]],61)</f>
        <v>Boron</v>
      </c>
      <c r="X158" s="146" cm="1">
        <f t="array" ref="X158">Common_InputFunctions.Utility_DisplayArrayInTable(Fertiliser_SourceData.Fertiliser_Products_Data3(), FertiliserProducts[[#Headers],[Company]],61)</f>
        <v>1E-4</v>
      </c>
      <c r="Y158" s="146" t="str" cm="1">
        <f t="array" ref="Y158">Common_InputFunctions.Utility_DisplayArrayInTable(Fertiliser_SourceData.Fertiliser_Products_Data3(), FertiliserProducts[[#Headers],[Company]],61)</f>
        <v>Molybdenum</v>
      </c>
      <c r="Z158" s="146" cm="1">
        <f t="array" ref="Z158">Common_InputFunctions.Utility_DisplayArrayInTable(Fertiliser_SourceData.Fertiliser_Products_Data3(), FertiliserProducts[[#Headers],[Company]],61)</f>
        <v>1.0000000000000001E-5</v>
      </c>
      <c r="AA158" s="146" t="str" cm="1">
        <f t="array" ref="AA158">Common_InputFunctions.Utility_DisplayArrayInTable(Fertiliser_SourceData.Fertiliser_Products_Data3(), FertiliserProducts[[#Headers],[Company]],61)</f>
        <v/>
      </c>
      <c r="AB158" s="146" t="str" cm="1">
        <f t="array" ref="AB158">Common_InputFunctions.Utility_DisplayArrayInTable(Fertiliser_SourceData.Fertiliser_Products_Data3(), FertiliserProducts[[#Headers],[Company]],61)</f>
        <v/>
      </c>
      <c r="AC158" s="146" t="str" cm="1">
        <f t="array" ref="AC158">Common_InputFunctions.Utility_DisplayArrayInTable(Fertiliser_SourceData.Fertiliser_Products_Data3(), FertiliserProducts[[#Headers],[Company]],61)</f>
        <v/>
      </c>
      <c r="AD158" s="146" t="str" cm="1">
        <f t="array" ref="AD158">Common_InputFunctions.Utility_DisplayArrayInTable(Fertiliser_SourceData.Fertiliser_Products_Data3(), FertiliserProducts[[#Headers],[Company]],61)</f>
        <v/>
      </c>
      <c r="AE158" s="146" t="str" cm="1">
        <f t="array" ref="AE158">Common_InputFunctions.Utility_DisplayArrayInTable(Fertiliser_SourceData.Fertiliser_Products_Data3(), FertiliserProducts[[#Headers],[Company]],61)</f>
        <v/>
      </c>
      <c r="AF158" s="146" t="str" cm="1">
        <f t="array" ref="AF158">Common_InputFunctions.Utility_DisplayArrayInTable(Fertiliser_SourceData.Fertiliser_Products_Data3(), FertiliserProducts[[#Headers],[Company]],61)</f>
        <v/>
      </c>
      <c r="AG158" s="146" t="str" cm="1">
        <f t="array" ref="AG158">Common_InputFunctions.Utility_DisplayArrayInTable(Fertiliser_SourceData.Fertiliser_Products_Data3(), FertiliserProducts[[#Headers],[Company]],61)</f>
        <v/>
      </c>
      <c r="AH158" s="146" t="str" cm="1">
        <f t="array" ref="AH158">Common_InputFunctions.Utility_DisplayArrayInTable(Fertiliser_SourceData.Fertiliser_Products_Data3(), FertiliserProducts[[#Headers],[Company]],61)</f>
        <v/>
      </c>
      <c r="AK158" s="1"/>
    </row>
    <row r="159" spans="1:39" ht="20.100000000000001" customHeight="1" x14ac:dyDescent="0.2">
      <c r="D159" s="146" t="str" cm="1">
        <f t="array" ref="D159">Common_InputFunctions.Utility_DisplayArrayInTable(Fertiliser_SourceData.Fertiliser_Products_Data3(), FertiliserProducts[[#Headers],[Company]],61)</f>
        <v>FertPro Manufacturing Pty. Ltd.</v>
      </c>
      <c r="E159" s="146" t="str" cm="1">
        <f t="array" ref="E159">Common_InputFunctions.Utility_DisplayArrayInTable(Fertiliser_SourceData.Fertiliser_Products_Data3(), FertiliserProducts[[#Headers],[Company]],61)</f>
        <v>(SSP) Single Super Fertiliser</v>
      </c>
      <c r="F159" s="146" t="str" cm="1">
        <f t="array" ref="F159">Common_InputFunctions.Utility_DisplayArrayInTable(Fertiliser_SourceData.Fertiliser_Products_Data3(), FertiliserProducts[[#Headers],[Company]],61)</f>
        <v>kg</v>
      </c>
      <c r="G159" s="146" cm="1">
        <f t="array" ref="G159">Common_InputFunctions.Utility_DisplayArrayInTable(Fertiliser_SourceData.Fertiliser_Products_Data3(), FertiliserProducts[[#Headers],[Company]],61)</f>
        <v>1</v>
      </c>
      <c r="H159" s="146" t="str" cm="1">
        <f t="array" ref="H159">Common_InputFunctions.Utility_DisplayArrayInTable(Fertiliser_SourceData.Fertiliser_Products_Data3(), FertiliserProducts[[#Headers],[Company]],61)</f>
        <v/>
      </c>
      <c r="I159" s="146" t="str" cm="1">
        <f t="array" ref="I159">Common_InputFunctions.Utility_DisplayArrayInTable(Fertiliser_SourceData.Fertiliser_Products_Data3(), FertiliserProducts[[#Headers],[Company]],61)</f>
        <v/>
      </c>
      <c r="J159" s="146" t="str" cm="1">
        <f t="array" ref="J159">Common_InputFunctions.Utility_DisplayArrayInTable(Fertiliser_SourceData.Fertiliser_Products_Data3(), FertiliserProducts[[#Headers],[Company]],61)</f>
        <v/>
      </c>
      <c r="K159" s="146" t="str" cm="1">
        <f t="array" ref="K159">Common_InputFunctions.Utility_DisplayArrayInTable(Fertiliser_SourceData.Fertiliser_Products_Data3(), FertiliserProducts[[#Headers],[Company]],61)</f>
        <v/>
      </c>
      <c r="L159" s="146" cm="1">
        <f t="array" ref="L159">Common_InputFunctions.Utility_DisplayArrayInTable(Fertiliser_SourceData.Fertiliser_Products_Data3(), FertiliserProducts[[#Headers],[Company]],61)</f>
        <v>8.8000000000000007</v>
      </c>
      <c r="M159" s="146" t="str" cm="1">
        <f t="array" ref="M159">Common_InputFunctions.Utility_DisplayArrayInTable(Fertiliser_SourceData.Fertiliser_Products_Data3(), FertiliserProducts[[#Headers],[Company]],61)</f>
        <v/>
      </c>
      <c r="N159" s="146" cm="1">
        <f t="array" ref="N159">Common_InputFunctions.Utility_DisplayArrayInTable(Fertiliser_SourceData.Fertiliser_Products_Data3(), FertiliserProducts[[#Headers],[Company]],61)</f>
        <v>11</v>
      </c>
      <c r="O159" s="146" t="str" cm="1">
        <f t="array" ref="O159">Common_InputFunctions.Utility_DisplayArrayInTable(Fertiliser_SourceData.Fertiliser_Products_Data3(), FertiliserProducts[[#Headers],[Company]],61)</f>
        <v>Single superphosphate (SSP)</v>
      </c>
      <c r="P159" s="146" cm="1">
        <f t="array" ref="P159">Common_InputFunctions.Utility_DisplayArrayInTable(Fertiliser_SourceData.Fertiliser_Products_Data3(), FertiliserProducts[[#Headers],[Company]],61)</f>
        <v>1</v>
      </c>
      <c r="Q159" s="146" t="str" cm="1">
        <f t="array" ref="Q159">Common_InputFunctions.Utility_DisplayArrayInTable(Fertiliser_SourceData.Fertiliser_Products_Data3(), FertiliserProducts[[#Headers],[Company]],61)</f>
        <v/>
      </c>
      <c r="R159" s="146" t="str" cm="1">
        <f t="array" ref="R159">Common_InputFunctions.Utility_DisplayArrayInTable(Fertiliser_SourceData.Fertiliser_Products_Data3(), FertiliserProducts[[#Headers],[Company]],61)</f>
        <v/>
      </c>
      <c r="S159" s="146" t="str" cm="1">
        <f t="array" ref="S159">Common_InputFunctions.Utility_DisplayArrayInTable(Fertiliser_SourceData.Fertiliser_Products_Data3(), FertiliserProducts[[#Headers],[Company]],61)</f>
        <v/>
      </c>
      <c r="T159" s="146" t="str" cm="1">
        <f t="array" ref="T159">Common_InputFunctions.Utility_DisplayArrayInTable(Fertiliser_SourceData.Fertiliser_Products_Data3(), FertiliserProducts[[#Headers],[Company]],61)</f>
        <v/>
      </c>
      <c r="U159" s="146" t="str" cm="1">
        <f t="array" ref="U159">Common_InputFunctions.Utility_DisplayArrayInTable(Fertiliser_SourceData.Fertiliser_Products_Data3(), FertiliserProducts[[#Headers],[Company]],61)</f>
        <v/>
      </c>
      <c r="V159" s="146" t="str" cm="1">
        <f t="array" ref="V159">Common_InputFunctions.Utility_DisplayArrayInTable(Fertiliser_SourceData.Fertiliser_Products_Data3(), FertiliserProducts[[#Headers],[Company]],61)</f>
        <v/>
      </c>
      <c r="W159" s="146" t="str" cm="1">
        <f t="array" ref="W159">Common_InputFunctions.Utility_DisplayArrayInTable(Fertiliser_SourceData.Fertiliser_Products_Data3(), FertiliserProducts[[#Headers],[Company]],61)</f>
        <v/>
      </c>
      <c r="X159" s="146" t="str" cm="1">
        <f t="array" ref="X159">Common_InputFunctions.Utility_DisplayArrayInTable(Fertiliser_SourceData.Fertiliser_Products_Data3(), FertiliserProducts[[#Headers],[Company]],61)</f>
        <v/>
      </c>
      <c r="Y159" s="146" t="str" cm="1">
        <f t="array" ref="Y159">Common_InputFunctions.Utility_DisplayArrayInTable(Fertiliser_SourceData.Fertiliser_Products_Data3(), FertiliserProducts[[#Headers],[Company]],61)</f>
        <v/>
      </c>
      <c r="Z159" s="146" t="str" cm="1">
        <f t="array" ref="Z159">Common_InputFunctions.Utility_DisplayArrayInTable(Fertiliser_SourceData.Fertiliser_Products_Data3(), FertiliserProducts[[#Headers],[Company]],61)</f>
        <v/>
      </c>
      <c r="AA159" s="146" t="str" cm="1">
        <f t="array" ref="AA159">Common_InputFunctions.Utility_DisplayArrayInTable(Fertiliser_SourceData.Fertiliser_Products_Data3(), FertiliserProducts[[#Headers],[Company]],61)</f>
        <v/>
      </c>
      <c r="AB159" s="146" t="str" cm="1">
        <f t="array" ref="AB159">Common_InputFunctions.Utility_DisplayArrayInTable(Fertiliser_SourceData.Fertiliser_Products_Data3(), FertiliserProducts[[#Headers],[Company]],61)</f>
        <v/>
      </c>
      <c r="AC159" s="146" t="str" cm="1">
        <f t="array" ref="AC159">Common_InputFunctions.Utility_DisplayArrayInTable(Fertiliser_SourceData.Fertiliser_Products_Data3(), FertiliserProducts[[#Headers],[Company]],61)</f>
        <v/>
      </c>
      <c r="AD159" s="146" t="str" cm="1">
        <f t="array" ref="AD159">Common_InputFunctions.Utility_DisplayArrayInTable(Fertiliser_SourceData.Fertiliser_Products_Data3(), FertiliserProducts[[#Headers],[Company]],61)</f>
        <v/>
      </c>
      <c r="AE159" s="146" t="str" cm="1">
        <f t="array" ref="AE159">Common_InputFunctions.Utility_DisplayArrayInTable(Fertiliser_SourceData.Fertiliser_Products_Data3(), FertiliserProducts[[#Headers],[Company]],61)</f>
        <v/>
      </c>
      <c r="AF159" s="146" t="str" cm="1">
        <f t="array" ref="AF159">Common_InputFunctions.Utility_DisplayArrayInTable(Fertiliser_SourceData.Fertiliser_Products_Data3(), FertiliserProducts[[#Headers],[Company]],61)</f>
        <v/>
      </c>
      <c r="AG159" s="146" t="str" cm="1">
        <f t="array" ref="AG159">Common_InputFunctions.Utility_DisplayArrayInTable(Fertiliser_SourceData.Fertiliser_Products_Data3(), FertiliserProducts[[#Headers],[Company]],61)</f>
        <v/>
      </c>
      <c r="AH159" s="146" t="str" cm="1">
        <f t="array" ref="AH159">Common_InputFunctions.Utility_DisplayArrayInTable(Fertiliser_SourceData.Fertiliser_Products_Data3(), FertiliserProducts[[#Headers],[Company]],61)</f>
        <v/>
      </c>
      <c r="AK159" s="1"/>
    </row>
    <row r="160" spans="1:39" ht="20.100000000000001" customHeight="1" x14ac:dyDescent="0.2">
      <c r="D160" s="146" t="str" cm="1">
        <f t="array" ref="D160">Common_InputFunctions.Utility_DisplayArrayInTable(Fertiliser_SourceData.Fertiliser_Products_Data3(), FertiliserProducts[[#Headers],[Company]],61)</f>
        <v>Impact Fertilisers</v>
      </c>
      <c r="E160" s="146" t="str" cm="1">
        <f t="array" ref="E160">Common_InputFunctions.Utility_DisplayArrayInTable(Fertiliser_SourceData.Fertiliser_Products_Data3(), FertiliserProducts[[#Headers],[Company]],61)</f>
        <v>ZincStar</v>
      </c>
      <c r="F160" s="146" t="str" cm="1">
        <f t="array" ref="F160">Common_InputFunctions.Utility_DisplayArrayInTable(Fertiliser_SourceData.Fertiliser_Products_Data3(), FertiliserProducts[[#Headers],[Company]],61)</f>
        <v>kg</v>
      </c>
      <c r="G160" s="146" cm="1">
        <f t="array" ref="G160">Common_InputFunctions.Utility_DisplayArrayInTable(Fertiliser_SourceData.Fertiliser_Products_Data3(), FertiliserProducts[[#Headers],[Company]],61)</f>
        <v>1</v>
      </c>
      <c r="H160" s="146" t="str" cm="1">
        <f t="array" ref="H160">Common_InputFunctions.Utility_DisplayArrayInTable(Fertiliser_SourceData.Fertiliser_Products_Data3(), FertiliserProducts[[#Headers],[Company]],61)</f>
        <v/>
      </c>
      <c r="I160" s="146" t="str" cm="1">
        <f t="array" ref="I160">Common_InputFunctions.Utility_DisplayArrayInTable(Fertiliser_SourceData.Fertiliser_Products_Data3(), FertiliserProducts[[#Headers],[Company]],61)</f>
        <v/>
      </c>
      <c r="J160" s="146" t="str" cm="1">
        <f t="array" ref="J160">Common_InputFunctions.Utility_DisplayArrayInTable(Fertiliser_SourceData.Fertiliser_Products_Data3(), FertiliserProducts[[#Headers],[Company]],61)</f>
        <v/>
      </c>
      <c r="K160" s="146" cm="1">
        <f t="array" ref="K160">Common_InputFunctions.Utility_DisplayArrayInTable(Fertiliser_SourceData.Fertiliser_Products_Data3(), FertiliserProducts[[#Headers],[Company]],61)</f>
        <v>10</v>
      </c>
      <c r="L160" s="146" cm="1">
        <f t="array" ref="L160">Common_InputFunctions.Utility_DisplayArrayInTable(Fertiliser_SourceData.Fertiliser_Products_Data3(), FertiliserProducts[[#Headers],[Company]],61)</f>
        <v>21.9</v>
      </c>
      <c r="M160" s="146" cm="1">
        <f t="array" ref="M160">Common_InputFunctions.Utility_DisplayArrayInTable(Fertiliser_SourceData.Fertiliser_Products_Data3(), FertiliserProducts[[#Headers],[Company]],61)</f>
        <v>0</v>
      </c>
      <c r="N160" s="146" cm="1">
        <f t="array" ref="N160">Common_InputFunctions.Utility_DisplayArrayInTable(Fertiliser_SourceData.Fertiliser_Products_Data3(), FertiliserProducts[[#Headers],[Company]],61)</f>
        <v>2</v>
      </c>
      <c r="O160" s="146" t="str" cm="1">
        <f t="array" ref="O160">Common_InputFunctions.Utility_DisplayArrayInTable(Fertiliser_SourceData.Fertiliser_Products_Data3(), FertiliserProducts[[#Headers],[Company]],61)</f>
        <v>Monoammonium phosphate (MAP)</v>
      </c>
      <c r="P160" s="146" cm="1">
        <f t="array" ref="P160">Common_InputFunctions.Utility_DisplayArrayInTable(Fertiliser_SourceData.Fertiliser_Products_Data3(), FertiliserProducts[[#Headers],[Company]],61)</f>
        <v>1</v>
      </c>
      <c r="Q160" s="146" t="str" cm="1">
        <f t="array" ref="Q160">Common_InputFunctions.Utility_DisplayArrayInTable(Fertiliser_SourceData.Fertiliser_Products_Data3(), FertiliserProducts[[#Headers],[Company]],61)</f>
        <v>Zinc</v>
      </c>
      <c r="R160" s="146" cm="1">
        <f t="array" ref="R160">Common_InputFunctions.Utility_DisplayArrayInTable(Fertiliser_SourceData.Fertiliser_Products_Data3(), FertiliserProducts[[#Headers],[Company]],61)</f>
        <v>0.01</v>
      </c>
      <c r="S160" s="146" t="str" cm="1">
        <f t="array" ref="S160">Common_InputFunctions.Utility_DisplayArrayInTable(Fertiliser_SourceData.Fertiliser_Products_Data3(), FertiliserProducts[[#Headers],[Company]],61)</f>
        <v/>
      </c>
      <c r="T160" s="146" t="str" cm="1">
        <f t="array" ref="T160">Common_InputFunctions.Utility_DisplayArrayInTable(Fertiliser_SourceData.Fertiliser_Products_Data3(), FertiliserProducts[[#Headers],[Company]],61)</f>
        <v/>
      </c>
      <c r="U160" s="146" t="str" cm="1">
        <f t="array" ref="U160">Common_InputFunctions.Utility_DisplayArrayInTable(Fertiliser_SourceData.Fertiliser_Products_Data3(), FertiliserProducts[[#Headers],[Company]],61)</f>
        <v/>
      </c>
      <c r="V160" s="146" t="str" cm="1">
        <f t="array" ref="V160">Common_InputFunctions.Utility_DisplayArrayInTable(Fertiliser_SourceData.Fertiliser_Products_Data3(), FertiliserProducts[[#Headers],[Company]],61)</f>
        <v/>
      </c>
      <c r="W160" s="146" t="str" cm="1">
        <f t="array" ref="W160">Common_InputFunctions.Utility_DisplayArrayInTable(Fertiliser_SourceData.Fertiliser_Products_Data3(), FertiliserProducts[[#Headers],[Company]],61)</f>
        <v/>
      </c>
      <c r="X160" s="146" t="str" cm="1">
        <f t="array" ref="X160">Common_InputFunctions.Utility_DisplayArrayInTable(Fertiliser_SourceData.Fertiliser_Products_Data3(), FertiliserProducts[[#Headers],[Company]],61)</f>
        <v/>
      </c>
      <c r="Y160" s="146" t="str" cm="1">
        <f t="array" ref="Y160">Common_InputFunctions.Utility_DisplayArrayInTable(Fertiliser_SourceData.Fertiliser_Products_Data3(), FertiliserProducts[[#Headers],[Company]],61)</f>
        <v/>
      </c>
      <c r="Z160" s="146" t="str" cm="1">
        <f t="array" ref="Z160">Common_InputFunctions.Utility_DisplayArrayInTable(Fertiliser_SourceData.Fertiliser_Products_Data3(), FertiliserProducts[[#Headers],[Company]],61)</f>
        <v/>
      </c>
      <c r="AA160" s="146" t="str" cm="1">
        <f t="array" ref="AA160">Common_InputFunctions.Utility_DisplayArrayInTable(Fertiliser_SourceData.Fertiliser_Products_Data3(), FertiliserProducts[[#Headers],[Company]],61)</f>
        <v/>
      </c>
      <c r="AB160" s="146" t="str" cm="1">
        <f t="array" ref="AB160">Common_InputFunctions.Utility_DisplayArrayInTable(Fertiliser_SourceData.Fertiliser_Products_Data3(), FertiliserProducts[[#Headers],[Company]],61)</f>
        <v/>
      </c>
      <c r="AC160" s="146" t="str" cm="1">
        <f t="array" ref="AC160">Common_InputFunctions.Utility_DisplayArrayInTable(Fertiliser_SourceData.Fertiliser_Products_Data3(), FertiliserProducts[[#Headers],[Company]],61)</f>
        <v/>
      </c>
      <c r="AD160" s="146" t="str" cm="1">
        <f t="array" ref="AD160">Common_InputFunctions.Utility_DisplayArrayInTable(Fertiliser_SourceData.Fertiliser_Products_Data3(), FertiliserProducts[[#Headers],[Company]],61)</f>
        <v/>
      </c>
      <c r="AE160" s="146" t="str" cm="1">
        <f t="array" ref="AE160">Common_InputFunctions.Utility_DisplayArrayInTable(Fertiliser_SourceData.Fertiliser_Products_Data3(), FertiliserProducts[[#Headers],[Company]],61)</f>
        <v/>
      </c>
      <c r="AF160" s="146" t="str" cm="1">
        <f t="array" ref="AF160">Common_InputFunctions.Utility_DisplayArrayInTable(Fertiliser_SourceData.Fertiliser_Products_Data3(), FertiliserProducts[[#Headers],[Company]],61)</f>
        <v/>
      </c>
      <c r="AG160" s="146" t="str" cm="1">
        <f t="array" ref="AG160">Common_InputFunctions.Utility_DisplayArrayInTable(Fertiliser_SourceData.Fertiliser_Products_Data3(), FertiliserProducts[[#Headers],[Company]],61)</f>
        <v/>
      </c>
      <c r="AH160" s="146" t="str" cm="1">
        <f t="array" ref="AH160">Common_InputFunctions.Utility_DisplayArrayInTable(Fertiliser_SourceData.Fertiliser_Products_Data3(), FertiliserProducts[[#Headers],[Company]],61)</f>
        <v/>
      </c>
      <c r="AK160" s="1"/>
    </row>
    <row r="161" spans="4:37" ht="20.100000000000001" customHeight="1" x14ac:dyDescent="0.2">
      <c r="D161" s="146" t="str" cm="1">
        <f t="array" ref="D161">Common_InputFunctions.Utility_DisplayArrayInTable(Fertiliser_SourceData.Fertiliser_Products_Data3(), FertiliserProducts[[#Headers],[Company]],61)</f>
        <v>Baileys (Simplot) [listed as Impact]</v>
      </c>
      <c r="E161" s="146" t="str" cm="1">
        <f t="array" ref="E161">Common_InputFunctions.Utility_DisplayArrayInTable(Fertiliser_SourceData.Fertiliser_Products_Data3(), FertiliserProducts[[#Headers],[Company]],61)</f>
        <v>Apex GaIXe Low P 21-1-6</v>
      </c>
      <c r="F161" s="146" t="str" cm="1">
        <f t="array" ref="F161">Common_InputFunctions.Utility_DisplayArrayInTable(Fertiliser_SourceData.Fertiliser_Products_Data3(), FertiliserProducts[[#Headers],[Company]],61)</f>
        <v>kg</v>
      </c>
      <c r="G161" s="146" cm="1">
        <f t="array" ref="G161">Common_InputFunctions.Utility_DisplayArrayInTable(Fertiliser_SourceData.Fertiliser_Products_Data3(), FertiliserProducts[[#Headers],[Company]],61)</f>
        <v>1</v>
      </c>
      <c r="H161" s="146" t="str" cm="1">
        <f t="array" ref="H161">Common_InputFunctions.Utility_DisplayArrayInTable(Fertiliser_SourceData.Fertiliser_Products_Data3(), FertiliserProducts[[#Headers],[Company]],61)</f>
        <v/>
      </c>
      <c r="I161" s="146" t="str" cm="1">
        <f t="array" ref="I161">Common_InputFunctions.Utility_DisplayArrayInTable(Fertiliser_SourceData.Fertiliser_Products_Data3(), FertiliserProducts[[#Headers],[Company]],61)</f>
        <v/>
      </c>
      <c r="J161" s="146" t="str" cm="1">
        <f t="array" ref="J161">Common_InputFunctions.Utility_DisplayArrayInTable(Fertiliser_SourceData.Fertiliser_Products_Data3(), FertiliserProducts[[#Headers],[Company]],61)</f>
        <v/>
      </c>
      <c r="K161" s="146" cm="1">
        <f t="array" ref="K161">Common_InputFunctions.Utility_DisplayArrayInTable(Fertiliser_SourceData.Fertiliser_Products_Data3(), FertiliserProducts[[#Headers],[Company]],61)</f>
        <v>21</v>
      </c>
      <c r="L161" s="146" cm="1">
        <f t="array" ref="L161">Common_InputFunctions.Utility_DisplayArrayInTable(Fertiliser_SourceData.Fertiliser_Products_Data3(), FertiliserProducts[[#Headers],[Company]],61)</f>
        <v>0.86</v>
      </c>
      <c r="M161" s="146" cm="1">
        <f t="array" ref="M161">Common_InputFunctions.Utility_DisplayArrayInTable(Fertiliser_SourceData.Fertiliser_Products_Data3(), FertiliserProducts[[#Headers],[Company]],61)</f>
        <v>5.8</v>
      </c>
      <c r="N161" s="146" cm="1">
        <f t="array" ref="N161">Common_InputFunctions.Utility_DisplayArrayInTable(Fertiliser_SourceData.Fertiliser_Products_Data3(), FertiliserProducts[[#Headers],[Company]],61)</f>
        <v>4.2</v>
      </c>
      <c r="O161" s="146" t="str" cm="1">
        <f t="array" ref="O161">Common_InputFunctions.Utility_DisplayArrayInTable(Fertiliser_SourceData.Fertiliser_Products_Data3(), FertiliserProducts[[#Headers],[Company]],61)</f>
        <v>Nitrogen - Generic</v>
      </c>
      <c r="P161" s="146" cm="1">
        <f t="array" ref="P161">Common_InputFunctions.Utility_DisplayArrayInTable(Fertiliser_SourceData.Fertiliser_Products_Data3(), FertiliserProducts[[#Headers],[Company]],61)</f>
        <v>0.21</v>
      </c>
      <c r="Q161" s="146" t="str" cm="1">
        <f t="array" ref="Q161">Common_InputFunctions.Utility_DisplayArrayInTable(Fertiliser_SourceData.Fertiliser_Products_Data3(), FertiliserProducts[[#Headers],[Company]],61)</f>
        <v>Potassium - Generic</v>
      </c>
      <c r="R161" s="146" cm="1">
        <f t="array" ref="R161">Common_InputFunctions.Utility_DisplayArrayInTable(Fertiliser_SourceData.Fertiliser_Products_Data3(), FertiliserProducts[[#Headers],[Company]],61)</f>
        <v>5.8000000000000003E-2</v>
      </c>
      <c r="S161" s="146" t="str" cm="1">
        <f t="array" ref="S161">Common_InputFunctions.Utility_DisplayArrayInTable(Fertiliser_SourceData.Fertiliser_Products_Data3(), FertiliserProducts[[#Headers],[Company]],61)</f>
        <v>Sulfur - Generic</v>
      </c>
      <c r="T161" s="146" cm="1">
        <f t="array" ref="T161">Common_InputFunctions.Utility_DisplayArrayInTable(Fertiliser_SourceData.Fertiliser_Products_Data3(), FertiliserProducts[[#Headers],[Company]],61)</f>
        <v>4.2000000000000003E-2</v>
      </c>
      <c r="U161" s="146" t="str" cm="1">
        <f t="array" ref="U161">Common_InputFunctions.Utility_DisplayArrayInTable(Fertiliser_SourceData.Fertiliser_Products_Data3(), FertiliserProducts[[#Headers],[Company]],61)</f>
        <v>Phosphorus - Generic</v>
      </c>
      <c r="V161" s="146" cm="1">
        <f t="array" ref="V161">Common_InputFunctions.Utility_DisplayArrayInTable(Fertiliser_SourceData.Fertiliser_Products_Data3(), FertiliserProducts[[#Headers],[Company]],61)</f>
        <v>8.6E-3</v>
      </c>
      <c r="W161" s="146" t="str" cm="1">
        <f t="array" ref="W161">Common_InputFunctions.Utility_DisplayArrayInTable(Fertiliser_SourceData.Fertiliser_Products_Data3(), FertiliserProducts[[#Headers],[Company]],61)</f>
        <v/>
      </c>
      <c r="X161" s="146" t="str" cm="1">
        <f t="array" ref="X161">Common_InputFunctions.Utility_DisplayArrayInTable(Fertiliser_SourceData.Fertiliser_Products_Data3(), FertiliserProducts[[#Headers],[Company]],61)</f>
        <v/>
      </c>
      <c r="Y161" s="146" t="str" cm="1">
        <f t="array" ref="Y161">Common_InputFunctions.Utility_DisplayArrayInTable(Fertiliser_SourceData.Fertiliser_Products_Data3(), FertiliserProducts[[#Headers],[Company]],61)</f>
        <v/>
      </c>
      <c r="Z161" s="146" t="str" cm="1">
        <f t="array" ref="Z161">Common_InputFunctions.Utility_DisplayArrayInTable(Fertiliser_SourceData.Fertiliser_Products_Data3(), FertiliserProducts[[#Headers],[Company]],61)</f>
        <v/>
      </c>
      <c r="AA161" s="146" t="str" cm="1">
        <f t="array" ref="AA161">Common_InputFunctions.Utility_DisplayArrayInTable(Fertiliser_SourceData.Fertiliser_Products_Data3(), FertiliserProducts[[#Headers],[Company]],61)</f>
        <v/>
      </c>
      <c r="AB161" s="146" t="str" cm="1">
        <f t="array" ref="AB161">Common_InputFunctions.Utility_DisplayArrayInTable(Fertiliser_SourceData.Fertiliser_Products_Data3(), FertiliserProducts[[#Headers],[Company]],61)</f>
        <v/>
      </c>
      <c r="AC161" s="146" t="str" cm="1">
        <f t="array" ref="AC161">Common_InputFunctions.Utility_DisplayArrayInTable(Fertiliser_SourceData.Fertiliser_Products_Data3(), FertiliserProducts[[#Headers],[Company]],61)</f>
        <v/>
      </c>
      <c r="AD161" s="146" t="str" cm="1">
        <f t="array" ref="AD161">Common_InputFunctions.Utility_DisplayArrayInTable(Fertiliser_SourceData.Fertiliser_Products_Data3(), FertiliserProducts[[#Headers],[Company]],61)</f>
        <v/>
      </c>
      <c r="AE161" s="146" t="str" cm="1">
        <f t="array" ref="AE161">Common_InputFunctions.Utility_DisplayArrayInTable(Fertiliser_SourceData.Fertiliser_Products_Data3(), FertiliserProducts[[#Headers],[Company]],61)</f>
        <v/>
      </c>
      <c r="AF161" s="146" t="str" cm="1">
        <f t="array" ref="AF161">Common_InputFunctions.Utility_DisplayArrayInTable(Fertiliser_SourceData.Fertiliser_Products_Data3(), FertiliserProducts[[#Headers],[Company]],61)</f>
        <v/>
      </c>
      <c r="AG161" s="146" t="str" cm="1">
        <f t="array" ref="AG161">Common_InputFunctions.Utility_DisplayArrayInTable(Fertiliser_SourceData.Fertiliser_Products_Data3(), FertiliserProducts[[#Headers],[Company]],61)</f>
        <v/>
      </c>
      <c r="AH161" s="146" t="str" cm="1">
        <f t="array" ref="AH161">Common_InputFunctions.Utility_DisplayArrayInTable(Fertiliser_SourceData.Fertiliser_Products_Data3(), FertiliserProducts[[#Headers],[Company]],61)</f>
        <v/>
      </c>
      <c r="AK161" s="1"/>
    </row>
    <row r="162" spans="4:37" ht="20.100000000000001" customHeight="1" x14ac:dyDescent="0.2">
      <c r="D162" s="146" t="str" cm="1">
        <f t="array" ref="D162">Common_InputFunctions.Utility_DisplayArrayInTable(Fertiliser_SourceData.Fertiliser_Products_Data3(), FertiliserProducts[[#Headers],[Company]],61)</f>
        <v>Incitec Pivot Fertilisers</v>
      </c>
      <c r="E162" s="146" t="str" cm="1">
        <f t="array" ref="E162">Common_InputFunctions.Utility_DisplayArrayInTable(Fertiliser_SourceData.Fertiliser_Products_Data3(), FertiliserProducts[[#Headers],[Company]],61)</f>
        <v>SuPerfect</v>
      </c>
      <c r="F162" s="146" t="str" cm="1">
        <f t="array" ref="F162">Common_InputFunctions.Utility_DisplayArrayInTable(Fertiliser_SourceData.Fertiliser_Products_Data3(), FertiliserProducts[[#Headers],[Company]],61)</f>
        <v>kg</v>
      </c>
      <c r="G162" s="146" cm="1">
        <f t="array" ref="G162">Common_InputFunctions.Utility_DisplayArrayInTable(Fertiliser_SourceData.Fertiliser_Products_Data3(), FertiliserProducts[[#Headers],[Company]],61)</f>
        <v>1</v>
      </c>
      <c r="H162" s="146" t="str" cm="1">
        <f t="array" ref="H162">Common_InputFunctions.Utility_DisplayArrayInTable(Fertiliser_SourceData.Fertiliser_Products_Data3(), FertiliserProducts[[#Headers],[Company]],61)</f>
        <v/>
      </c>
      <c r="I162" s="146" t="str" cm="1">
        <f t="array" ref="I162">Common_InputFunctions.Utility_DisplayArrayInTable(Fertiliser_SourceData.Fertiliser_Products_Data3(), FertiliserProducts[[#Headers],[Company]],61)</f>
        <v/>
      </c>
      <c r="J162" s="146" t="str" cm="1">
        <f t="array" ref="J162">Common_InputFunctions.Utility_DisplayArrayInTable(Fertiliser_SourceData.Fertiliser_Products_Data3(), FertiliserProducts[[#Headers],[Company]],61)</f>
        <v/>
      </c>
      <c r="K162" s="146" t="str" cm="1">
        <f t="array" ref="K162">Common_InputFunctions.Utility_DisplayArrayInTable(Fertiliser_SourceData.Fertiliser_Products_Data3(), FertiliserProducts[[#Headers],[Company]],61)</f>
        <v/>
      </c>
      <c r="L162" s="146" cm="1">
        <f t="array" ref="L162">Common_InputFunctions.Utility_DisplayArrayInTable(Fertiliser_SourceData.Fertiliser_Products_Data3(), FertiliserProducts[[#Headers],[Company]],61)</f>
        <v>8.8000000000000007</v>
      </c>
      <c r="M162" s="146" t="str" cm="1">
        <f t="array" ref="M162">Common_InputFunctions.Utility_DisplayArrayInTable(Fertiliser_SourceData.Fertiliser_Products_Data3(), FertiliserProducts[[#Headers],[Company]],61)</f>
        <v/>
      </c>
      <c r="N162" s="146" cm="1">
        <f t="array" ref="N162">Common_InputFunctions.Utility_DisplayArrayInTable(Fertiliser_SourceData.Fertiliser_Products_Data3(), FertiliserProducts[[#Headers],[Company]],61)</f>
        <v>11</v>
      </c>
      <c r="O162" s="146" t="str" cm="1">
        <f t="array" ref="O162">Common_InputFunctions.Utility_DisplayArrayInTable(Fertiliser_SourceData.Fertiliser_Products_Data3(), FertiliserProducts[[#Headers],[Company]],61)</f>
        <v>Single superphosphate (SSP)</v>
      </c>
      <c r="P162" s="146" cm="1">
        <f t="array" ref="P162">Common_InputFunctions.Utility_DisplayArrayInTable(Fertiliser_SourceData.Fertiliser_Products_Data3(), FertiliserProducts[[#Headers],[Company]],61)</f>
        <v>1</v>
      </c>
      <c r="Q162" s="146" t="str" cm="1">
        <f t="array" ref="Q162">Common_InputFunctions.Utility_DisplayArrayInTable(Fertiliser_SourceData.Fertiliser_Products_Data3(), FertiliserProducts[[#Headers],[Company]],61)</f>
        <v/>
      </c>
      <c r="R162" s="146" t="str" cm="1">
        <f t="array" ref="R162">Common_InputFunctions.Utility_DisplayArrayInTable(Fertiliser_SourceData.Fertiliser_Products_Data3(), FertiliserProducts[[#Headers],[Company]],61)</f>
        <v/>
      </c>
      <c r="S162" s="146" t="str" cm="1">
        <f t="array" ref="S162">Common_InputFunctions.Utility_DisplayArrayInTable(Fertiliser_SourceData.Fertiliser_Products_Data3(), FertiliserProducts[[#Headers],[Company]],61)</f>
        <v/>
      </c>
      <c r="T162" s="146" t="str" cm="1">
        <f t="array" ref="T162">Common_InputFunctions.Utility_DisplayArrayInTable(Fertiliser_SourceData.Fertiliser_Products_Data3(), FertiliserProducts[[#Headers],[Company]],61)</f>
        <v/>
      </c>
      <c r="U162" s="146" t="str" cm="1">
        <f t="array" ref="U162">Common_InputFunctions.Utility_DisplayArrayInTable(Fertiliser_SourceData.Fertiliser_Products_Data3(), FertiliserProducts[[#Headers],[Company]],61)</f>
        <v/>
      </c>
      <c r="V162" s="146" t="str" cm="1">
        <f t="array" ref="V162">Common_InputFunctions.Utility_DisplayArrayInTable(Fertiliser_SourceData.Fertiliser_Products_Data3(), FertiliserProducts[[#Headers],[Company]],61)</f>
        <v/>
      </c>
      <c r="W162" s="146" t="str" cm="1">
        <f t="array" ref="W162">Common_InputFunctions.Utility_DisplayArrayInTable(Fertiliser_SourceData.Fertiliser_Products_Data3(), FertiliserProducts[[#Headers],[Company]],61)</f>
        <v/>
      </c>
      <c r="X162" s="146" t="str" cm="1">
        <f t="array" ref="X162">Common_InputFunctions.Utility_DisplayArrayInTable(Fertiliser_SourceData.Fertiliser_Products_Data3(), FertiliserProducts[[#Headers],[Company]],61)</f>
        <v/>
      </c>
      <c r="Y162" s="146" t="str" cm="1">
        <f t="array" ref="Y162">Common_InputFunctions.Utility_DisplayArrayInTable(Fertiliser_SourceData.Fertiliser_Products_Data3(), FertiliserProducts[[#Headers],[Company]],61)</f>
        <v/>
      </c>
      <c r="Z162" s="146" t="str" cm="1">
        <f t="array" ref="Z162">Common_InputFunctions.Utility_DisplayArrayInTable(Fertiliser_SourceData.Fertiliser_Products_Data3(), FertiliserProducts[[#Headers],[Company]],61)</f>
        <v/>
      </c>
      <c r="AA162" s="146" t="str" cm="1">
        <f t="array" ref="AA162">Common_InputFunctions.Utility_DisplayArrayInTable(Fertiliser_SourceData.Fertiliser_Products_Data3(), FertiliserProducts[[#Headers],[Company]],61)</f>
        <v/>
      </c>
      <c r="AB162" s="146" t="str" cm="1">
        <f t="array" ref="AB162">Common_InputFunctions.Utility_DisplayArrayInTable(Fertiliser_SourceData.Fertiliser_Products_Data3(), FertiliserProducts[[#Headers],[Company]],61)</f>
        <v/>
      </c>
      <c r="AC162" s="146" t="str" cm="1">
        <f t="array" ref="AC162">Common_InputFunctions.Utility_DisplayArrayInTable(Fertiliser_SourceData.Fertiliser_Products_Data3(), FertiliserProducts[[#Headers],[Company]],61)</f>
        <v/>
      </c>
      <c r="AD162" s="146" t="str" cm="1">
        <f t="array" ref="AD162">Common_InputFunctions.Utility_DisplayArrayInTable(Fertiliser_SourceData.Fertiliser_Products_Data3(), FertiliserProducts[[#Headers],[Company]],61)</f>
        <v/>
      </c>
      <c r="AE162" s="146" t="str" cm="1">
        <f t="array" ref="AE162">Common_InputFunctions.Utility_DisplayArrayInTable(Fertiliser_SourceData.Fertiliser_Products_Data3(), FertiliserProducts[[#Headers],[Company]],61)</f>
        <v/>
      </c>
      <c r="AF162" s="146" t="str" cm="1">
        <f t="array" ref="AF162">Common_InputFunctions.Utility_DisplayArrayInTable(Fertiliser_SourceData.Fertiliser_Products_Data3(), FertiliserProducts[[#Headers],[Company]],61)</f>
        <v/>
      </c>
      <c r="AG162" s="146" t="str" cm="1">
        <f t="array" ref="AG162">Common_InputFunctions.Utility_DisplayArrayInTable(Fertiliser_SourceData.Fertiliser_Products_Data3(), FertiliserProducts[[#Headers],[Company]],61)</f>
        <v/>
      </c>
      <c r="AH162" s="146" t="str" cm="1">
        <f t="array" ref="AH162">Common_InputFunctions.Utility_DisplayArrayInTable(Fertiliser_SourceData.Fertiliser_Products_Data3(), FertiliserProducts[[#Headers],[Company]],61)</f>
        <v/>
      </c>
      <c r="AK162" s="1"/>
    </row>
    <row r="163" spans="4:37" ht="20.100000000000001" customHeight="1" x14ac:dyDescent="0.2">
      <c r="D163" s="146" t="str" cm="1">
        <f t="array" ref="D163">Common_InputFunctions.Utility_DisplayArrayInTable(Fertiliser_SourceData.Fertiliser_Products_Data3(), FertiliserProducts[[#Headers],[Company]],61)</f>
        <v>Incitec Pivot Fertilisers [listed as Summit]</v>
      </c>
      <c r="E163" s="146" t="str" cm="1">
        <f t="array" ref="E163">Common_InputFunctions.Utility_DisplayArrayInTable(Fertiliser_SourceData.Fertiliser_Products_Data3(), FertiliserProducts[[#Headers],[Company]],61)</f>
        <v>Big N</v>
      </c>
      <c r="F163" s="146" t="str" cm="1">
        <f t="array" ref="F163">Common_InputFunctions.Utility_DisplayArrayInTable(Fertiliser_SourceData.Fertiliser_Products_Data3(), FertiliserProducts[[#Headers],[Company]],61)</f>
        <v>kg</v>
      </c>
      <c r="G163" s="146" cm="1">
        <f t="array" ref="G163">Common_InputFunctions.Utility_DisplayArrayInTable(Fertiliser_SourceData.Fertiliser_Products_Data3(), FertiliserProducts[[#Headers],[Company]],61)</f>
        <v>1</v>
      </c>
      <c r="H163" s="146" t="str" cm="1">
        <f t="array" ref="H163">Common_InputFunctions.Utility_DisplayArrayInTable(Fertiliser_SourceData.Fertiliser_Products_Data3(), FertiliserProducts[[#Headers],[Company]],61)</f>
        <v/>
      </c>
      <c r="I163" s="146" t="str" cm="1">
        <f t="array" ref="I163">Common_InputFunctions.Utility_DisplayArrayInTable(Fertiliser_SourceData.Fertiliser_Products_Data3(), FertiliserProducts[[#Headers],[Company]],61)</f>
        <v/>
      </c>
      <c r="J163" s="146" t="str" cm="1">
        <f t="array" ref="J163">Common_InputFunctions.Utility_DisplayArrayInTable(Fertiliser_SourceData.Fertiliser_Products_Data3(), FertiliserProducts[[#Headers],[Company]],61)</f>
        <v/>
      </c>
      <c r="K163" s="146" cm="1">
        <f t="array" ref="K163">Common_InputFunctions.Utility_DisplayArrayInTable(Fertiliser_SourceData.Fertiliser_Products_Data3(), FertiliserProducts[[#Headers],[Company]],61)</f>
        <v>82.35</v>
      </c>
      <c r="L163" s="146" t="str" cm="1">
        <f t="array" ref="L163">Common_InputFunctions.Utility_DisplayArrayInTable(Fertiliser_SourceData.Fertiliser_Products_Data3(), FertiliserProducts[[#Headers],[Company]],61)</f>
        <v/>
      </c>
      <c r="M163" s="146" t="str" cm="1">
        <f t="array" ref="M163">Common_InputFunctions.Utility_DisplayArrayInTable(Fertiliser_SourceData.Fertiliser_Products_Data3(), FertiliserProducts[[#Headers],[Company]],61)</f>
        <v/>
      </c>
      <c r="N163" s="146" t="str" cm="1">
        <f t="array" ref="N163">Common_InputFunctions.Utility_DisplayArrayInTable(Fertiliser_SourceData.Fertiliser_Products_Data3(), FertiliserProducts[[#Headers],[Company]],61)</f>
        <v/>
      </c>
      <c r="O163" s="146" t="str" cm="1">
        <f t="array" ref="O163">Common_InputFunctions.Utility_DisplayArrayInTable(Fertiliser_SourceData.Fertiliser_Products_Data3(), FertiliserProducts[[#Headers],[Company]],61)</f>
        <v>Ammonia</v>
      </c>
      <c r="P163" s="146" cm="1">
        <f t="array" ref="P163">Common_InputFunctions.Utility_DisplayArrayInTable(Fertiliser_SourceData.Fertiliser_Products_Data3(), FertiliserProducts[[#Headers],[Company]],61)</f>
        <v>1</v>
      </c>
      <c r="Q163" s="146" t="str" cm="1">
        <f t="array" ref="Q163">Common_InputFunctions.Utility_DisplayArrayInTable(Fertiliser_SourceData.Fertiliser_Products_Data3(), FertiliserProducts[[#Headers],[Company]],61)</f>
        <v/>
      </c>
      <c r="R163" s="146" t="str" cm="1">
        <f t="array" ref="R163">Common_InputFunctions.Utility_DisplayArrayInTable(Fertiliser_SourceData.Fertiliser_Products_Data3(), FertiliserProducts[[#Headers],[Company]],61)</f>
        <v/>
      </c>
      <c r="S163" s="146" t="str" cm="1">
        <f t="array" ref="S163">Common_InputFunctions.Utility_DisplayArrayInTable(Fertiliser_SourceData.Fertiliser_Products_Data3(), FertiliserProducts[[#Headers],[Company]],61)</f>
        <v/>
      </c>
      <c r="T163" s="146" t="str" cm="1">
        <f t="array" ref="T163">Common_InputFunctions.Utility_DisplayArrayInTable(Fertiliser_SourceData.Fertiliser_Products_Data3(), FertiliserProducts[[#Headers],[Company]],61)</f>
        <v/>
      </c>
      <c r="U163" s="146" t="str" cm="1">
        <f t="array" ref="U163">Common_InputFunctions.Utility_DisplayArrayInTable(Fertiliser_SourceData.Fertiliser_Products_Data3(), FertiliserProducts[[#Headers],[Company]],61)</f>
        <v/>
      </c>
      <c r="V163" s="146" t="str" cm="1">
        <f t="array" ref="V163">Common_InputFunctions.Utility_DisplayArrayInTable(Fertiliser_SourceData.Fertiliser_Products_Data3(), FertiliserProducts[[#Headers],[Company]],61)</f>
        <v/>
      </c>
      <c r="W163" s="146" t="str" cm="1">
        <f t="array" ref="W163">Common_InputFunctions.Utility_DisplayArrayInTable(Fertiliser_SourceData.Fertiliser_Products_Data3(), FertiliserProducts[[#Headers],[Company]],61)</f>
        <v/>
      </c>
      <c r="X163" s="146" t="str" cm="1">
        <f t="array" ref="X163">Common_InputFunctions.Utility_DisplayArrayInTable(Fertiliser_SourceData.Fertiliser_Products_Data3(), FertiliserProducts[[#Headers],[Company]],61)</f>
        <v/>
      </c>
      <c r="Y163" s="146" t="str" cm="1">
        <f t="array" ref="Y163">Common_InputFunctions.Utility_DisplayArrayInTable(Fertiliser_SourceData.Fertiliser_Products_Data3(), FertiliserProducts[[#Headers],[Company]],61)</f>
        <v/>
      </c>
      <c r="Z163" s="146" t="str" cm="1">
        <f t="array" ref="Z163">Common_InputFunctions.Utility_DisplayArrayInTable(Fertiliser_SourceData.Fertiliser_Products_Data3(), FertiliserProducts[[#Headers],[Company]],61)</f>
        <v/>
      </c>
      <c r="AA163" s="146" t="str" cm="1">
        <f t="array" ref="AA163">Common_InputFunctions.Utility_DisplayArrayInTable(Fertiliser_SourceData.Fertiliser_Products_Data3(), FertiliserProducts[[#Headers],[Company]],61)</f>
        <v/>
      </c>
      <c r="AB163" s="146" t="str" cm="1">
        <f t="array" ref="AB163">Common_InputFunctions.Utility_DisplayArrayInTable(Fertiliser_SourceData.Fertiliser_Products_Data3(), FertiliserProducts[[#Headers],[Company]],61)</f>
        <v/>
      </c>
      <c r="AC163" s="146" t="str" cm="1">
        <f t="array" ref="AC163">Common_InputFunctions.Utility_DisplayArrayInTable(Fertiliser_SourceData.Fertiliser_Products_Data3(), FertiliserProducts[[#Headers],[Company]],61)</f>
        <v/>
      </c>
      <c r="AD163" s="146" t="str" cm="1">
        <f t="array" ref="AD163">Common_InputFunctions.Utility_DisplayArrayInTable(Fertiliser_SourceData.Fertiliser_Products_Data3(), FertiliserProducts[[#Headers],[Company]],61)</f>
        <v/>
      </c>
      <c r="AE163" s="146" t="str" cm="1">
        <f t="array" ref="AE163">Common_InputFunctions.Utility_DisplayArrayInTable(Fertiliser_SourceData.Fertiliser_Products_Data3(), FertiliserProducts[[#Headers],[Company]],61)</f>
        <v/>
      </c>
      <c r="AF163" s="146" t="str" cm="1">
        <f t="array" ref="AF163">Common_InputFunctions.Utility_DisplayArrayInTable(Fertiliser_SourceData.Fertiliser_Products_Data3(), FertiliserProducts[[#Headers],[Company]],61)</f>
        <v/>
      </c>
      <c r="AG163" s="146" t="str" cm="1">
        <f t="array" ref="AG163">Common_InputFunctions.Utility_DisplayArrayInTable(Fertiliser_SourceData.Fertiliser_Products_Data3(), FertiliserProducts[[#Headers],[Company]],61)</f>
        <v/>
      </c>
      <c r="AH163" s="146" t="str" cm="1">
        <f t="array" ref="AH163">Common_InputFunctions.Utility_DisplayArrayInTable(Fertiliser_SourceData.Fertiliser_Products_Data3(), FertiliserProducts[[#Headers],[Company]],61)</f>
        <v/>
      </c>
      <c r="AK163" s="1"/>
    </row>
    <row r="164" spans="4:37" ht="20.100000000000001" customHeight="1" x14ac:dyDescent="0.2">
      <c r="D164" s="146" t="str" cm="1">
        <f t="array" ref="D164">Common_InputFunctions.Utility_DisplayArrayInTable(Fertiliser_SourceData.Fertiliser_Products_Data3(), FertiliserProducts[[#Headers],[Company]],61)</f>
        <v>Incitec Pivot Fertilisers</v>
      </c>
      <c r="E164" s="146" t="str" cm="1">
        <f t="array" ref="E164">Common_InputFunctions.Utility_DisplayArrayInTable(Fertiliser_SourceData.Fertiliser_Products_Data3(), FertiliserProducts[[#Headers],[Company]],61)</f>
        <v>Entec Urea</v>
      </c>
      <c r="F164" s="146" t="str" cm="1">
        <f t="array" ref="F164">Common_InputFunctions.Utility_DisplayArrayInTable(Fertiliser_SourceData.Fertiliser_Products_Data3(), FertiliserProducts[[#Headers],[Company]],61)</f>
        <v>kg</v>
      </c>
      <c r="G164" s="146" cm="1">
        <f t="array" ref="G164">Common_InputFunctions.Utility_DisplayArrayInTable(Fertiliser_SourceData.Fertiliser_Products_Data3(), FertiliserProducts[[#Headers],[Company]],61)</f>
        <v>1</v>
      </c>
      <c r="H164" s="146" t="str" cm="1">
        <f t="array" ref="H164">Common_InputFunctions.Utility_DisplayArrayInTable(Fertiliser_SourceData.Fertiliser_Products_Data3(), FertiliserProducts[[#Headers],[Company]],61)</f>
        <v>Yes</v>
      </c>
      <c r="I164" s="146" t="str" cm="1">
        <f t="array" ref="I164">Common_InputFunctions.Utility_DisplayArrayInTable(Fertiliser_SourceData.Fertiliser_Products_Data3(), FertiliserProducts[[#Headers],[Company]],61)</f>
        <v/>
      </c>
      <c r="J164" s="146" t="str" cm="1">
        <f t="array" ref="J164">Common_InputFunctions.Utility_DisplayArrayInTable(Fertiliser_SourceData.Fertiliser_Products_Data3(), FertiliserProducts[[#Headers],[Company]],61)</f>
        <v/>
      </c>
      <c r="K164" s="146" cm="1">
        <f t="array" ref="K164">Common_InputFunctions.Utility_DisplayArrayInTable(Fertiliser_SourceData.Fertiliser_Products_Data3(), FertiliserProducts[[#Headers],[Company]],61)</f>
        <v>46</v>
      </c>
      <c r="L164" s="146" t="str" cm="1">
        <f t="array" ref="L164">Common_InputFunctions.Utility_DisplayArrayInTable(Fertiliser_SourceData.Fertiliser_Products_Data3(), FertiliserProducts[[#Headers],[Company]],61)</f>
        <v/>
      </c>
      <c r="M164" s="146" t="str" cm="1">
        <f t="array" ref="M164">Common_InputFunctions.Utility_DisplayArrayInTable(Fertiliser_SourceData.Fertiliser_Products_Data3(), FertiliserProducts[[#Headers],[Company]],61)</f>
        <v/>
      </c>
      <c r="N164" s="146" t="str" cm="1">
        <f t="array" ref="N164">Common_InputFunctions.Utility_DisplayArrayInTable(Fertiliser_SourceData.Fertiliser_Products_Data3(), FertiliserProducts[[#Headers],[Company]],61)</f>
        <v/>
      </c>
      <c r="O164" s="146" t="str" cm="1">
        <f t="array" ref="O164">Common_InputFunctions.Utility_DisplayArrayInTable(Fertiliser_SourceData.Fertiliser_Products_Data3(), FertiliserProducts[[#Headers],[Company]],61)</f>
        <v>Urea</v>
      </c>
      <c r="P164" s="146" cm="1">
        <f t="array" ref="P164">Common_InputFunctions.Utility_DisplayArrayInTable(Fertiliser_SourceData.Fertiliser_Products_Data3(), FertiliserProducts[[#Headers],[Company]],61)</f>
        <v>1</v>
      </c>
      <c r="Q164" s="146" t="str" cm="1">
        <f t="array" ref="Q164">Common_InputFunctions.Utility_DisplayArrayInTable(Fertiliser_SourceData.Fertiliser_Products_Data3(), FertiliserProducts[[#Headers],[Company]],61)</f>
        <v/>
      </c>
      <c r="R164" s="146" t="str" cm="1">
        <f t="array" ref="R164">Common_InputFunctions.Utility_DisplayArrayInTable(Fertiliser_SourceData.Fertiliser_Products_Data3(), FertiliserProducts[[#Headers],[Company]],61)</f>
        <v/>
      </c>
      <c r="S164" s="146" t="str" cm="1">
        <f t="array" ref="S164">Common_InputFunctions.Utility_DisplayArrayInTable(Fertiliser_SourceData.Fertiliser_Products_Data3(), FertiliserProducts[[#Headers],[Company]],61)</f>
        <v/>
      </c>
      <c r="T164" s="146" t="str" cm="1">
        <f t="array" ref="T164">Common_InputFunctions.Utility_DisplayArrayInTable(Fertiliser_SourceData.Fertiliser_Products_Data3(), FertiliserProducts[[#Headers],[Company]],61)</f>
        <v/>
      </c>
      <c r="U164" s="146" t="str" cm="1">
        <f t="array" ref="U164">Common_InputFunctions.Utility_DisplayArrayInTable(Fertiliser_SourceData.Fertiliser_Products_Data3(), FertiliserProducts[[#Headers],[Company]],61)</f>
        <v/>
      </c>
      <c r="V164" s="146" t="str" cm="1">
        <f t="array" ref="V164">Common_InputFunctions.Utility_DisplayArrayInTable(Fertiliser_SourceData.Fertiliser_Products_Data3(), FertiliserProducts[[#Headers],[Company]],61)</f>
        <v/>
      </c>
      <c r="W164" s="146" t="str" cm="1">
        <f t="array" ref="W164">Common_InputFunctions.Utility_DisplayArrayInTable(Fertiliser_SourceData.Fertiliser_Products_Data3(), FertiliserProducts[[#Headers],[Company]],61)</f>
        <v/>
      </c>
      <c r="X164" s="146" t="str" cm="1">
        <f t="array" ref="X164">Common_InputFunctions.Utility_DisplayArrayInTable(Fertiliser_SourceData.Fertiliser_Products_Data3(), FertiliserProducts[[#Headers],[Company]],61)</f>
        <v/>
      </c>
      <c r="Y164" s="146" t="str" cm="1">
        <f t="array" ref="Y164">Common_InputFunctions.Utility_DisplayArrayInTable(Fertiliser_SourceData.Fertiliser_Products_Data3(), FertiliserProducts[[#Headers],[Company]],61)</f>
        <v/>
      </c>
      <c r="Z164" s="146" t="str" cm="1">
        <f t="array" ref="Z164">Common_InputFunctions.Utility_DisplayArrayInTable(Fertiliser_SourceData.Fertiliser_Products_Data3(), FertiliserProducts[[#Headers],[Company]],61)</f>
        <v/>
      </c>
      <c r="AA164" s="146" t="str" cm="1">
        <f t="array" ref="AA164">Common_InputFunctions.Utility_DisplayArrayInTable(Fertiliser_SourceData.Fertiliser_Products_Data3(), FertiliserProducts[[#Headers],[Company]],61)</f>
        <v/>
      </c>
      <c r="AB164" s="146" t="str" cm="1">
        <f t="array" ref="AB164">Common_InputFunctions.Utility_DisplayArrayInTable(Fertiliser_SourceData.Fertiliser_Products_Data3(), FertiliserProducts[[#Headers],[Company]],61)</f>
        <v/>
      </c>
      <c r="AC164" s="146" t="str" cm="1">
        <f t="array" ref="AC164">Common_InputFunctions.Utility_DisplayArrayInTable(Fertiliser_SourceData.Fertiliser_Products_Data3(), FertiliserProducts[[#Headers],[Company]],61)</f>
        <v/>
      </c>
      <c r="AD164" s="146" t="str" cm="1">
        <f t="array" ref="AD164">Common_InputFunctions.Utility_DisplayArrayInTable(Fertiliser_SourceData.Fertiliser_Products_Data3(), FertiliserProducts[[#Headers],[Company]],61)</f>
        <v/>
      </c>
      <c r="AE164" s="146" t="str" cm="1">
        <f t="array" ref="AE164">Common_InputFunctions.Utility_DisplayArrayInTable(Fertiliser_SourceData.Fertiliser_Products_Data3(), FertiliserProducts[[#Headers],[Company]],61)</f>
        <v/>
      </c>
      <c r="AF164" s="146" t="str" cm="1">
        <f t="array" ref="AF164">Common_InputFunctions.Utility_DisplayArrayInTable(Fertiliser_SourceData.Fertiliser_Products_Data3(), FertiliserProducts[[#Headers],[Company]],61)</f>
        <v/>
      </c>
      <c r="AG164" s="146" t="str" cm="1">
        <f t="array" ref="AG164">Common_InputFunctions.Utility_DisplayArrayInTable(Fertiliser_SourceData.Fertiliser_Products_Data3(), FertiliserProducts[[#Headers],[Company]],61)</f>
        <v/>
      </c>
      <c r="AH164" s="146" t="str" cm="1">
        <f t="array" ref="AH164">Common_InputFunctions.Utility_DisplayArrayInTable(Fertiliser_SourceData.Fertiliser_Products_Data3(), FertiliserProducts[[#Headers],[Company]],61)</f>
        <v/>
      </c>
      <c r="AK164" s="1"/>
    </row>
    <row r="165" spans="4:37" ht="20.100000000000001" customHeight="1" x14ac:dyDescent="0.2">
      <c r="D165" s="146" t="str" cm="1">
        <f t="array" ref="D165">Common_InputFunctions.Utility_DisplayArrayInTable(Fertiliser_SourceData.Fertiliser_Products_Data3(), FertiliserProducts[[#Headers],[Company]],61)</f>
        <v>Incitec Pivot Fertilisers (or Ravensdown - see note)</v>
      </c>
      <c r="E165" s="146" t="str" cm="1">
        <f t="array" ref="E165">Common_InputFunctions.Utility_DisplayArrayInTable(Fertiliser_SourceData.Fertiliser_Products_Data3(), FertiliserProducts[[#Headers],[Company]],61)</f>
        <v>Flexi-N NI only</v>
      </c>
      <c r="F165" s="146" t="str" cm="1">
        <f t="array" ref="F165">Common_InputFunctions.Utility_DisplayArrayInTable(Fertiliser_SourceData.Fertiliser_Products_Data3(), FertiliserProducts[[#Headers],[Company]],61)</f>
        <v>kg</v>
      </c>
      <c r="G165" s="146" cm="1">
        <f t="array" ref="G165">Common_InputFunctions.Utility_DisplayArrayInTable(Fertiliser_SourceData.Fertiliser_Products_Data3(), FertiliserProducts[[#Headers],[Company]],61)</f>
        <v>1</v>
      </c>
      <c r="H165" s="146" t="str" cm="1">
        <f t="array" ref="H165">Common_InputFunctions.Utility_DisplayArrayInTable(Fertiliser_SourceData.Fertiliser_Products_Data3(), FertiliserProducts[[#Headers],[Company]],61)</f>
        <v>Yes</v>
      </c>
      <c r="I165" s="146" t="str" cm="1">
        <f t="array" ref="I165">Common_InputFunctions.Utility_DisplayArrayInTable(Fertiliser_SourceData.Fertiliser_Products_Data3(), FertiliserProducts[[#Headers],[Company]],61)</f>
        <v/>
      </c>
      <c r="J165" s="146" t="str" cm="1">
        <f t="array" ref="J165">Common_InputFunctions.Utility_DisplayArrayInTable(Fertiliser_SourceData.Fertiliser_Products_Data3(), FertiliserProducts[[#Headers],[Company]],61)</f>
        <v/>
      </c>
      <c r="K165" s="146" cm="1">
        <f t="array" ref="K165">Common_InputFunctions.Utility_DisplayArrayInTable(Fertiliser_SourceData.Fertiliser_Products_Data3(), FertiliserProducts[[#Headers],[Company]],61)</f>
        <v>45.54</v>
      </c>
      <c r="L165" s="146" t="str" cm="1">
        <f t="array" ref="L165">Common_InputFunctions.Utility_DisplayArrayInTable(Fertiliser_SourceData.Fertiliser_Products_Data3(), FertiliserProducts[[#Headers],[Company]],61)</f>
        <v/>
      </c>
      <c r="M165" s="146" t="str" cm="1">
        <f t="array" ref="M165">Common_InputFunctions.Utility_DisplayArrayInTable(Fertiliser_SourceData.Fertiliser_Products_Data3(), FertiliserProducts[[#Headers],[Company]],61)</f>
        <v/>
      </c>
      <c r="N165" s="146" t="str" cm="1">
        <f t="array" ref="N165">Common_InputFunctions.Utility_DisplayArrayInTable(Fertiliser_SourceData.Fertiliser_Products_Data3(), FertiliserProducts[[#Headers],[Company]],61)</f>
        <v/>
      </c>
      <c r="O165" s="146" t="str" cm="1">
        <f t="array" ref="O165">Common_InputFunctions.Utility_DisplayArrayInTable(Fertiliser_SourceData.Fertiliser_Products_Data3(), FertiliserProducts[[#Headers],[Company]],61)</f>
        <v>Urea</v>
      </c>
      <c r="P165" s="146" cm="1">
        <f t="array" ref="P165">Common_InputFunctions.Utility_DisplayArrayInTable(Fertiliser_SourceData.Fertiliser_Products_Data3(), FertiliserProducts[[#Headers],[Company]],61)</f>
        <v>0.99</v>
      </c>
      <c r="Q165" s="146" t="str" cm="1">
        <f t="array" ref="Q165">Common_InputFunctions.Utility_DisplayArrayInTable(Fertiliser_SourceData.Fertiliser_Products_Data3(), FertiliserProducts[[#Headers],[Company]],61)</f>
        <v>Urease/nitrification inhibitor</v>
      </c>
      <c r="R165" s="146" cm="1">
        <f t="array" ref="R165">Common_InputFunctions.Utility_DisplayArrayInTable(Fertiliser_SourceData.Fertiliser_Products_Data3(), FertiliserProducts[[#Headers],[Company]],61)</f>
        <v>0.01</v>
      </c>
      <c r="S165" s="146" t="str" cm="1">
        <f t="array" ref="S165">Common_InputFunctions.Utility_DisplayArrayInTable(Fertiliser_SourceData.Fertiliser_Products_Data3(), FertiliserProducts[[#Headers],[Company]],61)</f>
        <v/>
      </c>
      <c r="T165" s="146" t="str" cm="1">
        <f t="array" ref="T165">Common_InputFunctions.Utility_DisplayArrayInTable(Fertiliser_SourceData.Fertiliser_Products_Data3(), FertiliserProducts[[#Headers],[Company]],61)</f>
        <v/>
      </c>
      <c r="U165" s="146" t="str" cm="1">
        <f t="array" ref="U165">Common_InputFunctions.Utility_DisplayArrayInTable(Fertiliser_SourceData.Fertiliser_Products_Data3(), FertiliserProducts[[#Headers],[Company]],61)</f>
        <v/>
      </c>
      <c r="V165" s="146" t="str" cm="1">
        <f t="array" ref="V165">Common_InputFunctions.Utility_DisplayArrayInTable(Fertiliser_SourceData.Fertiliser_Products_Data3(), FertiliserProducts[[#Headers],[Company]],61)</f>
        <v/>
      </c>
      <c r="W165" s="146" t="str" cm="1">
        <f t="array" ref="W165">Common_InputFunctions.Utility_DisplayArrayInTable(Fertiliser_SourceData.Fertiliser_Products_Data3(), FertiliserProducts[[#Headers],[Company]],61)</f>
        <v/>
      </c>
      <c r="X165" s="146" t="str" cm="1">
        <f t="array" ref="X165">Common_InputFunctions.Utility_DisplayArrayInTable(Fertiliser_SourceData.Fertiliser_Products_Data3(), FertiliserProducts[[#Headers],[Company]],61)</f>
        <v/>
      </c>
      <c r="Y165" s="146" t="str" cm="1">
        <f t="array" ref="Y165">Common_InputFunctions.Utility_DisplayArrayInTable(Fertiliser_SourceData.Fertiliser_Products_Data3(), FertiliserProducts[[#Headers],[Company]],61)</f>
        <v/>
      </c>
      <c r="Z165" s="146" t="str" cm="1">
        <f t="array" ref="Z165">Common_InputFunctions.Utility_DisplayArrayInTable(Fertiliser_SourceData.Fertiliser_Products_Data3(), FertiliserProducts[[#Headers],[Company]],61)</f>
        <v/>
      </c>
      <c r="AA165" s="146" t="str" cm="1">
        <f t="array" ref="AA165">Common_InputFunctions.Utility_DisplayArrayInTable(Fertiliser_SourceData.Fertiliser_Products_Data3(), FertiliserProducts[[#Headers],[Company]],61)</f>
        <v/>
      </c>
      <c r="AB165" s="146" t="str" cm="1">
        <f t="array" ref="AB165">Common_InputFunctions.Utility_DisplayArrayInTable(Fertiliser_SourceData.Fertiliser_Products_Data3(), FertiliserProducts[[#Headers],[Company]],61)</f>
        <v/>
      </c>
      <c r="AC165" s="146" t="str" cm="1">
        <f t="array" ref="AC165">Common_InputFunctions.Utility_DisplayArrayInTable(Fertiliser_SourceData.Fertiliser_Products_Data3(), FertiliserProducts[[#Headers],[Company]],61)</f>
        <v/>
      </c>
      <c r="AD165" s="146" t="str" cm="1">
        <f t="array" ref="AD165">Common_InputFunctions.Utility_DisplayArrayInTable(Fertiliser_SourceData.Fertiliser_Products_Data3(), FertiliserProducts[[#Headers],[Company]],61)</f>
        <v/>
      </c>
      <c r="AE165" s="146" t="str" cm="1">
        <f t="array" ref="AE165">Common_InputFunctions.Utility_DisplayArrayInTable(Fertiliser_SourceData.Fertiliser_Products_Data3(), FertiliserProducts[[#Headers],[Company]],61)</f>
        <v/>
      </c>
      <c r="AF165" s="146" t="str" cm="1">
        <f t="array" ref="AF165">Common_InputFunctions.Utility_DisplayArrayInTable(Fertiliser_SourceData.Fertiliser_Products_Data3(), FertiliserProducts[[#Headers],[Company]],61)</f>
        <v/>
      </c>
      <c r="AG165" s="146" t="str" cm="1">
        <f t="array" ref="AG165">Common_InputFunctions.Utility_DisplayArrayInTable(Fertiliser_SourceData.Fertiliser_Products_Data3(), FertiliserProducts[[#Headers],[Company]],61)</f>
        <v/>
      </c>
      <c r="AH165" s="146" t="str" cm="1">
        <f t="array" ref="AH165">Common_InputFunctions.Utility_DisplayArrayInTable(Fertiliser_SourceData.Fertiliser_Products_Data3(), FertiliserProducts[[#Headers],[Company]],61)</f>
        <v/>
      </c>
      <c r="AK165" s="1"/>
    </row>
    <row r="166" spans="4:37" ht="20.100000000000001" customHeight="1" x14ac:dyDescent="0.2">
      <c r="D166" s="146" t="str" cm="1">
        <f t="array" ref="D166">Common_InputFunctions.Utility_DisplayArrayInTable(Fertiliser_SourceData.Fertiliser_Products_Data3(), FertiliserProducts[[#Headers],[Company]],61)</f>
        <v>Nutri-Tech Solutions (NTS)</v>
      </c>
      <c r="E166" s="146" t="str" cm="1">
        <f t="array" ref="E166">Common_InputFunctions.Utility_DisplayArrayInTable(Fertiliser_SourceData.Fertiliser_Products_Data3(), FertiliserProducts[[#Headers],[Company]],61)</f>
        <v>Muriate Of Potash MOP</v>
      </c>
      <c r="F166" s="146" t="str" cm="1">
        <f t="array" ref="F166">Common_InputFunctions.Utility_DisplayArrayInTable(Fertiliser_SourceData.Fertiliser_Products_Data3(), FertiliserProducts[[#Headers],[Company]],61)</f>
        <v>kg</v>
      </c>
      <c r="G166" s="146" cm="1">
        <f t="array" ref="G166">Common_InputFunctions.Utility_DisplayArrayInTable(Fertiliser_SourceData.Fertiliser_Products_Data3(), FertiliserProducts[[#Headers],[Company]],61)</f>
        <v>1</v>
      </c>
      <c r="H166" s="146" t="str" cm="1">
        <f t="array" ref="H166">Common_InputFunctions.Utility_DisplayArrayInTable(Fertiliser_SourceData.Fertiliser_Products_Data3(), FertiliserProducts[[#Headers],[Company]],61)</f>
        <v/>
      </c>
      <c r="I166" s="146" t="str" cm="1">
        <f t="array" ref="I166">Common_InputFunctions.Utility_DisplayArrayInTable(Fertiliser_SourceData.Fertiliser_Products_Data3(), FertiliserProducts[[#Headers],[Company]],61)</f>
        <v/>
      </c>
      <c r="J166" s="146" t="str" cm="1">
        <f t="array" ref="J166">Common_InputFunctions.Utility_DisplayArrayInTable(Fertiliser_SourceData.Fertiliser_Products_Data3(), FertiliserProducts[[#Headers],[Company]],61)</f>
        <v/>
      </c>
      <c r="K166" s="146" t="str" cm="1">
        <f t="array" ref="K166">Common_InputFunctions.Utility_DisplayArrayInTable(Fertiliser_SourceData.Fertiliser_Products_Data3(), FertiliserProducts[[#Headers],[Company]],61)</f>
        <v/>
      </c>
      <c r="L166" s="146" t="str" cm="1">
        <f t="array" ref="L166">Common_InputFunctions.Utility_DisplayArrayInTable(Fertiliser_SourceData.Fertiliser_Products_Data3(), FertiliserProducts[[#Headers],[Company]],61)</f>
        <v/>
      </c>
      <c r="M166" s="146" cm="1">
        <f t="array" ref="M166">Common_InputFunctions.Utility_DisplayArrayInTable(Fertiliser_SourceData.Fertiliser_Products_Data3(), FertiliserProducts[[#Headers],[Company]],61)</f>
        <v>50</v>
      </c>
      <c r="N166" s="146" t="str" cm="1">
        <f t="array" ref="N166">Common_InputFunctions.Utility_DisplayArrayInTable(Fertiliser_SourceData.Fertiliser_Products_Data3(), FertiliserProducts[[#Headers],[Company]],61)</f>
        <v/>
      </c>
      <c r="O166" s="146" t="str" cm="1">
        <f t="array" ref="O166">Common_InputFunctions.Utility_DisplayArrayInTable(Fertiliser_SourceData.Fertiliser_Products_Data3(), FertiliserProducts[[#Headers],[Company]],61)</f>
        <v>Muriate of potash (MOP)</v>
      </c>
      <c r="P166" s="146" cm="1">
        <f t="array" ref="P166">Common_InputFunctions.Utility_DisplayArrayInTable(Fertiliser_SourceData.Fertiliser_Products_Data3(), FertiliserProducts[[#Headers],[Company]],61)</f>
        <v>1</v>
      </c>
      <c r="Q166" s="146" t="str" cm="1">
        <f t="array" ref="Q166">Common_InputFunctions.Utility_DisplayArrayInTable(Fertiliser_SourceData.Fertiliser_Products_Data3(), FertiliserProducts[[#Headers],[Company]],61)</f>
        <v/>
      </c>
      <c r="R166" s="146" t="str" cm="1">
        <f t="array" ref="R166">Common_InputFunctions.Utility_DisplayArrayInTable(Fertiliser_SourceData.Fertiliser_Products_Data3(), FertiliserProducts[[#Headers],[Company]],61)</f>
        <v/>
      </c>
      <c r="S166" s="146" t="str" cm="1">
        <f t="array" ref="S166">Common_InputFunctions.Utility_DisplayArrayInTable(Fertiliser_SourceData.Fertiliser_Products_Data3(), FertiliserProducts[[#Headers],[Company]],61)</f>
        <v/>
      </c>
      <c r="T166" s="146" t="str" cm="1">
        <f t="array" ref="T166">Common_InputFunctions.Utility_DisplayArrayInTable(Fertiliser_SourceData.Fertiliser_Products_Data3(), FertiliserProducts[[#Headers],[Company]],61)</f>
        <v/>
      </c>
      <c r="U166" s="146" t="str" cm="1">
        <f t="array" ref="U166">Common_InputFunctions.Utility_DisplayArrayInTable(Fertiliser_SourceData.Fertiliser_Products_Data3(), FertiliserProducts[[#Headers],[Company]],61)</f>
        <v/>
      </c>
      <c r="V166" s="146" t="str" cm="1">
        <f t="array" ref="V166">Common_InputFunctions.Utility_DisplayArrayInTable(Fertiliser_SourceData.Fertiliser_Products_Data3(), FertiliserProducts[[#Headers],[Company]],61)</f>
        <v/>
      </c>
      <c r="W166" s="146" t="str" cm="1">
        <f t="array" ref="W166">Common_InputFunctions.Utility_DisplayArrayInTable(Fertiliser_SourceData.Fertiliser_Products_Data3(), FertiliserProducts[[#Headers],[Company]],61)</f>
        <v/>
      </c>
      <c r="X166" s="146" t="str" cm="1">
        <f t="array" ref="X166">Common_InputFunctions.Utility_DisplayArrayInTable(Fertiliser_SourceData.Fertiliser_Products_Data3(), FertiliserProducts[[#Headers],[Company]],61)</f>
        <v/>
      </c>
      <c r="Y166" s="146" t="str" cm="1">
        <f t="array" ref="Y166">Common_InputFunctions.Utility_DisplayArrayInTable(Fertiliser_SourceData.Fertiliser_Products_Data3(), FertiliserProducts[[#Headers],[Company]],61)</f>
        <v/>
      </c>
      <c r="Z166" s="146" t="str" cm="1">
        <f t="array" ref="Z166">Common_InputFunctions.Utility_DisplayArrayInTable(Fertiliser_SourceData.Fertiliser_Products_Data3(), FertiliserProducts[[#Headers],[Company]],61)</f>
        <v/>
      </c>
      <c r="AA166" s="146" t="str" cm="1">
        <f t="array" ref="AA166">Common_InputFunctions.Utility_DisplayArrayInTable(Fertiliser_SourceData.Fertiliser_Products_Data3(), FertiliserProducts[[#Headers],[Company]],61)</f>
        <v/>
      </c>
      <c r="AB166" s="146" t="str" cm="1">
        <f t="array" ref="AB166">Common_InputFunctions.Utility_DisplayArrayInTable(Fertiliser_SourceData.Fertiliser_Products_Data3(), FertiliserProducts[[#Headers],[Company]],61)</f>
        <v/>
      </c>
      <c r="AC166" s="146" t="str" cm="1">
        <f t="array" ref="AC166">Common_InputFunctions.Utility_DisplayArrayInTable(Fertiliser_SourceData.Fertiliser_Products_Data3(), FertiliserProducts[[#Headers],[Company]],61)</f>
        <v/>
      </c>
      <c r="AD166" s="146" t="str" cm="1">
        <f t="array" ref="AD166">Common_InputFunctions.Utility_DisplayArrayInTable(Fertiliser_SourceData.Fertiliser_Products_Data3(), FertiliserProducts[[#Headers],[Company]],61)</f>
        <v/>
      </c>
      <c r="AE166" s="146" t="str" cm="1">
        <f t="array" ref="AE166">Common_InputFunctions.Utility_DisplayArrayInTable(Fertiliser_SourceData.Fertiliser_Products_Data3(), FertiliserProducts[[#Headers],[Company]],61)</f>
        <v/>
      </c>
      <c r="AF166" s="146" t="str" cm="1">
        <f t="array" ref="AF166">Common_InputFunctions.Utility_DisplayArrayInTable(Fertiliser_SourceData.Fertiliser_Products_Data3(), FertiliserProducts[[#Headers],[Company]],61)</f>
        <v/>
      </c>
      <c r="AG166" s="146" t="str" cm="1">
        <f t="array" ref="AG166">Common_InputFunctions.Utility_DisplayArrayInTable(Fertiliser_SourceData.Fertiliser_Products_Data3(), FertiliserProducts[[#Headers],[Company]],61)</f>
        <v/>
      </c>
      <c r="AH166" s="146" t="str" cm="1">
        <f t="array" ref="AH166">Common_InputFunctions.Utility_DisplayArrayInTable(Fertiliser_SourceData.Fertiliser_Products_Data3(), FertiliserProducts[[#Headers],[Company]],61)</f>
        <v/>
      </c>
      <c r="AK166" s="1"/>
    </row>
    <row r="167" spans="4:37" ht="20.100000000000001" customHeight="1" x14ac:dyDescent="0.2">
      <c r="D167" s="146" t="str" cm="1">
        <f t="array" ref="D167">Common_InputFunctions.Utility_DisplayArrayInTable(Fertiliser_SourceData.Fertiliser_Products_Data3(), FertiliserProducts[[#Headers],[Company]],61)</f>
        <v>Nuturf</v>
      </c>
      <c r="E167" s="146" t="str" cm="1">
        <f t="array" ref="E167">Common_InputFunctions.Utility_DisplayArrayInTable(Fertiliser_SourceData.Fertiliser_Products_Data3(), FertiliserProducts[[#Headers],[Company]],61)</f>
        <v>MAP NUTURF</v>
      </c>
      <c r="F167" s="146" t="str" cm="1">
        <f t="array" ref="F167">Common_InputFunctions.Utility_DisplayArrayInTable(Fertiliser_SourceData.Fertiliser_Products_Data3(), FertiliserProducts[[#Headers],[Company]],61)</f>
        <v>kg</v>
      </c>
      <c r="G167" s="146" cm="1">
        <f t="array" ref="G167">Common_InputFunctions.Utility_DisplayArrayInTable(Fertiliser_SourceData.Fertiliser_Products_Data3(), FertiliserProducts[[#Headers],[Company]],61)</f>
        <v>1</v>
      </c>
      <c r="H167" s="146" t="str" cm="1">
        <f t="array" ref="H167">Common_InputFunctions.Utility_DisplayArrayInTable(Fertiliser_SourceData.Fertiliser_Products_Data3(), FertiliserProducts[[#Headers],[Company]],61)</f>
        <v/>
      </c>
      <c r="I167" s="146" t="str" cm="1">
        <f t="array" ref="I167">Common_InputFunctions.Utility_DisplayArrayInTable(Fertiliser_SourceData.Fertiliser_Products_Data3(), FertiliserProducts[[#Headers],[Company]],61)</f>
        <v/>
      </c>
      <c r="J167" s="146" t="str" cm="1">
        <f t="array" ref="J167">Common_InputFunctions.Utility_DisplayArrayInTable(Fertiliser_SourceData.Fertiliser_Products_Data3(), FertiliserProducts[[#Headers],[Company]],61)</f>
        <v/>
      </c>
      <c r="K167" s="146" cm="1">
        <f t="array" ref="K167">Common_InputFunctions.Utility_DisplayArrayInTable(Fertiliser_SourceData.Fertiliser_Products_Data3(), FertiliserProducts[[#Headers],[Company]],61)</f>
        <v>10</v>
      </c>
      <c r="L167" s="146" cm="1">
        <f t="array" ref="L167">Common_InputFunctions.Utility_DisplayArrayInTable(Fertiliser_SourceData.Fertiliser_Products_Data3(), FertiliserProducts[[#Headers],[Company]],61)</f>
        <v>21.9</v>
      </c>
      <c r="M167" s="146" t="str" cm="1">
        <f t="array" ref="M167">Common_InputFunctions.Utility_DisplayArrayInTable(Fertiliser_SourceData.Fertiliser_Products_Data3(), FertiliserProducts[[#Headers],[Company]],61)</f>
        <v/>
      </c>
      <c r="N167" s="146" t="str" cm="1">
        <f t="array" ref="N167">Common_InputFunctions.Utility_DisplayArrayInTable(Fertiliser_SourceData.Fertiliser_Products_Data3(), FertiliserProducts[[#Headers],[Company]],61)</f>
        <v/>
      </c>
      <c r="O167" s="146" t="str" cm="1">
        <f t="array" ref="O167">Common_InputFunctions.Utility_DisplayArrayInTable(Fertiliser_SourceData.Fertiliser_Products_Data3(), FertiliserProducts[[#Headers],[Company]],61)</f>
        <v>Monoammonium phosphate (MAP)</v>
      </c>
      <c r="P167" s="146" cm="1">
        <f t="array" ref="P167">Common_InputFunctions.Utility_DisplayArrayInTable(Fertiliser_SourceData.Fertiliser_Products_Data3(), FertiliserProducts[[#Headers],[Company]],61)</f>
        <v>1</v>
      </c>
      <c r="Q167" s="146" t="str" cm="1">
        <f t="array" ref="Q167">Common_InputFunctions.Utility_DisplayArrayInTable(Fertiliser_SourceData.Fertiliser_Products_Data3(), FertiliserProducts[[#Headers],[Company]],61)</f>
        <v/>
      </c>
      <c r="R167" s="146" t="str" cm="1">
        <f t="array" ref="R167">Common_InputFunctions.Utility_DisplayArrayInTable(Fertiliser_SourceData.Fertiliser_Products_Data3(), FertiliserProducts[[#Headers],[Company]],61)</f>
        <v/>
      </c>
      <c r="S167" s="146" t="str" cm="1">
        <f t="array" ref="S167">Common_InputFunctions.Utility_DisplayArrayInTable(Fertiliser_SourceData.Fertiliser_Products_Data3(), FertiliserProducts[[#Headers],[Company]],61)</f>
        <v/>
      </c>
      <c r="T167" s="146" t="str" cm="1">
        <f t="array" ref="T167">Common_InputFunctions.Utility_DisplayArrayInTable(Fertiliser_SourceData.Fertiliser_Products_Data3(), FertiliserProducts[[#Headers],[Company]],61)</f>
        <v/>
      </c>
      <c r="U167" s="146" t="str" cm="1">
        <f t="array" ref="U167">Common_InputFunctions.Utility_DisplayArrayInTable(Fertiliser_SourceData.Fertiliser_Products_Data3(), FertiliserProducts[[#Headers],[Company]],61)</f>
        <v/>
      </c>
      <c r="V167" s="146" t="str" cm="1">
        <f t="array" ref="V167">Common_InputFunctions.Utility_DisplayArrayInTable(Fertiliser_SourceData.Fertiliser_Products_Data3(), FertiliserProducts[[#Headers],[Company]],61)</f>
        <v/>
      </c>
      <c r="W167" s="146" t="str" cm="1">
        <f t="array" ref="W167">Common_InputFunctions.Utility_DisplayArrayInTable(Fertiliser_SourceData.Fertiliser_Products_Data3(), FertiliserProducts[[#Headers],[Company]],61)</f>
        <v/>
      </c>
      <c r="X167" s="146" t="str" cm="1">
        <f t="array" ref="X167">Common_InputFunctions.Utility_DisplayArrayInTable(Fertiliser_SourceData.Fertiliser_Products_Data3(), FertiliserProducts[[#Headers],[Company]],61)</f>
        <v/>
      </c>
      <c r="Y167" s="146" t="str" cm="1">
        <f t="array" ref="Y167">Common_InputFunctions.Utility_DisplayArrayInTable(Fertiliser_SourceData.Fertiliser_Products_Data3(), FertiliserProducts[[#Headers],[Company]],61)</f>
        <v/>
      </c>
      <c r="Z167" s="146" t="str" cm="1">
        <f t="array" ref="Z167">Common_InputFunctions.Utility_DisplayArrayInTable(Fertiliser_SourceData.Fertiliser_Products_Data3(), FertiliserProducts[[#Headers],[Company]],61)</f>
        <v/>
      </c>
      <c r="AA167" s="146" t="str" cm="1">
        <f t="array" ref="AA167">Common_InputFunctions.Utility_DisplayArrayInTable(Fertiliser_SourceData.Fertiliser_Products_Data3(), FertiliserProducts[[#Headers],[Company]],61)</f>
        <v/>
      </c>
      <c r="AB167" s="146" t="str" cm="1">
        <f t="array" ref="AB167">Common_InputFunctions.Utility_DisplayArrayInTable(Fertiliser_SourceData.Fertiliser_Products_Data3(), FertiliserProducts[[#Headers],[Company]],61)</f>
        <v/>
      </c>
      <c r="AC167" s="146" t="str" cm="1">
        <f t="array" ref="AC167">Common_InputFunctions.Utility_DisplayArrayInTable(Fertiliser_SourceData.Fertiliser_Products_Data3(), FertiliserProducts[[#Headers],[Company]],61)</f>
        <v/>
      </c>
      <c r="AD167" s="146" t="str" cm="1">
        <f t="array" ref="AD167">Common_InputFunctions.Utility_DisplayArrayInTable(Fertiliser_SourceData.Fertiliser_Products_Data3(), FertiliserProducts[[#Headers],[Company]],61)</f>
        <v/>
      </c>
      <c r="AE167" s="146" t="str" cm="1">
        <f t="array" ref="AE167">Common_InputFunctions.Utility_DisplayArrayInTable(Fertiliser_SourceData.Fertiliser_Products_Data3(), FertiliserProducts[[#Headers],[Company]],61)</f>
        <v/>
      </c>
      <c r="AF167" s="146" t="str" cm="1">
        <f t="array" ref="AF167">Common_InputFunctions.Utility_DisplayArrayInTable(Fertiliser_SourceData.Fertiliser_Products_Data3(), FertiliserProducts[[#Headers],[Company]],61)</f>
        <v/>
      </c>
      <c r="AG167" s="146" t="str" cm="1">
        <f t="array" ref="AG167">Common_InputFunctions.Utility_DisplayArrayInTable(Fertiliser_SourceData.Fertiliser_Products_Data3(), FertiliserProducts[[#Headers],[Company]],61)</f>
        <v/>
      </c>
      <c r="AH167" s="146" t="str" cm="1">
        <f t="array" ref="AH167">Common_InputFunctions.Utility_DisplayArrayInTable(Fertiliser_SourceData.Fertiliser_Products_Data3(), FertiliserProducts[[#Headers],[Company]],61)</f>
        <v/>
      </c>
      <c r="AK167" s="1"/>
    </row>
    <row r="168" spans="4:37" ht="20.100000000000001" customHeight="1" x14ac:dyDescent="0.2">
      <c r="D168" s="146" t="str" cm="1">
        <f t="array" ref="D168">Common_InputFunctions.Utility_DisplayArrayInTable(Fertiliser_SourceData.Fertiliser_Products_Data3(), FertiliserProducts[[#Headers],[Company]],61)</f>
        <v>Campbells fertilisers Australia</v>
      </c>
      <c r="E168" s="146" t="str" cm="1">
        <f t="array" ref="E168">Common_InputFunctions.Utility_DisplayArrayInTable(Fertiliser_SourceData.Fertiliser_Products_Data3(), FertiliserProducts[[#Headers],[Company]],61)</f>
        <v>Quick-N</v>
      </c>
      <c r="F168" s="146" t="str" cm="1">
        <f t="array" ref="F168">Common_InputFunctions.Utility_DisplayArrayInTable(Fertiliser_SourceData.Fertiliser_Products_Data3(), FertiliserProducts[[#Headers],[Company]],61)</f>
        <v>kg</v>
      </c>
      <c r="G168" s="146" cm="1">
        <f t="array" ref="G168">Common_InputFunctions.Utility_DisplayArrayInTable(Fertiliser_SourceData.Fertiliser_Products_Data3(), FertiliserProducts[[#Headers],[Company]],61)</f>
        <v>1</v>
      </c>
      <c r="H168" s="146" t="str" cm="1">
        <f t="array" ref="H168">Common_InputFunctions.Utility_DisplayArrayInTable(Fertiliser_SourceData.Fertiliser_Products_Data3(), FertiliserProducts[[#Headers],[Company]],61)</f>
        <v/>
      </c>
      <c r="I168" s="146" t="str" cm="1">
        <f t="array" ref="I168">Common_InputFunctions.Utility_DisplayArrayInTable(Fertiliser_SourceData.Fertiliser_Products_Data3(), FertiliserProducts[[#Headers],[Company]],61)</f>
        <v/>
      </c>
      <c r="J168" s="146" t="str" cm="1">
        <f t="array" ref="J168">Common_InputFunctions.Utility_DisplayArrayInTable(Fertiliser_SourceData.Fertiliser_Products_Data3(), FertiliserProducts[[#Headers],[Company]],61)</f>
        <v/>
      </c>
      <c r="K168" s="146" cm="1">
        <f t="array" ref="K168">Common_InputFunctions.Utility_DisplayArrayInTable(Fertiliser_SourceData.Fertiliser_Products_Data3(), FertiliserProducts[[#Headers],[Company]],61)</f>
        <v>26</v>
      </c>
      <c r="L168" s="146" t="str" cm="1">
        <f t="array" ref="L168">Common_InputFunctions.Utility_DisplayArrayInTable(Fertiliser_SourceData.Fertiliser_Products_Data3(), FertiliserProducts[[#Headers],[Company]],61)</f>
        <v/>
      </c>
      <c r="M168" s="146" t="str" cm="1">
        <f t="array" ref="M168">Common_InputFunctions.Utility_DisplayArrayInTable(Fertiliser_SourceData.Fertiliser_Products_Data3(), FertiliserProducts[[#Headers],[Company]],61)</f>
        <v/>
      </c>
      <c r="N168" s="146" cm="1">
        <f t="array" ref="N168">Common_InputFunctions.Utility_DisplayArrayInTable(Fertiliser_SourceData.Fertiliser_Products_Data3(), FertiliserProducts[[#Headers],[Company]],61)</f>
        <v>13</v>
      </c>
      <c r="O168" s="146" t="str" cm="1">
        <f t="array" ref="O168">Common_InputFunctions.Utility_DisplayArrayInTable(Fertiliser_SourceData.Fertiliser_Products_Data3(), FertiliserProducts[[#Headers],[Company]],61)</f>
        <v>Sulphate of ammonia (SOA)</v>
      </c>
      <c r="P168" s="146" cm="1">
        <f t="array" ref="P168">Common_InputFunctions.Utility_DisplayArrayInTable(Fertiliser_SourceData.Fertiliser_Products_Data3(), FertiliserProducts[[#Headers],[Company]],61)</f>
        <v>0.54166700000000001</v>
      </c>
      <c r="Q168" s="146" t="str" cm="1">
        <f t="array" ref="Q168">Common_InputFunctions.Utility_DisplayArrayInTable(Fertiliser_SourceData.Fertiliser_Products_Data3(), FertiliserProducts[[#Headers],[Company]],61)</f>
        <v>Ammonium nitrate (AN)</v>
      </c>
      <c r="R168" s="146" cm="1">
        <f t="array" ref="R168">Common_InputFunctions.Utility_DisplayArrayInTable(Fertiliser_SourceData.Fertiliser_Products_Data3(), FertiliserProducts[[#Headers],[Company]],61)</f>
        <v>0.43397599999999997</v>
      </c>
      <c r="S168" s="146" t="str" cm="1">
        <f t="array" ref="S168">Common_InputFunctions.Utility_DisplayArrayInTable(Fertiliser_SourceData.Fertiliser_Products_Data3(), FertiliserProducts[[#Headers],[Company]],61)</f>
        <v/>
      </c>
      <c r="T168" s="146" t="str" cm="1">
        <f t="array" ref="T168">Common_InputFunctions.Utility_DisplayArrayInTable(Fertiliser_SourceData.Fertiliser_Products_Data3(), FertiliserProducts[[#Headers],[Company]],61)</f>
        <v/>
      </c>
      <c r="U168" s="146" t="str" cm="1">
        <f t="array" ref="U168">Common_InputFunctions.Utility_DisplayArrayInTable(Fertiliser_SourceData.Fertiliser_Products_Data3(), FertiliserProducts[[#Headers],[Company]],61)</f>
        <v/>
      </c>
      <c r="V168" s="146" t="str" cm="1">
        <f t="array" ref="V168">Common_InputFunctions.Utility_DisplayArrayInTable(Fertiliser_SourceData.Fertiliser_Products_Data3(), FertiliserProducts[[#Headers],[Company]],61)</f>
        <v/>
      </c>
      <c r="W168" s="146" t="str" cm="1">
        <f t="array" ref="W168">Common_InputFunctions.Utility_DisplayArrayInTable(Fertiliser_SourceData.Fertiliser_Products_Data3(), FertiliserProducts[[#Headers],[Company]],61)</f>
        <v/>
      </c>
      <c r="X168" s="146" t="str" cm="1">
        <f t="array" ref="X168">Common_InputFunctions.Utility_DisplayArrayInTable(Fertiliser_SourceData.Fertiliser_Products_Data3(), FertiliserProducts[[#Headers],[Company]],61)</f>
        <v/>
      </c>
      <c r="Y168" s="146" t="str" cm="1">
        <f t="array" ref="Y168">Common_InputFunctions.Utility_DisplayArrayInTable(Fertiliser_SourceData.Fertiliser_Products_Data3(), FertiliserProducts[[#Headers],[Company]],61)</f>
        <v/>
      </c>
      <c r="Z168" s="146" t="str" cm="1">
        <f t="array" ref="Z168">Common_InputFunctions.Utility_DisplayArrayInTable(Fertiliser_SourceData.Fertiliser_Products_Data3(), FertiliserProducts[[#Headers],[Company]],61)</f>
        <v/>
      </c>
      <c r="AA168" s="146" t="str" cm="1">
        <f t="array" ref="AA168">Common_InputFunctions.Utility_DisplayArrayInTable(Fertiliser_SourceData.Fertiliser_Products_Data3(), FertiliserProducts[[#Headers],[Company]],61)</f>
        <v/>
      </c>
      <c r="AB168" s="146" t="str" cm="1">
        <f t="array" ref="AB168">Common_InputFunctions.Utility_DisplayArrayInTable(Fertiliser_SourceData.Fertiliser_Products_Data3(), FertiliserProducts[[#Headers],[Company]],61)</f>
        <v/>
      </c>
      <c r="AC168" s="146" t="str" cm="1">
        <f t="array" ref="AC168">Common_InputFunctions.Utility_DisplayArrayInTable(Fertiliser_SourceData.Fertiliser_Products_Data3(), FertiliserProducts[[#Headers],[Company]],61)</f>
        <v/>
      </c>
      <c r="AD168" s="146" t="str" cm="1">
        <f t="array" ref="AD168">Common_InputFunctions.Utility_DisplayArrayInTable(Fertiliser_SourceData.Fertiliser_Products_Data3(), FertiliserProducts[[#Headers],[Company]],61)</f>
        <v/>
      </c>
      <c r="AE168" s="146" t="str" cm="1">
        <f t="array" ref="AE168">Common_InputFunctions.Utility_DisplayArrayInTable(Fertiliser_SourceData.Fertiliser_Products_Data3(), FertiliserProducts[[#Headers],[Company]],61)</f>
        <v/>
      </c>
      <c r="AF168" s="146" t="str" cm="1">
        <f t="array" ref="AF168">Common_InputFunctions.Utility_DisplayArrayInTable(Fertiliser_SourceData.Fertiliser_Products_Data3(), FertiliserProducts[[#Headers],[Company]],61)</f>
        <v/>
      </c>
      <c r="AG168" s="146" t="str" cm="1">
        <f t="array" ref="AG168">Common_InputFunctions.Utility_DisplayArrayInTable(Fertiliser_SourceData.Fertiliser_Products_Data3(), FertiliserProducts[[#Headers],[Company]],61)</f>
        <v/>
      </c>
      <c r="AH168" s="146" t="str" cm="1">
        <f t="array" ref="AH168">Common_InputFunctions.Utility_DisplayArrayInTable(Fertiliser_SourceData.Fertiliser_Products_Data3(), FertiliserProducts[[#Headers],[Company]],61)</f>
        <v/>
      </c>
      <c r="AK168" s="1"/>
    </row>
    <row r="169" spans="4:37" ht="20.100000000000001" customHeight="1" x14ac:dyDescent="0.2">
      <c r="D169" s="146" t="str" cm="1">
        <f t="array" ref="D169">Common_InputFunctions.Utility_DisplayArrayInTable(Fertiliser_SourceData.Fertiliser_Products_Data3(), FertiliserProducts[[#Headers],[Company]],61)</f>
        <v>SLTEC Fertilizers</v>
      </c>
      <c r="E169" s="146" t="str" cm="1">
        <f t="array" ref="E169">Common_InputFunctions.Utility_DisplayArrayInTable(Fertiliser_SourceData.Fertiliser_Products_Data3(), FertiliserProducts[[#Headers],[Company]],61)</f>
        <v>UAS</v>
      </c>
      <c r="F169" s="146" t="str" cm="1">
        <f t="array" ref="F169">Common_InputFunctions.Utility_DisplayArrayInTable(Fertiliser_SourceData.Fertiliser_Products_Data3(), FertiliserProducts[[#Headers],[Company]],61)</f>
        <v>L</v>
      </c>
      <c r="G169" s="146" cm="1">
        <f t="array" ref="G169">Common_InputFunctions.Utility_DisplayArrayInTable(Fertiliser_SourceData.Fertiliser_Products_Data3(), FertiliserProducts[[#Headers],[Company]],61)</f>
        <v>1.2350000000000001</v>
      </c>
      <c r="H169" s="146" t="str" cm="1">
        <f t="array" ref="H169">Common_InputFunctions.Utility_DisplayArrayInTable(Fertiliser_SourceData.Fertiliser_Products_Data3(), FertiliserProducts[[#Headers],[Company]],61)</f>
        <v/>
      </c>
      <c r="I169" s="146" t="str" cm="1">
        <f t="array" ref="I169">Common_InputFunctions.Utility_DisplayArrayInTable(Fertiliser_SourceData.Fertiliser_Products_Data3(), FertiliserProducts[[#Headers],[Company]],61)</f>
        <v/>
      </c>
      <c r="J169" s="146" t="str" cm="1">
        <f t="array" ref="J169">Common_InputFunctions.Utility_DisplayArrayInTable(Fertiliser_SourceData.Fertiliser_Products_Data3(), FertiliserProducts[[#Headers],[Company]],61)</f>
        <v/>
      </c>
      <c r="K169" s="146" cm="1">
        <f t="array" ref="K169">Common_InputFunctions.Utility_DisplayArrayInTable(Fertiliser_SourceData.Fertiliser_Products_Data3(), FertiliserProducts[[#Headers],[Company]],61)</f>
        <v>26.6</v>
      </c>
      <c r="L169" s="146" t="str" cm="1">
        <f t="array" ref="L169">Common_InputFunctions.Utility_DisplayArrayInTable(Fertiliser_SourceData.Fertiliser_Products_Data3(), FertiliserProducts[[#Headers],[Company]],61)</f>
        <v/>
      </c>
      <c r="M169" s="146" t="str" cm="1">
        <f t="array" ref="M169">Common_InputFunctions.Utility_DisplayArrayInTable(Fertiliser_SourceData.Fertiliser_Products_Data3(), FertiliserProducts[[#Headers],[Company]],61)</f>
        <v/>
      </c>
      <c r="N169" s="146" cm="1">
        <f t="array" ref="N169">Common_InputFunctions.Utility_DisplayArrayInTable(Fertiliser_SourceData.Fertiliser_Products_Data3(), FertiliserProducts[[#Headers],[Company]],61)</f>
        <v>6.7</v>
      </c>
      <c r="O169" s="146" t="str" cm="1">
        <f t="array" ref="O169">Common_InputFunctions.Utility_DisplayArrayInTable(Fertiliser_SourceData.Fertiliser_Products_Data3(), FertiliserProducts[[#Headers],[Company]],61)</f>
        <v>Urea</v>
      </c>
      <c r="P169" s="146" cm="1">
        <f t="array" ref="P169">Common_InputFunctions.Utility_DisplayArrayInTable(Fertiliser_SourceData.Fertiliser_Products_Data3(), FertiliserProducts[[#Headers],[Company]],61)</f>
        <v>0.45081500000000002</v>
      </c>
      <c r="Q169" s="146" t="str" cm="1">
        <f t="array" ref="Q169">Common_InputFunctions.Utility_DisplayArrayInTable(Fertiliser_SourceData.Fertiliser_Products_Data3(), FertiliserProducts[[#Headers],[Company]],61)</f>
        <v>Sulphate of ammonia (SOA)</v>
      </c>
      <c r="R169" s="146" cm="1">
        <f t="array" ref="R169">Common_InputFunctions.Utility_DisplayArrayInTable(Fertiliser_SourceData.Fertiliser_Products_Data3(), FertiliserProducts[[#Headers],[Company]],61)</f>
        <v>0.279167</v>
      </c>
      <c r="S169" s="146" t="str" cm="1">
        <f t="array" ref="S169">Common_InputFunctions.Utility_DisplayArrayInTable(Fertiliser_SourceData.Fertiliser_Products_Data3(), FertiliserProducts[[#Headers],[Company]],61)</f>
        <v/>
      </c>
      <c r="T169" s="146" t="str" cm="1">
        <f t="array" ref="T169">Common_InputFunctions.Utility_DisplayArrayInTable(Fertiliser_SourceData.Fertiliser_Products_Data3(), FertiliserProducts[[#Headers],[Company]],61)</f>
        <v/>
      </c>
      <c r="U169" s="146" t="str" cm="1">
        <f t="array" ref="U169">Common_InputFunctions.Utility_DisplayArrayInTable(Fertiliser_SourceData.Fertiliser_Products_Data3(), FertiliserProducts[[#Headers],[Company]],61)</f>
        <v/>
      </c>
      <c r="V169" s="146" t="str" cm="1">
        <f t="array" ref="V169">Common_InputFunctions.Utility_DisplayArrayInTable(Fertiliser_SourceData.Fertiliser_Products_Data3(), FertiliserProducts[[#Headers],[Company]],61)</f>
        <v/>
      </c>
      <c r="W169" s="146" t="str" cm="1">
        <f t="array" ref="W169">Common_InputFunctions.Utility_DisplayArrayInTable(Fertiliser_SourceData.Fertiliser_Products_Data3(), FertiliserProducts[[#Headers],[Company]],61)</f>
        <v/>
      </c>
      <c r="X169" s="146" t="str" cm="1">
        <f t="array" ref="X169">Common_InputFunctions.Utility_DisplayArrayInTable(Fertiliser_SourceData.Fertiliser_Products_Data3(), FertiliserProducts[[#Headers],[Company]],61)</f>
        <v/>
      </c>
      <c r="Y169" s="146" t="str" cm="1">
        <f t="array" ref="Y169">Common_InputFunctions.Utility_DisplayArrayInTable(Fertiliser_SourceData.Fertiliser_Products_Data3(), FertiliserProducts[[#Headers],[Company]],61)</f>
        <v/>
      </c>
      <c r="Z169" s="146" t="str" cm="1">
        <f t="array" ref="Z169">Common_InputFunctions.Utility_DisplayArrayInTable(Fertiliser_SourceData.Fertiliser_Products_Data3(), FertiliserProducts[[#Headers],[Company]],61)</f>
        <v/>
      </c>
      <c r="AA169" s="146" t="str" cm="1">
        <f t="array" ref="AA169">Common_InputFunctions.Utility_DisplayArrayInTable(Fertiliser_SourceData.Fertiliser_Products_Data3(), FertiliserProducts[[#Headers],[Company]],61)</f>
        <v/>
      </c>
      <c r="AB169" s="146" t="str" cm="1">
        <f t="array" ref="AB169">Common_InputFunctions.Utility_DisplayArrayInTable(Fertiliser_SourceData.Fertiliser_Products_Data3(), FertiliserProducts[[#Headers],[Company]],61)</f>
        <v/>
      </c>
      <c r="AC169" s="146" t="str" cm="1">
        <f t="array" ref="AC169">Common_InputFunctions.Utility_DisplayArrayInTable(Fertiliser_SourceData.Fertiliser_Products_Data3(), FertiliserProducts[[#Headers],[Company]],61)</f>
        <v/>
      </c>
      <c r="AD169" s="146" t="str" cm="1">
        <f t="array" ref="AD169">Common_InputFunctions.Utility_DisplayArrayInTable(Fertiliser_SourceData.Fertiliser_Products_Data3(), FertiliserProducts[[#Headers],[Company]],61)</f>
        <v/>
      </c>
      <c r="AE169" s="146" t="str" cm="1">
        <f t="array" ref="AE169">Common_InputFunctions.Utility_DisplayArrayInTable(Fertiliser_SourceData.Fertiliser_Products_Data3(), FertiliserProducts[[#Headers],[Company]],61)</f>
        <v/>
      </c>
      <c r="AF169" s="146" t="str" cm="1">
        <f t="array" ref="AF169">Common_InputFunctions.Utility_DisplayArrayInTable(Fertiliser_SourceData.Fertiliser_Products_Data3(), FertiliserProducts[[#Headers],[Company]],61)</f>
        <v/>
      </c>
      <c r="AG169" s="146" t="str" cm="1">
        <f t="array" ref="AG169">Common_InputFunctions.Utility_DisplayArrayInTable(Fertiliser_SourceData.Fertiliser_Products_Data3(), FertiliserProducts[[#Headers],[Company]],61)</f>
        <v/>
      </c>
      <c r="AH169" s="146" t="str" cm="1">
        <f t="array" ref="AH169">Common_InputFunctions.Utility_DisplayArrayInTable(Fertiliser_SourceData.Fertiliser_Products_Data3(), FertiliserProducts[[#Headers],[Company]],61)</f>
        <v/>
      </c>
      <c r="AK169" s="1"/>
    </row>
    <row r="170" spans="4:37" ht="20.100000000000001" customHeight="1" x14ac:dyDescent="0.2">
      <c r="D170" s="146" t="str" cm="1">
        <f t="array" ref="D170">Common_InputFunctions.Utility_DisplayArrayInTable(Fertiliser_SourceData.Fertiliser_Products_Data3(), FertiliserProducts[[#Headers],[Company]],61)</f>
        <v>SLTEC Fertilizers</v>
      </c>
      <c r="E170" s="146" t="str" cm="1">
        <f t="array" ref="E170">Common_InputFunctions.Utility_DisplayArrayInTable(Fertiliser_SourceData.Fertiliser_Products_Data3(), FertiliserProducts[[#Headers],[Company]],61)</f>
        <v>Triazone Urea</v>
      </c>
      <c r="F170" s="146" t="str" cm="1">
        <f t="array" ref="F170">Common_InputFunctions.Utility_DisplayArrayInTable(Fertiliser_SourceData.Fertiliser_Products_Data3(), FertiliserProducts[[#Headers],[Company]],61)</f>
        <v>L</v>
      </c>
      <c r="G170" s="146" cm="1">
        <f t="array" ref="G170">Common_InputFunctions.Utility_DisplayArrayInTable(Fertiliser_SourceData.Fertiliser_Products_Data3(), FertiliserProducts[[#Headers],[Company]],61)</f>
        <v>1.28</v>
      </c>
      <c r="H170" s="146" t="str" cm="1">
        <f t="array" ref="H170">Common_InputFunctions.Utility_DisplayArrayInTable(Fertiliser_SourceData.Fertiliser_Products_Data3(), FertiliserProducts[[#Headers],[Company]],61)</f>
        <v/>
      </c>
      <c r="I170" s="146" t="str" cm="1">
        <f t="array" ref="I170">Common_InputFunctions.Utility_DisplayArrayInTable(Fertiliser_SourceData.Fertiliser_Products_Data3(), FertiliserProducts[[#Headers],[Company]],61)</f>
        <v/>
      </c>
      <c r="J170" s="146" t="str" cm="1">
        <f t="array" ref="J170">Common_InputFunctions.Utility_DisplayArrayInTable(Fertiliser_SourceData.Fertiliser_Products_Data3(), FertiliserProducts[[#Headers],[Company]],61)</f>
        <v/>
      </c>
      <c r="K170" s="146" cm="1">
        <f t="array" ref="K170">Common_InputFunctions.Utility_DisplayArrayInTable(Fertiliser_SourceData.Fertiliser_Products_Data3(), FertiliserProducts[[#Headers],[Company]],61)</f>
        <v>0</v>
      </c>
      <c r="L170" s="146" t="str" cm="1">
        <f t="array" ref="L170">Common_InputFunctions.Utility_DisplayArrayInTable(Fertiliser_SourceData.Fertiliser_Products_Data3(), FertiliserProducts[[#Headers],[Company]],61)</f>
        <v/>
      </c>
      <c r="M170" s="146" t="str" cm="1">
        <f t="array" ref="M170">Common_InputFunctions.Utility_DisplayArrayInTable(Fertiliser_SourceData.Fertiliser_Products_Data3(), FertiliserProducts[[#Headers],[Company]],61)</f>
        <v/>
      </c>
      <c r="N170" s="146" t="str" cm="1">
        <f t="array" ref="N170">Common_InputFunctions.Utility_DisplayArrayInTable(Fertiliser_SourceData.Fertiliser_Products_Data3(), FertiliserProducts[[#Headers],[Company]],61)</f>
        <v/>
      </c>
      <c r="O170" s="146" t="str" cm="1">
        <f t="array" ref="O170">Common_InputFunctions.Utility_DisplayArrayInTable(Fertiliser_SourceData.Fertiliser_Products_Data3(), FertiliserProducts[[#Headers],[Company]],61)</f>
        <v>Urea</v>
      </c>
      <c r="P170" s="146" cm="1">
        <f t="array" ref="P170">Common_InputFunctions.Utility_DisplayArrayInTable(Fertiliser_SourceData.Fertiliser_Products_Data3(), FertiliserProducts[[#Headers],[Company]],61)</f>
        <v>0.65217400000000003</v>
      </c>
      <c r="Q170" s="146" t="str" cm="1">
        <f t="array" ref="Q170">Common_InputFunctions.Utility_DisplayArrayInTable(Fertiliser_SourceData.Fertiliser_Products_Data3(), FertiliserProducts[[#Headers],[Company]],61)</f>
        <v/>
      </c>
      <c r="R170" s="146" t="str" cm="1">
        <f t="array" ref="R170">Common_InputFunctions.Utility_DisplayArrayInTable(Fertiliser_SourceData.Fertiliser_Products_Data3(), FertiliserProducts[[#Headers],[Company]],61)</f>
        <v/>
      </c>
      <c r="S170" s="146" t="str" cm="1">
        <f t="array" ref="S170">Common_InputFunctions.Utility_DisplayArrayInTable(Fertiliser_SourceData.Fertiliser_Products_Data3(), FertiliserProducts[[#Headers],[Company]],61)</f>
        <v/>
      </c>
      <c r="T170" s="146" t="str" cm="1">
        <f t="array" ref="T170">Common_InputFunctions.Utility_DisplayArrayInTable(Fertiliser_SourceData.Fertiliser_Products_Data3(), FertiliserProducts[[#Headers],[Company]],61)</f>
        <v/>
      </c>
      <c r="U170" s="146" t="str" cm="1">
        <f t="array" ref="U170">Common_InputFunctions.Utility_DisplayArrayInTable(Fertiliser_SourceData.Fertiliser_Products_Data3(), FertiliserProducts[[#Headers],[Company]],61)</f>
        <v/>
      </c>
      <c r="V170" s="146" t="str" cm="1">
        <f t="array" ref="V170">Common_InputFunctions.Utility_DisplayArrayInTable(Fertiliser_SourceData.Fertiliser_Products_Data3(), FertiliserProducts[[#Headers],[Company]],61)</f>
        <v/>
      </c>
      <c r="W170" s="146" t="str" cm="1">
        <f t="array" ref="W170">Common_InputFunctions.Utility_DisplayArrayInTable(Fertiliser_SourceData.Fertiliser_Products_Data3(), FertiliserProducts[[#Headers],[Company]],61)</f>
        <v/>
      </c>
      <c r="X170" s="146" t="str" cm="1">
        <f t="array" ref="X170">Common_InputFunctions.Utility_DisplayArrayInTable(Fertiliser_SourceData.Fertiliser_Products_Data3(), FertiliserProducts[[#Headers],[Company]],61)</f>
        <v/>
      </c>
      <c r="Y170" s="146" t="str" cm="1">
        <f t="array" ref="Y170">Common_InputFunctions.Utility_DisplayArrayInTable(Fertiliser_SourceData.Fertiliser_Products_Data3(), FertiliserProducts[[#Headers],[Company]],61)</f>
        <v/>
      </c>
      <c r="Z170" s="146" t="str" cm="1">
        <f t="array" ref="Z170">Common_InputFunctions.Utility_DisplayArrayInTable(Fertiliser_SourceData.Fertiliser_Products_Data3(), FertiliserProducts[[#Headers],[Company]],61)</f>
        <v/>
      </c>
      <c r="AA170" s="146" t="str" cm="1">
        <f t="array" ref="AA170">Common_InputFunctions.Utility_DisplayArrayInTable(Fertiliser_SourceData.Fertiliser_Products_Data3(), FertiliserProducts[[#Headers],[Company]],61)</f>
        <v/>
      </c>
      <c r="AB170" s="146" t="str" cm="1">
        <f t="array" ref="AB170">Common_InputFunctions.Utility_DisplayArrayInTable(Fertiliser_SourceData.Fertiliser_Products_Data3(), FertiliserProducts[[#Headers],[Company]],61)</f>
        <v/>
      </c>
      <c r="AC170" s="146" t="str" cm="1">
        <f t="array" ref="AC170">Common_InputFunctions.Utility_DisplayArrayInTable(Fertiliser_SourceData.Fertiliser_Products_Data3(), FertiliserProducts[[#Headers],[Company]],61)</f>
        <v/>
      </c>
      <c r="AD170" s="146" t="str" cm="1">
        <f t="array" ref="AD170">Common_InputFunctions.Utility_DisplayArrayInTable(Fertiliser_SourceData.Fertiliser_Products_Data3(), FertiliserProducts[[#Headers],[Company]],61)</f>
        <v/>
      </c>
      <c r="AE170" s="146" t="str" cm="1">
        <f t="array" ref="AE170">Common_InputFunctions.Utility_DisplayArrayInTable(Fertiliser_SourceData.Fertiliser_Products_Data3(), FertiliserProducts[[#Headers],[Company]],61)</f>
        <v/>
      </c>
      <c r="AF170" s="146" t="str" cm="1">
        <f t="array" ref="AF170">Common_InputFunctions.Utility_DisplayArrayInTable(Fertiliser_SourceData.Fertiliser_Products_Data3(), FertiliserProducts[[#Headers],[Company]],61)</f>
        <v/>
      </c>
      <c r="AG170" s="146" t="str" cm="1">
        <f t="array" ref="AG170">Common_InputFunctions.Utility_DisplayArrayInTable(Fertiliser_SourceData.Fertiliser_Products_Data3(), FertiliserProducts[[#Headers],[Company]],61)</f>
        <v/>
      </c>
      <c r="AH170" s="146" t="str" cm="1">
        <f t="array" ref="AH170">Common_InputFunctions.Utility_DisplayArrayInTable(Fertiliser_SourceData.Fertiliser_Products_Data3(), FertiliserProducts[[#Headers],[Company]],61)</f>
        <v/>
      </c>
      <c r="AK170" s="1"/>
    </row>
    <row r="171" spans="4:37" ht="20.100000000000001" customHeight="1" x14ac:dyDescent="0.2">
      <c r="D171" s="146" t="str" cm="1">
        <f t="array" ref="D171">Common_InputFunctions.Utility_DisplayArrayInTable(Fertiliser_SourceData.Fertiliser_Products_Data3(), FertiliserProducts[[#Headers],[Company]],61)</f>
        <v>Marnco [listed as SLTEC]</v>
      </c>
      <c r="E171" s="146" t="str" cm="1">
        <f t="array" ref="E171">Common_InputFunctions.Utility_DisplayArrayInTable(Fertiliser_SourceData.Fertiliser_Products_Data3(), FertiliserProducts[[#Headers],[Company]],61)</f>
        <v>Ammo 36N</v>
      </c>
      <c r="F171" s="146" t="str" cm="1">
        <f t="array" ref="F171">Common_InputFunctions.Utility_DisplayArrayInTable(Fertiliser_SourceData.Fertiliser_Products_Data3(), FertiliserProducts[[#Headers],[Company]],61)</f>
        <v>kg</v>
      </c>
      <c r="G171" s="146" cm="1">
        <f t="array" ref="G171">Common_InputFunctions.Utility_DisplayArrayInTable(Fertiliser_SourceData.Fertiliser_Products_Data3(), FertiliserProducts[[#Headers],[Company]],61)</f>
        <v>1</v>
      </c>
      <c r="H171" s="146" t="str" cm="1">
        <f t="array" ref="H171">Common_InputFunctions.Utility_DisplayArrayInTable(Fertiliser_SourceData.Fertiliser_Products_Data3(), FertiliserProducts[[#Headers],[Company]],61)</f>
        <v/>
      </c>
      <c r="I171" s="146" t="str" cm="1">
        <f t="array" ref="I171">Common_InputFunctions.Utility_DisplayArrayInTable(Fertiliser_SourceData.Fertiliser_Products_Data3(), FertiliserProducts[[#Headers],[Company]],61)</f>
        <v/>
      </c>
      <c r="J171" s="146" t="str" cm="1">
        <f t="array" ref="J171">Common_InputFunctions.Utility_DisplayArrayInTable(Fertiliser_SourceData.Fertiliser_Products_Data3(), FertiliserProducts[[#Headers],[Company]],61)</f>
        <v/>
      </c>
      <c r="K171" s="146" cm="1">
        <f t="array" ref="K171">Common_InputFunctions.Utility_DisplayArrayInTable(Fertiliser_SourceData.Fertiliser_Products_Data3(), FertiliserProducts[[#Headers],[Company]],61)</f>
        <v>36</v>
      </c>
      <c r="L171" s="146" t="str" cm="1">
        <f t="array" ref="L171">Common_InputFunctions.Utility_DisplayArrayInTable(Fertiliser_SourceData.Fertiliser_Products_Data3(), FertiliserProducts[[#Headers],[Company]],61)</f>
        <v/>
      </c>
      <c r="M171" s="146" t="str" cm="1">
        <f t="array" ref="M171">Common_InputFunctions.Utility_DisplayArrayInTable(Fertiliser_SourceData.Fertiliser_Products_Data3(), FertiliserProducts[[#Headers],[Company]],61)</f>
        <v/>
      </c>
      <c r="N171" s="146" cm="1">
        <f t="array" ref="N171">Common_InputFunctions.Utility_DisplayArrayInTable(Fertiliser_SourceData.Fertiliser_Products_Data3(), FertiliserProducts[[#Headers],[Company]],61)</f>
        <v>9.6</v>
      </c>
      <c r="O171" s="146" t="str" cm="1">
        <f t="array" ref="O171">Common_InputFunctions.Utility_DisplayArrayInTable(Fertiliser_SourceData.Fertiliser_Products_Data3(), FertiliserProducts[[#Headers],[Company]],61)</f>
        <v>Nitrogen - Generic</v>
      </c>
      <c r="P171" s="146" cm="1">
        <f t="array" ref="P171">Common_InputFunctions.Utility_DisplayArrayInTable(Fertiliser_SourceData.Fertiliser_Products_Data3(), FertiliserProducts[[#Headers],[Company]],61)</f>
        <v>0.36</v>
      </c>
      <c r="Q171" s="146" t="str" cm="1">
        <f t="array" ref="Q171">Common_InputFunctions.Utility_DisplayArrayInTable(Fertiliser_SourceData.Fertiliser_Products_Data3(), FertiliserProducts[[#Headers],[Company]],61)</f>
        <v>Sulfur - Generic</v>
      </c>
      <c r="R171" s="146" cm="1">
        <f t="array" ref="R171">Common_InputFunctions.Utility_DisplayArrayInTable(Fertiliser_SourceData.Fertiliser_Products_Data3(), FertiliserProducts[[#Headers],[Company]],61)</f>
        <v>9.6000000000000002E-2</v>
      </c>
      <c r="S171" s="146" t="str" cm="1">
        <f t="array" ref="S171">Common_InputFunctions.Utility_DisplayArrayInTable(Fertiliser_SourceData.Fertiliser_Products_Data3(), FertiliserProducts[[#Headers],[Company]],61)</f>
        <v/>
      </c>
      <c r="T171" s="146" t="str" cm="1">
        <f t="array" ref="T171">Common_InputFunctions.Utility_DisplayArrayInTable(Fertiliser_SourceData.Fertiliser_Products_Data3(), FertiliserProducts[[#Headers],[Company]],61)</f>
        <v/>
      </c>
      <c r="U171" s="146" t="str" cm="1">
        <f t="array" ref="U171">Common_InputFunctions.Utility_DisplayArrayInTable(Fertiliser_SourceData.Fertiliser_Products_Data3(), FertiliserProducts[[#Headers],[Company]],61)</f>
        <v/>
      </c>
      <c r="V171" s="146" t="str" cm="1">
        <f t="array" ref="V171">Common_InputFunctions.Utility_DisplayArrayInTable(Fertiliser_SourceData.Fertiliser_Products_Data3(), FertiliserProducts[[#Headers],[Company]],61)</f>
        <v/>
      </c>
      <c r="W171" s="146" t="str" cm="1">
        <f t="array" ref="W171">Common_InputFunctions.Utility_DisplayArrayInTable(Fertiliser_SourceData.Fertiliser_Products_Data3(), FertiliserProducts[[#Headers],[Company]],61)</f>
        <v/>
      </c>
      <c r="X171" s="146" t="str" cm="1">
        <f t="array" ref="X171">Common_InputFunctions.Utility_DisplayArrayInTable(Fertiliser_SourceData.Fertiliser_Products_Data3(), FertiliserProducts[[#Headers],[Company]],61)</f>
        <v/>
      </c>
      <c r="Y171" s="146" t="str" cm="1">
        <f t="array" ref="Y171">Common_InputFunctions.Utility_DisplayArrayInTable(Fertiliser_SourceData.Fertiliser_Products_Data3(), FertiliserProducts[[#Headers],[Company]],61)</f>
        <v/>
      </c>
      <c r="Z171" s="146" t="str" cm="1">
        <f t="array" ref="Z171">Common_InputFunctions.Utility_DisplayArrayInTable(Fertiliser_SourceData.Fertiliser_Products_Data3(), FertiliserProducts[[#Headers],[Company]],61)</f>
        <v/>
      </c>
      <c r="AA171" s="146" t="str" cm="1">
        <f t="array" ref="AA171">Common_InputFunctions.Utility_DisplayArrayInTable(Fertiliser_SourceData.Fertiliser_Products_Data3(), FertiliserProducts[[#Headers],[Company]],61)</f>
        <v/>
      </c>
      <c r="AB171" s="146" t="str" cm="1">
        <f t="array" ref="AB171">Common_InputFunctions.Utility_DisplayArrayInTable(Fertiliser_SourceData.Fertiliser_Products_Data3(), FertiliserProducts[[#Headers],[Company]],61)</f>
        <v/>
      </c>
      <c r="AC171" s="146" t="str" cm="1">
        <f t="array" ref="AC171">Common_InputFunctions.Utility_DisplayArrayInTable(Fertiliser_SourceData.Fertiliser_Products_Data3(), FertiliserProducts[[#Headers],[Company]],61)</f>
        <v/>
      </c>
      <c r="AD171" s="146" t="str" cm="1">
        <f t="array" ref="AD171">Common_InputFunctions.Utility_DisplayArrayInTable(Fertiliser_SourceData.Fertiliser_Products_Data3(), FertiliserProducts[[#Headers],[Company]],61)</f>
        <v/>
      </c>
      <c r="AE171" s="146" t="str" cm="1">
        <f t="array" ref="AE171">Common_InputFunctions.Utility_DisplayArrayInTable(Fertiliser_SourceData.Fertiliser_Products_Data3(), FertiliserProducts[[#Headers],[Company]],61)</f>
        <v/>
      </c>
      <c r="AF171" s="146" t="str" cm="1">
        <f t="array" ref="AF171">Common_InputFunctions.Utility_DisplayArrayInTable(Fertiliser_SourceData.Fertiliser_Products_Data3(), FertiliserProducts[[#Headers],[Company]],61)</f>
        <v/>
      </c>
      <c r="AG171" s="146" t="str" cm="1">
        <f t="array" ref="AG171">Common_InputFunctions.Utility_DisplayArrayInTable(Fertiliser_SourceData.Fertiliser_Products_Data3(), FertiliserProducts[[#Headers],[Company]],61)</f>
        <v/>
      </c>
      <c r="AH171" s="146" t="str" cm="1">
        <f t="array" ref="AH171">Common_InputFunctions.Utility_DisplayArrayInTable(Fertiliser_SourceData.Fertiliser_Products_Data3(), FertiliserProducts[[#Headers],[Company]],61)</f>
        <v/>
      </c>
      <c r="AK171" s="1"/>
    </row>
    <row r="172" spans="4:37" ht="20.100000000000001" customHeight="1" x14ac:dyDescent="0.2">
      <c r="D172" s="146" t="str" cm="1">
        <f t="array" ref="D172">Common_InputFunctions.Utility_DisplayArrayInTable(Fertiliser_SourceData.Fertiliser_Products_Data3(), FertiliserProducts[[#Headers],[Company]],61)</f>
        <v>Risso-Chemical</v>
      </c>
      <c r="E172" s="146" t="str" cm="1">
        <f t="array" ref="E172">Common_InputFunctions.Utility_DisplayArrayInTable(Fertiliser_SourceData.Fertiliser_Products_Data3(), FertiliserProducts[[#Headers],[Company]],61)</f>
        <v>Risso Liquid NPK (200-200-200)</v>
      </c>
      <c r="F172" s="146" t="str" cm="1">
        <f t="array" ref="F172">Common_InputFunctions.Utility_DisplayArrayInTable(Fertiliser_SourceData.Fertiliser_Products_Data3(), FertiliserProducts[[#Headers],[Company]],61)</f>
        <v>L</v>
      </c>
      <c r="G172" s="146" cm="1">
        <f t="array" ref="G172">Common_InputFunctions.Utility_DisplayArrayInTable(Fertiliser_SourceData.Fertiliser_Products_Data3(), FertiliserProducts[[#Headers],[Company]],61)</f>
        <v>1.3</v>
      </c>
      <c r="H172" s="146" t="str" cm="1">
        <f t="array" ref="H172">Common_InputFunctions.Utility_DisplayArrayInTable(Fertiliser_SourceData.Fertiliser_Products_Data3(), FertiliserProducts[[#Headers],[Company]],61)</f>
        <v/>
      </c>
      <c r="I172" s="146" t="str" cm="1">
        <f t="array" ref="I172">Common_InputFunctions.Utility_DisplayArrayInTable(Fertiliser_SourceData.Fertiliser_Products_Data3(), FertiliserProducts[[#Headers],[Company]],61)</f>
        <v/>
      </c>
      <c r="J172" s="146" t="str" cm="1">
        <f t="array" ref="J172">Common_InputFunctions.Utility_DisplayArrayInTable(Fertiliser_SourceData.Fertiliser_Products_Data3(), FertiliserProducts[[#Headers],[Company]],61)</f>
        <v/>
      </c>
      <c r="K172" s="146" cm="1">
        <f t="array" ref="K172">Common_InputFunctions.Utility_DisplayArrayInTable(Fertiliser_SourceData.Fertiliser_Products_Data3(), FertiliserProducts[[#Headers],[Company]],61)</f>
        <v>20</v>
      </c>
      <c r="L172" s="146" cm="1">
        <f t="array" ref="L172">Common_InputFunctions.Utility_DisplayArrayInTable(Fertiliser_SourceData.Fertiliser_Products_Data3(), FertiliserProducts[[#Headers],[Company]],61)</f>
        <v>8.73</v>
      </c>
      <c r="M172" s="146" cm="1">
        <f t="array" ref="M172">Common_InputFunctions.Utility_DisplayArrayInTable(Fertiliser_SourceData.Fertiliser_Products_Data3(), FertiliserProducts[[#Headers],[Company]],61)</f>
        <v>16.600000000000001</v>
      </c>
      <c r="N172" s="146" t="str" cm="1">
        <f t="array" ref="N172">Common_InputFunctions.Utility_DisplayArrayInTable(Fertiliser_SourceData.Fertiliser_Products_Data3(), FertiliserProducts[[#Headers],[Company]],61)</f>
        <v/>
      </c>
      <c r="O172" s="146" t="str" cm="1">
        <f t="array" ref="O172">Common_InputFunctions.Utility_DisplayArrayInTable(Fertiliser_SourceData.Fertiliser_Products_Data3(), FertiliserProducts[[#Headers],[Company]],61)</f>
        <v>Nitrogen - Generic</v>
      </c>
      <c r="P172" s="146" cm="1">
        <f t="array" ref="P172">Common_InputFunctions.Utility_DisplayArrayInTable(Fertiliser_SourceData.Fertiliser_Products_Data3(), FertiliserProducts[[#Headers],[Company]],61)</f>
        <v>0.2</v>
      </c>
      <c r="Q172" s="146" t="str" cm="1">
        <f t="array" ref="Q172">Common_InputFunctions.Utility_DisplayArrayInTable(Fertiliser_SourceData.Fertiliser_Products_Data3(), FertiliserProducts[[#Headers],[Company]],61)</f>
        <v>Phosphorus - Generic</v>
      </c>
      <c r="R172" s="146" cm="1">
        <f t="array" ref="R172">Common_InputFunctions.Utility_DisplayArrayInTable(Fertiliser_SourceData.Fertiliser_Products_Data3(), FertiliserProducts[[#Headers],[Company]],61)</f>
        <v>8.7279999999999996E-2</v>
      </c>
      <c r="S172" s="146" t="str" cm="1">
        <f t="array" ref="S172">Common_InputFunctions.Utility_DisplayArrayInTable(Fertiliser_SourceData.Fertiliser_Products_Data3(), FertiliserProducts[[#Headers],[Company]],61)</f>
        <v>Potassium - Generic</v>
      </c>
      <c r="T172" s="146" cm="1">
        <f t="array" ref="T172">Common_InputFunctions.Utility_DisplayArrayInTable(Fertiliser_SourceData.Fertiliser_Products_Data3(), FertiliserProducts[[#Headers],[Company]],61)</f>
        <v>0.16602</v>
      </c>
      <c r="U172" s="146" t="str" cm="1">
        <f t="array" ref="U172">Common_InputFunctions.Utility_DisplayArrayInTable(Fertiliser_SourceData.Fertiliser_Products_Data3(), FertiliserProducts[[#Headers],[Company]],61)</f>
        <v/>
      </c>
      <c r="V172" s="146" t="str" cm="1">
        <f t="array" ref="V172">Common_InputFunctions.Utility_DisplayArrayInTable(Fertiliser_SourceData.Fertiliser_Products_Data3(), FertiliserProducts[[#Headers],[Company]],61)</f>
        <v/>
      </c>
      <c r="W172" s="146" t="str" cm="1">
        <f t="array" ref="W172">Common_InputFunctions.Utility_DisplayArrayInTable(Fertiliser_SourceData.Fertiliser_Products_Data3(), FertiliserProducts[[#Headers],[Company]],61)</f>
        <v/>
      </c>
      <c r="X172" s="146" t="str" cm="1">
        <f t="array" ref="X172">Common_InputFunctions.Utility_DisplayArrayInTable(Fertiliser_SourceData.Fertiliser_Products_Data3(), FertiliserProducts[[#Headers],[Company]],61)</f>
        <v/>
      </c>
      <c r="Y172" s="146" t="str" cm="1">
        <f t="array" ref="Y172">Common_InputFunctions.Utility_DisplayArrayInTable(Fertiliser_SourceData.Fertiliser_Products_Data3(), FertiliserProducts[[#Headers],[Company]],61)</f>
        <v/>
      </c>
      <c r="Z172" s="146" t="str" cm="1">
        <f t="array" ref="Z172">Common_InputFunctions.Utility_DisplayArrayInTable(Fertiliser_SourceData.Fertiliser_Products_Data3(), FertiliserProducts[[#Headers],[Company]],61)</f>
        <v/>
      </c>
      <c r="AA172" s="146" t="str" cm="1">
        <f t="array" ref="AA172">Common_InputFunctions.Utility_DisplayArrayInTable(Fertiliser_SourceData.Fertiliser_Products_Data3(), FertiliserProducts[[#Headers],[Company]],61)</f>
        <v/>
      </c>
      <c r="AB172" s="146" t="str" cm="1">
        <f t="array" ref="AB172">Common_InputFunctions.Utility_DisplayArrayInTable(Fertiliser_SourceData.Fertiliser_Products_Data3(), FertiliserProducts[[#Headers],[Company]],61)</f>
        <v/>
      </c>
      <c r="AC172" s="146" t="str" cm="1">
        <f t="array" ref="AC172">Common_InputFunctions.Utility_DisplayArrayInTable(Fertiliser_SourceData.Fertiliser_Products_Data3(), FertiliserProducts[[#Headers],[Company]],61)</f>
        <v/>
      </c>
      <c r="AD172" s="146" t="str" cm="1">
        <f t="array" ref="AD172">Common_InputFunctions.Utility_DisplayArrayInTable(Fertiliser_SourceData.Fertiliser_Products_Data3(), FertiliserProducts[[#Headers],[Company]],61)</f>
        <v/>
      </c>
      <c r="AE172" s="146" t="str" cm="1">
        <f t="array" ref="AE172">Common_InputFunctions.Utility_DisplayArrayInTable(Fertiliser_SourceData.Fertiliser_Products_Data3(), FertiliserProducts[[#Headers],[Company]],61)</f>
        <v/>
      </c>
      <c r="AF172" s="146" t="str" cm="1">
        <f t="array" ref="AF172">Common_InputFunctions.Utility_DisplayArrayInTable(Fertiliser_SourceData.Fertiliser_Products_Data3(), FertiliserProducts[[#Headers],[Company]],61)</f>
        <v/>
      </c>
      <c r="AG172" s="146" t="str" cm="1">
        <f t="array" ref="AG172">Common_InputFunctions.Utility_DisplayArrayInTable(Fertiliser_SourceData.Fertiliser_Products_Data3(), FertiliserProducts[[#Headers],[Company]],61)</f>
        <v/>
      </c>
      <c r="AH172" s="146" t="str" cm="1">
        <f t="array" ref="AH172">Common_InputFunctions.Utility_DisplayArrayInTable(Fertiliser_SourceData.Fertiliser_Products_Data3(), FertiliserProducts[[#Headers],[Company]],61)</f>
        <v/>
      </c>
      <c r="AK172" s="1"/>
    </row>
    <row r="173" spans="4:37" ht="20.100000000000001" customHeight="1" x14ac:dyDescent="0.2">
      <c r="D173" s="146" t="str" cm="1">
        <f t="array" ref="D173">Common_InputFunctions.Utility_DisplayArrayInTable(Fertiliser_SourceData.Fertiliser_Products_Data3(), FertiliserProducts[[#Headers],[Company]],61)</f>
        <v>Turf Group Australia (Simplot)</v>
      </c>
      <c r="E173" s="146" t="str" cm="1">
        <f t="array" ref="E173">Common_InputFunctions.Utility_DisplayArrayInTable(Fertiliser_SourceData.Fertiliser_Products_Data3(), FertiliserProducts[[#Headers],[Company]],61)</f>
        <v>Super Cal 15-0-12</v>
      </c>
      <c r="F173" s="146" t="str" cm="1">
        <f t="array" ref="F173">Common_InputFunctions.Utility_DisplayArrayInTable(Fertiliser_SourceData.Fertiliser_Products_Data3(), FertiliserProducts[[#Headers],[Company]],61)</f>
        <v>kg</v>
      </c>
      <c r="G173" s="146" cm="1">
        <f t="array" ref="G173">Common_InputFunctions.Utility_DisplayArrayInTable(Fertiliser_SourceData.Fertiliser_Products_Data3(), FertiliserProducts[[#Headers],[Company]],61)</f>
        <v>1</v>
      </c>
      <c r="H173" s="146" t="str" cm="1">
        <f t="array" ref="H173">Common_InputFunctions.Utility_DisplayArrayInTable(Fertiliser_SourceData.Fertiliser_Products_Data3(), FertiliserProducts[[#Headers],[Company]],61)</f>
        <v/>
      </c>
      <c r="I173" s="146" t="str" cm="1">
        <f t="array" ref="I173">Common_InputFunctions.Utility_DisplayArrayInTable(Fertiliser_SourceData.Fertiliser_Products_Data3(), FertiliserProducts[[#Headers],[Company]],61)</f>
        <v/>
      </c>
      <c r="J173" s="146" t="str" cm="1">
        <f t="array" ref="J173">Common_InputFunctions.Utility_DisplayArrayInTable(Fertiliser_SourceData.Fertiliser_Products_Data3(), FertiliserProducts[[#Headers],[Company]],61)</f>
        <v/>
      </c>
      <c r="K173" s="146" cm="1">
        <f t="array" ref="K173">Common_InputFunctions.Utility_DisplayArrayInTable(Fertiliser_SourceData.Fertiliser_Products_Data3(), FertiliserProducts[[#Headers],[Company]],61)</f>
        <v>15</v>
      </c>
      <c r="L173" s="146" t="str" cm="1">
        <f t="array" ref="L173">Common_InputFunctions.Utility_DisplayArrayInTable(Fertiliser_SourceData.Fertiliser_Products_Data3(), FertiliserProducts[[#Headers],[Company]],61)</f>
        <v/>
      </c>
      <c r="M173" s="146" cm="1">
        <f t="array" ref="M173">Common_InputFunctions.Utility_DisplayArrayInTable(Fertiliser_SourceData.Fertiliser_Products_Data3(), FertiliserProducts[[#Headers],[Company]],61)</f>
        <v>9.9600000000000009</v>
      </c>
      <c r="N173" s="146" t="str" cm="1">
        <f t="array" ref="N173">Common_InputFunctions.Utility_DisplayArrayInTable(Fertiliser_SourceData.Fertiliser_Products_Data3(), FertiliserProducts[[#Headers],[Company]],61)</f>
        <v/>
      </c>
      <c r="O173" s="146" t="str" cm="1">
        <f t="array" ref="O173">Common_InputFunctions.Utility_DisplayArrayInTable(Fertiliser_SourceData.Fertiliser_Products_Data3(), FertiliserProducts[[#Headers],[Company]],61)</f>
        <v>Nitrogen - Nitrate</v>
      </c>
      <c r="P173" s="146" cm="1">
        <f t="array" ref="P173">Common_InputFunctions.Utility_DisplayArrayInTable(Fertiliser_SourceData.Fertiliser_Products_Data3(), FertiliserProducts[[#Headers],[Company]],61)</f>
        <v>8.4737000000000007E-2</v>
      </c>
      <c r="Q173" s="146" t="str" cm="1">
        <f t="array" ref="Q173">Common_InputFunctions.Utility_DisplayArrayInTable(Fertiliser_SourceData.Fertiliser_Products_Data3(), FertiliserProducts[[#Headers],[Company]],61)</f>
        <v>Potassium - Generic</v>
      </c>
      <c r="R173" s="146" cm="1">
        <f t="array" ref="R173">Common_InputFunctions.Utility_DisplayArrayInTable(Fertiliser_SourceData.Fertiliser_Products_Data3(), FertiliserProducts[[#Headers],[Company]],61)</f>
        <v>9.9612000000000006E-2</v>
      </c>
      <c r="S173" s="146" t="str" cm="1">
        <f t="array" ref="S173">Common_InputFunctions.Utility_DisplayArrayInTable(Fertiliser_SourceData.Fertiliser_Products_Data3(), FertiliserProducts[[#Headers],[Company]],61)</f>
        <v>Calcium nitrate</v>
      </c>
      <c r="T173" s="146" cm="1">
        <f t="array" ref="T173">Common_InputFunctions.Utility_DisplayArrayInTable(Fertiliser_SourceData.Fertiliser_Products_Data3(), FertiliserProducts[[#Headers],[Company]],61)</f>
        <v>0.42105300000000001</v>
      </c>
      <c r="U173" s="146" t="str" cm="1">
        <f t="array" ref="U173">Common_InputFunctions.Utility_DisplayArrayInTable(Fertiliser_SourceData.Fertiliser_Products_Data3(), FertiliserProducts[[#Headers],[Company]],61)</f>
        <v>Magnesium</v>
      </c>
      <c r="V173" s="146" cm="1">
        <f t="array" ref="V173">Common_InputFunctions.Utility_DisplayArrayInTable(Fertiliser_SourceData.Fertiliser_Products_Data3(), FertiliserProducts[[#Headers],[Company]],61)</f>
        <v>5.0000000000000001E-3</v>
      </c>
      <c r="W173" s="146" t="str" cm="1">
        <f t="array" ref="W173">Common_InputFunctions.Utility_DisplayArrayInTable(Fertiliser_SourceData.Fertiliser_Products_Data3(), FertiliserProducts[[#Headers],[Company]],61)</f>
        <v>Boron</v>
      </c>
      <c r="X173" s="146" cm="1">
        <f t="array" ref="X173">Common_InputFunctions.Utility_DisplayArrayInTable(Fertiliser_SourceData.Fertiliser_Products_Data3(), FertiliserProducts[[#Headers],[Company]],61)</f>
        <v>2.0000000000000001E-4</v>
      </c>
      <c r="Y173" s="146" t="str" cm="1">
        <f t="array" ref="Y173">Common_InputFunctions.Utility_DisplayArrayInTable(Fertiliser_SourceData.Fertiliser_Products_Data3(), FertiliserProducts[[#Headers],[Company]],61)</f>
        <v/>
      </c>
      <c r="Z173" s="146" t="str" cm="1">
        <f t="array" ref="Z173">Common_InputFunctions.Utility_DisplayArrayInTable(Fertiliser_SourceData.Fertiliser_Products_Data3(), FertiliserProducts[[#Headers],[Company]],61)</f>
        <v/>
      </c>
      <c r="AA173" s="146" t="str" cm="1">
        <f t="array" ref="AA173">Common_InputFunctions.Utility_DisplayArrayInTable(Fertiliser_SourceData.Fertiliser_Products_Data3(), FertiliserProducts[[#Headers],[Company]],61)</f>
        <v/>
      </c>
      <c r="AB173" s="146" t="str" cm="1">
        <f t="array" ref="AB173">Common_InputFunctions.Utility_DisplayArrayInTable(Fertiliser_SourceData.Fertiliser_Products_Data3(), FertiliserProducts[[#Headers],[Company]],61)</f>
        <v/>
      </c>
      <c r="AC173" s="146" t="str" cm="1">
        <f t="array" ref="AC173">Common_InputFunctions.Utility_DisplayArrayInTable(Fertiliser_SourceData.Fertiliser_Products_Data3(), FertiliserProducts[[#Headers],[Company]],61)</f>
        <v/>
      </c>
      <c r="AD173" s="146" t="str" cm="1">
        <f t="array" ref="AD173">Common_InputFunctions.Utility_DisplayArrayInTable(Fertiliser_SourceData.Fertiliser_Products_Data3(), FertiliserProducts[[#Headers],[Company]],61)</f>
        <v/>
      </c>
      <c r="AE173" s="146" t="str" cm="1">
        <f t="array" ref="AE173">Common_InputFunctions.Utility_DisplayArrayInTable(Fertiliser_SourceData.Fertiliser_Products_Data3(), FertiliserProducts[[#Headers],[Company]],61)</f>
        <v/>
      </c>
      <c r="AF173" s="146" t="str" cm="1">
        <f t="array" ref="AF173">Common_InputFunctions.Utility_DisplayArrayInTable(Fertiliser_SourceData.Fertiliser_Products_Data3(), FertiliserProducts[[#Headers],[Company]],61)</f>
        <v/>
      </c>
      <c r="AG173" s="146" t="str" cm="1">
        <f t="array" ref="AG173">Common_InputFunctions.Utility_DisplayArrayInTable(Fertiliser_SourceData.Fertiliser_Products_Data3(), FertiliserProducts[[#Headers],[Company]],61)</f>
        <v/>
      </c>
      <c r="AH173" s="146" t="str" cm="1">
        <f t="array" ref="AH173">Common_InputFunctions.Utility_DisplayArrayInTable(Fertiliser_SourceData.Fertiliser_Products_Data3(), FertiliserProducts[[#Headers],[Company]],61)</f>
        <v/>
      </c>
      <c r="AK173" s="1"/>
    </row>
    <row r="174" spans="4:37" ht="20.100000000000001" customHeight="1" x14ac:dyDescent="0.2">
      <c r="D174" s="146" t="str" cm="1">
        <f t="array" ref="D174">Common_InputFunctions.Utility_DisplayArrayInTable(Fertiliser_SourceData.Fertiliser_Products_Data3(), FertiliserProducts[[#Headers],[Company]],61)</f>
        <v>Incitec Pivot Fertilisers</v>
      </c>
      <c r="E174" s="146" t="str" cm="1">
        <f t="array" ref="E174">Common_InputFunctions.Utility_DisplayArrayInTable(Fertiliser_SourceData.Fertiliser_Products_Data3(), FertiliserProducts[[#Headers],[Company]],61)</f>
        <v>CK 88</v>
      </c>
      <c r="F174" s="146" t="str" cm="1">
        <f t="array" ref="F174">Common_InputFunctions.Utility_DisplayArrayInTable(Fertiliser_SourceData.Fertiliser_Products_Data3(), FertiliserProducts[[#Headers],[Company]],61)</f>
        <v>kg</v>
      </c>
      <c r="G174" s="146" cm="1">
        <f t="array" ref="G174">Common_InputFunctions.Utility_DisplayArrayInTable(Fertiliser_SourceData.Fertiliser_Products_Data3(), FertiliserProducts[[#Headers],[Company]],61)</f>
        <v>1</v>
      </c>
      <c r="H174" s="146" t="str" cm="1">
        <f t="array" ref="H174">Common_InputFunctions.Utility_DisplayArrayInTable(Fertiliser_SourceData.Fertiliser_Products_Data3(), FertiliserProducts[[#Headers],[Company]],61)</f>
        <v/>
      </c>
      <c r="I174" s="146" t="str" cm="1">
        <f t="array" ref="I174">Common_InputFunctions.Utility_DisplayArrayInTable(Fertiliser_SourceData.Fertiliser_Products_Data3(), FertiliserProducts[[#Headers],[Company]],61)</f>
        <v/>
      </c>
      <c r="J174" s="146" t="str" cm="1">
        <f t="array" ref="J174">Common_InputFunctions.Utility_DisplayArrayInTable(Fertiliser_SourceData.Fertiliser_Products_Data3(), FertiliserProducts[[#Headers],[Company]],61)</f>
        <v/>
      </c>
      <c r="K174" s="146" cm="1">
        <f t="array" ref="K174">Common_InputFunctions.Utility_DisplayArrayInTable(Fertiliser_SourceData.Fertiliser_Products_Data3(), FertiliserProducts[[#Headers],[Company]],61)</f>
        <v>15.1</v>
      </c>
      <c r="L174" s="146" cm="1">
        <f t="array" ref="L174">Common_InputFunctions.Utility_DisplayArrayInTable(Fertiliser_SourceData.Fertiliser_Products_Data3(), FertiliserProducts[[#Headers],[Company]],61)</f>
        <v>4.4000000000000004</v>
      </c>
      <c r="M174" s="146" cm="1">
        <f t="array" ref="M174">Common_InputFunctions.Utility_DisplayArrayInTable(Fertiliser_SourceData.Fertiliser_Products_Data3(), FertiliserProducts[[#Headers],[Company]],61)</f>
        <v>11.5</v>
      </c>
      <c r="N174" s="146" cm="1">
        <f t="array" ref="N174">Common_InputFunctions.Utility_DisplayArrayInTable(Fertiliser_SourceData.Fertiliser_Products_Data3(), FertiliserProducts[[#Headers],[Company]],61)</f>
        <v>13.6</v>
      </c>
      <c r="O174" s="146" t="str" cm="1">
        <f t="array" ref="O174">Common_InputFunctions.Utility_DisplayArrayInTable(Fertiliser_SourceData.Fertiliser_Products_Data3(), FertiliserProducts[[#Headers],[Company]],61)</f>
        <v>Nitrogen - Generic</v>
      </c>
      <c r="P174" s="146" cm="1">
        <f t="array" ref="P174">Common_InputFunctions.Utility_DisplayArrayInTable(Fertiliser_SourceData.Fertiliser_Products_Data3(), FertiliserProducts[[#Headers],[Company]],61)</f>
        <v>0.151</v>
      </c>
      <c r="Q174" s="146" t="str" cm="1">
        <f t="array" ref="Q174">Common_InputFunctions.Utility_DisplayArrayInTable(Fertiliser_SourceData.Fertiliser_Products_Data3(), FertiliserProducts[[#Headers],[Company]],61)</f>
        <v>Phosphorus - Generic</v>
      </c>
      <c r="R174" s="146" cm="1">
        <f t="array" ref="R174">Common_InputFunctions.Utility_DisplayArrayInTable(Fertiliser_SourceData.Fertiliser_Products_Data3(), FertiliserProducts[[#Headers],[Company]],61)</f>
        <v>4.3999999999999997E-2</v>
      </c>
      <c r="S174" s="146" t="str" cm="1">
        <f t="array" ref="S174">Common_InputFunctions.Utility_DisplayArrayInTable(Fertiliser_SourceData.Fertiliser_Products_Data3(), FertiliserProducts[[#Headers],[Company]],61)</f>
        <v>Potassium - Generic</v>
      </c>
      <c r="T174" s="146" cm="1">
        <f t="array" ref="T174">Common_InputFunctions.Utility_DisplayArrayInTable(Fertiliser_SourceData.Fertiliser_Products_Data3(), FertiliserProducts[[#Headers],[Company]],61)</f>
        <v>0.115</v>
      </c>
      <c r="U174" s="146" t="str" cm="1">
        <f t="array" ref="U174">Common_InputFunctions.Utility_DisplayArrayInTable(Fertiliser_SourceData.Fertiliser_Products_Data3(), FertiliserProducts[[#Headers],[Company]],61)</f>
        <v>Sulfur - Generic</v>
      </c>
      <c r="V174" s="146" cm="1">
        <f t="array" ref="V174">Common_InputFunctions.Utility_DisplayArrayInTable(Fertiliser_SourceData.Fertiliser_Products_Data3(), FertiliserProducts[[#Headers],[Company]],61)</f>
        <v>0.13600000000000001</v>
      </c>
      <c r="W174" s="146" t="str" cm="1">
        <f t="array" ref="W174">Common_InputFunctions.Utility_DisplayArrayInTable(Fertiliser_SourceData.Fertiliser_Products_Data3(), FertiliserProducts[[#Headers],[Company]],61)</f>
        <v/>
      </c>
      <c r="X174" s="146" t="str" cm="1">
        <f t="array" ref="X174">Common_InputFunctions.Utility_DisplayArrayInTable(Fertiliser_SourceData.Fertiliser_Products_Data3(), FertiliserProducts[[#Headers],[Company]],61)</f>
        <v/>
      </c>
      <c r="Y174" s="146" t="str" cm="1">
        <f t="array" ref="Y174">Common_InputFunctions.Utility_DisplayArrayInTable(Fertiliser_SourceData.Fertiliser_Products_Data3(), FertiliserProducts[[#Headers],[Company]],61)</f>
        <v/>
      </c>
      <c r="Z174" s="146" t="str" cm="1">
        <f t="array" ref="Z174">Common_InputFunctions.Utility_DisplayArrayInTable(Fertiliser_SourceData.Fertiliser_Products_Data3(), FertiliserProducts[[#Headers],[Company]],61)</f>
        <v/>
      </c>
      <c r="AA174" s="146" t="str" cm="1">
        <f t="array" ref="AA174">Common_InputFunctions.Utility_DisplayArrayInTable(Fertiliser_SourceData.Fertiliser_Products_Data3(), FertiliserProducts[[#Headers],[Company]],61)</f>
        <v/>
      </c>
      <c r="AB174" s="146" t="str" cm="1">
        <f t="array" ref="AB174">Common_InputFunctions.Utility_DisplayArrayInTable(Fertiliser_SourceData.Fertiliser_Products_Data3(), FertiliserProducts[[#Headers],[Company]],61)</f>
        <v/>
      </c>
      <c r="AC174" s="146" t="str" cm="1">
        <f t="array" ref="AC174">Common_InputFunctions.Utility_DisplayArrayInTable(Fertiliser_SourceData.Fertiliser_Products_Data3(), FertiliserProducts[[#Headers],[Company]],61)</f>
        <v/>
      </c>
      <c r="AD174" s="146" t="str" cm="1">
        <f t="array" ref="AD174">Common_InputFunctions.Utility_DisplayArrayInTable(Fertiliser_SourceData.Fertiliser_Products_Data3(), FertiliserProducts[[#Headers],[Company]],61)</f>
        <v/>
      </c>
      <c r="AE174" s="146" t="str" cm="1">
        <f t="array" ref="AE174">Common_InputFunctions.Utility_DisplayArrayInTable(Fertiliser_SourceData.Fertiliser_Products_Data3(), FertiliserProducts[[#Headers],[Company]],61)</f>
        <v/>
      </c>
      <c r="AF174" s="146" t="str" cm="1">
        <f t="array" ref="AF174">Common_InputFunctions.Utility_DisplayArrayInTable(Fertiliser_SourceData.Fertiliser_Products_Data3(), FertiliserProducts[[#Headers],[Company]],61)</f>
        <v/>
      </c>
      <c r="AG174" s="146" t="str" cm="1">
        <f t="array" ref="AG174">Common_InputFunctions.Utility_DisplayArrayInTable(Fertiliser_SourceData.Fertiliser_Products_Data3(), FertiliserProducts[[#Headers],[Company]],61)</f>
        <v/>
      </c>
      <c r="AH174" s="146" t="str" cm="1">
        <f t="array" ref="AH174">Common_InputFunctions.Utility_DisplayArrayInTable(Fertiliser_SourceData.Fertiliser_Products_Data3(), FertiliserProducts[[#Headers],[Company]],61)</f>
        <v/>
      </c>
      <c r="AK174" s="1"/>
    </row>
    <row r="175" spans="4:37" ht="20.100000000000001" customHeight="1" x14ac:dyDescent="0.2">
      <c r="D175" s="146" t="str" cm="1">
        <f t="array" ref="D175">Common_InputFunctions.Utility_DisplayArrayInTable(Fertiliser_SourceData.Fertiliser_Products_Data3(), FertiliserProducts[[#Headers],[Company]],61)</f>
        <v>Incitec Pivot Fertilisers</v>
      </c>
      <c r="E175" s="146" t="str" cm="1">
        <f t="array" ref="E175">Common_InputFunctions.Utility_DisplayArrayInTable(Fertiliser_SourceData.Fertiliser_Products_Data3(), FertiliserProducts[[#Headers],[Company]],61)</f>
        <v>CropLift 15</v>
      </c>
      <c r="F175" s="146" t="str" cm="1">
        <f t="array" ref="F175">Common_InputFunctions.Utility_DisplayArrayInTable(Fertiliser_SourceData.Fertiliser_Products_Data3(), FertiliserProducts[[#Headers],[Company]],61)</f>
        <v>kg</v>
      </c>
      <c r="G175" s="146" cm="1">
        <f t="array" ref="G175">Common_InputFunctions.Utility_DisplayArrayInTable(Fertiliser_SourceData.Fertiliser_Products_Data3(), FertiliserProducts[[#Headers],[Company]],61)</f>
        <v>1</v>
      </c>
      <c r="H175" s="146" t="str" cm="1">
        <f t="array" ref="H175">Common_InputFunctions.Utility_DisplayArrayInTable(Fertiliser_SourceData.Fertiliser_Products_Data3(), FertiliserProducts[[#Headers],[Company]],61)</f>
        <v/>
      </c>
      <c r="I175" s="146" t="str" cm="1">
        <f t="array" ref="I175">Common_InputFunctions.Utility_DisplayArrayInTable(Fertiliser_SourceData.Fertiliser_Products_Data3(), FertiliserProducts[[#Headers],[Company]],61)</f>
        <v/>
      </c>
      <c r="J175" s="146" t="str" cm="1">
        <f t="array" ref="J175">Common_InputFunctions.Utility_DisplayArrayInTable(Fertiliser_SourceData.Fertiliser_Products_Data3(), FertiliserProducts[[#Headers],[Company]],61)</f>
        <v/>
      </c>
      <c r="K175" s="146" cm="1">
        <f t="array" ref="K175">Common_InputFunctions.Utility_DisplayArrayInTable(Fertiliser_SourceData.Fertiliser_Products_Data3(), FertiliserProducts[[#Headers],[Company]],61)</f>
        <v>14.6</v>
      </c>
      <c r="L175" s="146" cm="1">
        <f t="array" ref="L175">Common_InputFunctions.Utility_DisplayArrayInTable(Fertiliser_SourceData.Fertiliser_Products_Data3(), FertiliserProducts[[#Headers],[Company]],61)</f>
        <v>12.1</v>
      </c>
      <c r="M175" s="146" t="str" cm="1">
        <f t="array" ref="M175">Common_InputFunctions.Utility_DisplayArrayInTable(Fertiliser_SourceData.Fertiliser_Products_Data3(), FertiliserProducts[[#Headers],[Company]],61)</f>
        <v/>
      </c>
      <c r="N175" s="146" cm="1">
        <f t="array" ref="N175">Common_InputFunctions.Utility_DisplayArrayInTable(Fertiliser_SourceData.Fertiliser_Products_Data3(), FertiliserProducts[[#Headers],[Company]],61)</f>
        <v>11.6</v>
      </c>
      <c r="O175" s="146" t="str" cm="1">
        <f t="array" ref="O175">Common_InputFunctions.Utility_DisplayArrayInTable(Fertiliser_SourceData.Fertiliser_Products_Data3(), FertiliserProducts[[#Headers],[Company]],61)</f>
        <v>Nitrogen - Generic</v>
      </c>
      <c r="P175" s="146" cm="1">
        <f t="array" ref="P175">Common_InputFunctions.Utility_DisplayArrayInTable(Fertiliser_SourceData.Fertiliser_Products_Data3(), FertiliserProducts[[#Headers],[Company]],61)</f>
        <v>0.14599999999999999</v>
      </c>
      <c r="Q175" s="146" t="str" cm="1">
        <f t="array" ref="Q175">Common_InputFunctions.Utility_DisplayArrayInTable(Fertiliser_SourceData.Fertiliser_Products_Data3(), FertiliserProducts[[#Headers],[Company]],61)</f>
        <v>Phosphorus - Generic</v>
      </c>
      <c r="R175" s="146" cm="1">
        <f t="array" ref="R175">Common_InputFunctions.Utility_DisplayArrayInTable(Fertiliser_SourceData.Fertiliser_Products_Data3(), FertiliserProducts[[#Headers],[Company]],61)</f>
        <v>0.121</v>
      </c>
      <c r="S175" s="146" t="str" cm="1">
        <f t="array" ref="S175">Common_InputFunctions.Utility_DisplayArrayInTable(Fertiliser_SourceData.Fertiliser_Products_Data3(), FertiliserProducts[[#Headers],[Company]],61)</f>
        <v>Sulfur - Generic</v>
      </c>
      <c r="T175" s="146" cm="1">
        <f t="array" ref="T175">Common_InputFunctions.Utility_DisplayArrayInTable(Fertiliser_SourceData.Fertiliser_Products_Data3(), FertiliserProducts[[#Headers],[Company]],61)</f>
        <v>0.11600000000000001</v>
      </c>
      <c r="U175" s="146" t="str" cm="1">
        <f t="array" ref="U175">Common_InputFunctions.Utility_DisplayArrayInTable(Fertiliser_SourceData.Fertiliser_Products_Data3(), FertiliserProducts[[#Headers],[Company]],61)</f>
        <v/>
      </c>
      <c r="V175" s="146" t="str" cm="1">
        <f t="array" ref="V175">Common_InputFunctions.Utility_DisplayArrayInTable(Fertiliser_SourceData.Fertiliser_Products_Data3(), FertiliserProducts[[#Headers],[Company]],61)</f>
        <v/>
      </c>
      <c r="W175" s="146" t="str" cm="1">
        <f t="array" ref="W175">Common_InputFunctions.Utility_DisplayArrayInTable(Fertiliser_SourceData.Fertiliser_Products_Data3(), FertiliserProducts[[#Headers],[Company]],61)</f>
        <v/>
      </c>
      <c r="X175" s="146" t="str" cm="1">
        <f t="array" ref="X175">Common_InputFunctions.Utility_DisplayArrayInTable(Fertiliser_SourceData.Fertiliser_Products_Data3(), FertiliserProducts[[#Headers],[Company]],61)</f>
        <v/>
      </c>
      <c r="Y175" s="146" t="str" cm="1">
        <f t="array" ref="Y175">Common_InputFunctions.Utility_DisplayArrayInTable(Fertiliser_SourceData.Fertiliser_Products_Data3(), FertiliserProducts[[#Headers],[Company]],61)</f>
        <v/>
      </c>
      <c r="Z175" s="146" t="str" cm="1">
        <f t="array" ref="Z175">Common_InputFunctions.Utility_DisplayArrayInTable(Fertiliser_SourceData.Fertiliser_Products_Data3(), FertiliserProducts[[#Headers],[Company]],61)</f>
        <v/>
      </c>
      <c r="AA175" s="146" t="str" cm="1">
        <f t="array" ref="AA175">Common_InputFunctions.Utility_DisplayArrayInTable(Fertiliser_SourceData.Fertiliser_Products_Data3(), FertiliserProducts[[#Headers],[Company]],61)</f>
        <v/>
      </c>
      <c r="AB175" s="146" t="str" cm="1">
        <f t="array" ref="AB175">Common_InputFunctions.Utility_DisplayArrayInTable(Fertiliser_SourceData.Fertiliser_Products_Data3(), FertiliserProducts[[#Headers],[Company]],61)</f>
        <v/>
      </c>
      <c r="AC175" s="146" t="str" cm="1">
        <f t="array" ref="AC175">Common_InputFunctions.Utility_DisplayArrayInTable(Fertiliser_SourceData.Fertiliser_Products_Data3(), FertiliserProducts[[#Headers],[Company]],61)</f>
        <v/>
      </c>
      <c r="AD175" s="146" t="str" cm="1">
        <f t="array" ref="AD175">Common_InputFunctions.Utility_DisplayArrayInTable(Fertiliser_SourceData.Fertiliser_Products_Data3(), FertiliserProducts[[#Headers],[Company]],61)</f>
        <v/>
      </c>
      <c r="AE175" s="146" t="str" cm="1">
        <f t="array" ref="AE175">Common_InputFunctions.Utility_DisplayArrayInTable(Fertiliser_SourceData.Fertiliser_Products_Data3(), FertiliserProducts[[#Headers],[Company]],61)</f>
        <v/>
      </c>
      <c r="AF175" s="146" t="str" cm="1">
        <f t="array" ref="AF175">Common_InputFunctions.Utility_DisplayArrayInTable(Fertiliser_SourceData.Fertiliser_Products_Data3(), FertiliserProducts[[#Headers],[Company]],61)</f>
        <v/>
      </c>
      <c r="AG175" s="146" t="str" cm="1">
        <f t="array" ref="AG175">Common_InputFunctions.Utility_DisplayArrayInTable(Fertiliser_SourceData.Fertiliser_Products_Data3(), FertiliserProducts[[#Headers],[Company]],61)</f>
        <v/>
      </c>
      <c r="AH175" s="146" t="str" cm="1">
        <f t="array" ref="AH175">Common_InputFunctions.Utility_DisplayArrayInTable(Fertiliser_SourceData.Fertiliser_Products_Data3(), FertiliserProducts[[#Headers],[Company]],61)</f>
        <v/>
      </c>
      <c r="AK175" s="1"/>
    </row>
    <row r="176" spans="4:37" ht="20.100000000000001" customHeight="1" x14ac:dyDescent="0.2">
      <c r="D176" s="146" t="str" cm="1">
        <f t="array" ref="D176">Common_InputFunctions.Utility_DisplayArrayInTable(Fertiliser_SourceData.Fertiliser_Products_Data3(), FertiliserProducts[[#Headers],[Company]],61)</f>
        <v>Incitec Pivot Fertilisers</v>
      </c>
      <c r="E176" s="146" t="str" cm="1">
        <f t="array" ref="E176">Common_InputFunctions.Utility_DisplayArrayInTable(Fertiliser_SourceData.Fertiliser_Products_Data3(), FertiliserProducts[[#Headers],[Company]],61)</f>
        <v>NPKS 19-13-0-9</v>
      </c>
      <c r="F176" s="146" t="str" cm="1">
        <f t="array" ref="F176">Common_InputFunctions.Utility_DisplayArrayInTable(Fertiliser_SourceData.Fertiliser_Products_Data3(), FertiliserProducts[[#Headers],[Company]],61)</f>
        <v>kg</v>
      </c>
      <c r="G176" s="146" cm="1">
        <f t="array" ref="G176">Common_InputFunctions.Utility_DisplayArrayInTable(Fertiliser_SourceData.Fertiliser_Products_Data3(), FertiliserProducts[[#Headers],[Company]],61)</f>
        <v>1</v>
      </c>
      <c r="H176" s="146" t="str" cm="1">
        <f t="array" ref="H176">Common_InputFunctions.Utility_DisplayArrayInTable(Fertiliser_SourceData.Fertiliser_Products_Data3(), FertiliserProducts[[#Headers],[Company]],61)</f>
        <v/>
      </c>
      <c r="I176" s="146" t="str" cm="1">
        <f t="array" ref="I176">Common_InputFunctions.Utility_DisplayArrayInTable(Fertiliser_SourceData.Fertiliser_Products_Data3(), FertiliserProducts[[#Headers],[Company]],61)</f>
        <v/>
      </c>
      <c r="J176" s="146" t="str" cm="1">
        <f t="array" ref="J176">Common_InputFunctions.Utility_DisplayArrayInTable(Fertiliser_SourceData.Fertiliser_Products_Data3(), FertiliserProducts[[#Headers],[Company]],61)</f>
        <v/>
      </c>
      <c r="K176" s="146" cm="1">
        <f t="array" ref="K176">Common_InputFunctions.Utility_DisplayArrayInTable(Fertiliser_SourceData.Fertiliser_Products_Data3(), FertiliserProducts[[#Headers],[Company]],61)</f>
        <v>19</v>
      </c>
      <c r="L176" s="146" cm="1">
        <f t="array" ref="L176">Common_InputFunctions.Utility_DisplayArrayInTable(Fertiliser_SourceData.Fertiliser_Products_Data3(), FertiliserProducts[[#Headers],[Company]],61)</f>
        <v>13</v>
      </c>
      <c r="M176" s="146" cm="1">
        <f t="array" ref="M176">Common_InputFunctions.Utility_DisplayArrayInTable(Fertiliser_SourceData.Fertiliser_Products_Data3(), FertiliserProducts[[#Headers],[Company]],61)</f>
        <v>0</v>
      </c>
      <c r="N176" s="146" cm="1">
        <f t="array" ref="N176">Common_InputFunctions.Utility_DisplayArrayInTable(Fertiliser_SourceData.Fertiliser_Products_Data3(), FertiliserProducts[[#Headers],[Company]],61)</f>
        <v>9</v>
      </c>
      <c r="O176" s="146" t="str" cm="1">
        <f t="array" ref="O176">Common_InputFunctions.Utility_DisplayArrayInTable(Fertiliser_SourceData.Fertiliser_Products_Data3(), FertiliserProducts[[#Headers],[Company]],61)</f>
        <v>Nitrogen - Generic</v>
      </c>
      <c r="P176" s="146" cm="1">
        <f t="array" ref="P176">Common_InputFunctions.Utility_DisplayArrayInTable(Fertiliser_SourceData.Fertiliser_Products_Data3(), FertiliserProducts[[#Headers],[Company]],61)</f>
        <v>0.19</v>
      </c>
      <c r="Q176" s="146" t="str" cm="1">
        <f t="array" ref="Q176">Common_InputFunctions.Utility_DisplayArrayInTable(Fertiliser_SourceData.Fertiliser_Products_Data3(), FertiliserProducts[[#Headers],[Company]],61)</f>
        <v>Phosphorus - Generic</v>
      </c>
      <c r="R176" s="146" cm="1">
        <f t="array" ref="R176">Common_InputFunctions.Utility_DisplayArrayInTable(Fertiliser_SourceData.Fertiliser_Products_Data3(), FertiliserProducts[[#Headers],[Company]],61)</f>
        <v>0.13</v>
      </c>
      <c r="S176" s="146" t="str" cm="1">
        <f t="array" ref="S176">Common_InputFunctions.Utility_DisplayArrayInTable(Fertiliser_SourceData.Fertiliser_Products_Data3(), FertiliserProducts[[#Headers],[Company]],61)</f>
        <v>Sulfur - Generic</v>
      </c>
      <c r="T176" s="146" cm="1">
        <f t="array" ref="T176">Common_InputFunctions.Utility_DisplayArrayInTable(Fertiliser_SourceData.Fertiliser_Products_Data3(), FertiliserProducts[[#Headers],[Company]],61)</f>
        <v>0.09</v>
      </c>
      <c r="U176" s="146" t="str" cm="1">
        <f t="array" ref="U176">Common_InputFunctions.Utility_DisplayArrayInTable(Fertiliser_SourceData.Fertiliser_Products_Data3(), FertiliserProducts[[#Headers],[Company]],61)</f>
        <v/>
      </c>
      <c r="V176" s="146" t="str" cm="1">
        <f t="array" ref="V176">Common_InputFunctions.Utility_DisplayArrayInTable(Fertiliser_SourceData.Fertiliser_Products_Data3(), FertiliserProducts[[#Headers],[Company]],61)</f>
        <v/>
      </c>
      <c r="W176" s="146" t="str" cm="1">
        <f t="array" ref="W176">Common_InputFunctions.Utility_DisplayArrayInTable(Fertiliser_SourceData.Fertiliser_Products_Data3(), FertiliserProducts[[#Headers],[Company]],61)</f>
        <v/>
      </c>
      <c r="X176" s="146" t="str" cm="1">
        <f t="array" ref="X176">Common_InputFunctions.Utility_DisplayArrayInTable(Fertiliser_SourceData.Fertiliser_Products_Data3(), FertiliserProducts[[#Headers],[Company]],61)</f>
        <v/>
      </c>
      <c r="Y176" s="146" t="str" cm="1">
        <f t="array" ref="Y176">Common_InputFunctions.Utility_DisplayArrayInTable(Fertiliser_SourceData.Fertiliser_Products_Data3(), FertiliserProducts[[#Headers],[Company]],61)</f>
        <v/>
      </c>
      <c r="Z176" s="146" t="str" cm="1">
        <f t="array" ref="Z176">Common_InputFunctions.Utility_DisplayArrayInTable(Fertiliser_SourceData.Fertiliser_Products_Data3(), FertiliserProducts[[#Headers],[Company]],61)</f>
        <v/>
      </c>
      <c r="AA176" s="146" t="str" cm="1">
        <f t="array" ref="AA176">Common_InputFunctions.Utility_DisplayArrayInTable(Fertiliser_SourceData.Fertiliser_Products_Data3(), FertiliserProducts[[#Headers],[Company]],61)</f>
        <v/>
      </c>
      <c r="AB176" s="146" t="str" cm="1">
        <f t="array" ref="AB176">Common_InputFunctions.Utility_DisplayArrayInTable(Fertiliser_SourceData.Fertiliser_Products_Data3(), FertiliserProducts[[#Headers],[Company]],61)</f>
        <v/>
      </c>
      <c r="AC176" s="146" t="str" cm="1">
        <f t="array" ref="AC176">Common_InputFunctions.Utility_DisplayArrayInTable(Fertiliser_SourceData.Fertiliser_Products_Data3(), FertiliserProducts[[#Headers],[Company]],61)</f>
        <v/>
      </c>
      <c r="AD176" s="146" t="str" cm="1">
        <f t="array" ref="AD176">Common_InputFunctions.Utility_DisplayArrayInTable(Fertiliser_SourceData.Fertiliser_Products_Data3(), FertiliserProducts[[#Headers],[Company]],61)</f>
        <v/>
      </c>
      <c r="AE176" s="146" t="str" cm="1">
        <f t="array" ref="AE176">Common_InputFunctions.Utility_DisplayArrayInTable(Fertiliser_SourceData.Fertiliser_Products_Data3(), FertiliserProducts[[#Headers],[Company]],61)</f>
        <v/>
      </c>
      <c r="AF176" s="146" t="str" cm="1">
        <f t="array" ref="AF176">Common_InputFunctions.Utility_DisplayArrayInTable(Fertiliser_SourceData.Fertiliser_Products_Data3(), FertiliserProducts[[#Headers],[Company]],61)</f>
        <v/>
      </c>
      <c r="AG176" s="146" t="str" cm="1">
        <f t="array" ref="AG176">Common_InputFunctions.Utility_DisplayArrayInTable(Fertiliser_SourceData.Fertiliser_Products_Data3(), FertiliserProducts[[#Headers],[Company]],61)</f>
        <v/>
      </c>
      <c r="AH176" s="146" t="str" cm="1">
        <f t="array" ref="AH176">Common_InputFunctions.Utility_DisplayArrayInTable(Fertiliser_SourceData.Fertiliser_Products_Data3(), FertiliserProducts[[#Headers],[Company]],61)</f>
        <v/>
      </c>
      <c r="AK176" s="1"/>
    </row>
    <row r="177" spans="1:37" ht="20.100000000000001" customHeight="1" x14ac:dyDescent="0.2">
      <c r="D177" s="146" t="str" cm="1">
        <f t="array" ref="D177">Common_InputFunctions.Utility_DisplayArrayInTable(Fertiliser_SourceData.Fertiliser_Products_Data3(), FertiliserProducts[[#Headers],[Company]],61)</f>
        <v>Incitec Pivot Fertilisers</v>
      </c>
      <c r="E177" s="146" t="str" cm="1">
        <f t="array" ref="E177">Common_InputFunctions.Utility_DisplayArrayInTable(Fertiliser_SourceData.Fertiliser_Products_Data3(), FertiliserProducts[[#Headers],[Company]],61)</f>
        <v>PastureBoosta</v>
      </c>
      <c r="F177" s="146" t="str" cm="1">
        <f t="array" ref="F177">Common_InputFunctions.Utility_DisplayArrayInTable(Fertiliser_SourceData.Fertiliser_Products_Data3(), FertiliserProducts[[#Headers],[Company]],61)</f>
        <v>kg</v>
      </c>
      <c r="G177" s="146" cm="1">
        <f t="array" ref="G177">Common_InputFunctions.Utility_DisplayArrayInTable(Fertiliser_SourceData.Fertiliser_Products_Data3(), FertiliserProducts[[#Headers],[Company]],61)</f>
        <v>1</v>
      </c>
      <c r="H177" s="146" t="str" cm="1">
        <f t="array" ref="H177">Common_InputFunctions.Utility_DisplayArrayInTable(Fertiliser_SourceData.Fertiliser_Products_Data3(), FertiliserProducts[[#Headers],[Company]],61)</f>
        <v/>
      </c>
      <c r="I177" s="146" t="str" cm="1">
        <f t="array" ref="I177">Common_InputFunctions.Utility_DisplayArrayInTable(Fertiliser_SourceData.Fertiliser_Products_Data3(), FertiliserProducts[[#Headers],[Company]],61)</f>
        <v/>
      </c>
      <c r="J177" s="146" t="str" cm="1">
        <f t="array" ref="J177">Common_InputFunctions.Utility_DisplayArrayInTable(Fertiliser_SourceData.Fertiliser_Products_Data3(), FertiliserProducts[[#Headers],[Company]],61)</f>
        <v/>
      </c>
      <c r="K177" s="146" cm="1">
        <f t="array" ref="K177">Common_InputFunctions.Utility_DisplayArrayInTable(Fertiliser_SourceData.Fertiliser_Products_Data3(), FertiliserProducts[[#Headers],[Company]],61)</f>
        <v>23.8</v>
      </c>
      <c r="L177" s="146" cm="1">
        <f t="array" ref="L177">Common_InputFunctions.Utility_DisplayArrayInTable(Fertiliser_SourceData.Fertiliser_Products_Data3(), FertiliserProducts[[#Headers],[Company]],61)</f>
        <v>3.7</v>
      </c>
      <c r="M177" s="146" cm="1">
        <f t="array" ref="M177">Common_InputFunctions.Utility_DisplayArrayInTable(Fertiliser_SourceData.Fertiliser_Products_Data3(), FertiliserProducts[[#Headers],[Company]],61)</f>
        <v>13</v>
      </c>
      <c r="N177" s="146" cm="1">
        <f t="array" ref="N177">Common_InputFunctions.Utility_DisplayArrayInTable(Fertiliser_SourceData.Fertiliser_Products_Data3(), FertiliserProducts[[#Headers],[Company]],61)</f>
        <v>4.0999999999999996</v>
      </c>
      <c r="O177" s="146" t="str" cm="1">
        <f t="array" ref="O177">Common_InputFunctions.Utility_DisplayArrayInTable(Fertiliser_SourceData.Fertiliser_Products_Data3(), FertiliserProducts[[#Headers],[Company]],61)</f>
        <v>Nitrogen - Generic</v>
      </c>
      <c r="P177" s="146" cm="1">
        <f t="array" ref="P177">Common_InputFunctions.Utility_DisplayArrayInTable(Fertiliser_SourceData.Fertiliser_Products_Data3(), FertiliserProducts[[#Headers],[Company]],61)</f>
        <v>0.23799999999999999</v>
      </c>
      <c r="Q177" s="146" t="str" cm="1">
        <f t="array" ref="Q177">Common_InputFunctions.Utility_DisplayArrayInTable(Fertiliser_SourceData.Fertiliser_Products_Data3(), FertiliserProducts[[#Headers],[Company]],61)</f>
        <v>Phosphorus - Generic</v>
      </c>
      <c r="R177" s="146" cm="1">
        <f t="array" ref="R177">Common_InputFunctions.Utility_DisplayArrayInTable(Fertiliser_SourceData.Fertiliser_Products_Data3(), FertiliserProducts[[#Headers],[Company]],61)</f>
        <v>3.6999999999999998E-2</v>
      </c>
      <c r="S177" s="146" t="str" cm="1">
        <f t="array" ref="S177">Common_InputFunctions.Utility_DisplayArrayInTable(Fertiliser_SourceData.Fertiliser_Products_Data3(), FertiliserProducts[[#Headers],[Company]],61)</f>
        <v>Potassium - Generic</v>
      </c>
      <c r="T177" s="146" cm="1">
        <f t="array" ref="T177">Common_InputFunctions.Utility_DisplayArrayInTable(Fertiliser_SourceData.Fertiliser_Products_Data3(), FertiliserProducts[[#Headers],[Company]],61)</f>
        <v>0.13</v>
      </c>
      <c r="U177" s="146" t="str" cm="1">
        <f t="array" ref="U177">Common_InputFunctions.Utility_DisplayArrayInTable(Fertiliser_SourceData.Fertiliser_Products_Data3(), FertiliserProducts[[#Headers],[Company]],61)</f>
        <v>Sulfur - Generic</v>
      </c>
      <c r="V177" s="146" cm="1">
        <f t="array" ref="V177">Common_InputFunctions.Utility_DisplayArrayInTable(Fertiliser_SourceData.Fertiliser_Products_Data3(), FertiliserProducts[[#Headers],[Company]],61)</f>
        <v>4.1000000000000002E-2</v>
      </c>
      <c r="W177" s="146" t="str" cm="1">
        <f t="array" ref="W177">Common_InputFunctions.Utility_DisplayArrayInTable(Fertiliser_SourceData.Fertiliser_Products_Data3(), FertiliserProducts[[#Headers],[Company]],61)</f>
        <v/>
      </c>
      <c r="X177" s="146" t="str" cm="1">
        <f t="array" ref="X177">Common_InputFunctions.Utility_DisplayArrayInTable(Fertiliser_SourceData.Fertiliser_Products_Data3(), FertiliserProducts[[#Headers],[Company]],61)</f>
        <v/>
      </c>
      <c r="Y177" s="146" t="str" cm="1">
        <f t="array" ref="Y177">Common_InputFunctions.Utility_DisplayArrayInTable(Fertiliser_SourceData.Fertiliser_Products_Data3(), FertiliserProducts[[#Headers],[Company]],61)</f>
        <v/>
      </c>
      <c r="Z177" s="146" t="str" cm="1">
        <f t="array" ref="Z177">Common_InputFunctions.Utility_DisplayArrayInTable(Fertiliser_SourceData.Fertiliser_Products_Data3(), FertiliserProducts[[#Headers],[Company]],61)</f>
        <v/>
      </c>
      <c r="AA177" s="146" t="str" cm="1">
        <f t="array" ref="AA177">Common_InputFunctions.Utility_DisplayArrayInTable(Fertiliser_SourceData.Fertiliser_Products_Data3(), FertiliserProducts[[#Headers],[Company]],61)</f>
        <v/>
      </c>
      <c r="AB177" s="146" t="str" cm="1">
        <f t="array" ref="AB177">Common_InputFunctions.Utility_DisplayArrayInTable(Fertiliser_SourceData.Fertiliser_Products_Data3(), FertiliserProducts[[#Headers],[Company]],61)</f>
        <v/>
      </c>
      <c r="AC177" s="146" t="str" cm="1">
        <f t="array" ref="AC177">Common_InputFunctions.Utility_DisplayArrayInTable(Fertiliser_SourceData.Fertiliser_Products_Data3(), FertiliserProducts[[#Headers],[Company]],61)</f>
        <v/>
      </c>
      <c r="AD177" s="146" t="str" cm="1">
        <f t="array" ref="AD177">Common_InputFunctions.Utility_DisplayArrayInTable(Fertiliser_SourceData.Fertiliser_Products_Data3(), FertiliserProducts[[#Headers],[Company]],61)</f>
        <v/>
      </c>
      <c r="AE177" s="146" t="str" cm="1">
        <f t="array" ref="AE177">Common_InputFunctions.Utility_DisplayArrayInTable(Fertiliser_SourceData.Fertiliser_Products_Data3(), FertiliserProducts[[#Headers],[Company]],61)</f>
        <v/>
      </c>
      <c r="AF177" s="146" t="str" cm="1">
        <f t="array" ref="AF177">Common_InputFunctions.Utility_DisplayArrayInTable(Fertiliser_SourceData.Fertiliser_Products_Data3(), FertiliserProducts[[#Headers],[Company]],61)</f>
        <v/>
      </c>
      <c r="AG177" s="146" t="str" cm="1">
        <f t="array" ref="AG177">Common_InputFunctions.Utility_DisplayArrayInTable(Fertiliser_SourceData.Fertiliser_Products_Data3(), FertiliserProducts[[#Headers],[Company]],61)</f>
        <v/>
      </c>
      <c r="AH177" s="146" t="str" cm="1">
        <f t="array" ref="AH177">Common_InputFunctions.Utility_DisplayArrayInTable(Fertiliser_SourceData.Fertiliser_Products_Data3(), FertiliserProducts[[#Headers],[Company]],61)</f>
        <v/>
      </c>
      <c r="AK177" s="1"/>
    </row>
    <row r="178" spans="1:37" ht="20.100000000000001" customHeight="1" x14ac:dyDescent="0.2">
      <c r="D178" s="146" t="str" cm="1">
        <f t="array" ref="D178">Common_InputFunctions.Utility_DisplayArrayInTable(Fertiliser_SourceData.Fertiliser_Products_Data3(), FertiliserProducts[[#Headers],[Company]],61)</f>
        <v>Incitec Pivot Fertilisers</v>
      </c>
      <c r="E178" s="146" t="str" cm="1">
        <f t="array" ref="E178">Common_InputFunctions.Utility_DisplayArrayInTable(Fertiliser_SourceData.Fertiliser_Products_Data3(), FertiliserProducts[[#Headers],[Company]],61)</f>
        <v>Greentop K</v>
      </c>
      <c r="F178" s="146" t="str" cm="1">
        <f t="array" ref="F178">Common_InputFunctions.Utility_DisplayArrayInTable(Fertiliser_SourceData.Fertiliser_Products_Data3(), FertiliserProducts[[#Headers],[Company]],61)</f>
        <v>kg</v>
      </c>
      <c r="G178" s="146" cm="1">
        <f t="array" ref="G178">Common_InputFunctions.Utility_DisplayArrayInTable(Fertiliser_SourceData.Fertiliser_Products_Data3(), FertiliserProducts[[#Headers],[Company]],61)</f>
        <v>1</v>
      </c>
      <c r="H178" s="146" t="str" cm="1">
        <f t="array" ref="H178">Common_InputFunctions.Utility_DisplayArrayInTable(Fertiliser_SourceData.Fertiliser_Products_Data3(), FertiliserProducts[[#Headers],[Company]],61)</f>
        <v/>
      </c>
      <c r="I178" s="146" t="str" cm="1">
        <f t="array" ref="I178">Common_InputFunctions.Utility_DisplayArrayInTable(Fertiliser_SourceData.Fertiliser_Products_Data3(), FertiliserProducts[[#Headers],[Company]],61)</f>
        <v/>
      </c>
      <c r="J178" s="146" t="str" cm="1">
        <f t="array" ref="J178">Common_InputFunctions.Utility_DisplayArrayInTable(Fertiliser_SourceData.Fertiliser_Products_Data3(), FertiliserProducts[[#Headers],[Company]],61)</f>
        <v/>
      </c>
      <c r="K178" s="146" cm="1">
        <f t="array" ref="K178">Common_InputFunctions.Utility_DisplayArrayInTable(Fertiliser_SourceData.Fertiliser_Products_Data3(), FertiliserProducts[[#Headers],[Company]],61)</f>
        <v>32.799999999999997</v>
      </c>
      <c r="L178" s="146" t="str" cm="1">
        <f t="array" ref="L178">Common_InputFunctions.Utility_DisplayArrayInTable(Fertiliser_SourceData.Fertiliser_Products_Data3(), FertiliserProducts[[#Headers],[Company]],61)</f>
        <v/>
      </c>
      <c r="M178" s="146" cm="1">
        <f t="array" ref="M178">Common_InputFunctions.Utility_DisplayArrayInTable(Fertiliser_SourceData.Fertiliser_Products_Data3(), FertiliserProducts[[#Headers],[Company]],61)</f>
        <v>11</v>
      </c>
      <c r="N178" s="146" cm="1">
        <f t="array" ref="N178">Common_InputFunctions.Utility_DisplayArrayInTable(Fertiliser_SourceData.Fertiliser_Products_Data3(), FertiliserProducts[[#Headers],[Company]],61)</f>
        <v>2.9</v>
      </c>
      <c r="O178" s="146" t="str" cm="1">
        <f t="array" ref="O178">Common_InputFunctions.Utility_DisplayArrayInTable(Fertiliser_SourceData.Fertiliser_Products_Data3(), FertiliserProducts[[#Headers],[Company]],61)</f>
        <v>Urea</v>
      </c>
      <c r="P178" s="146" cm="1">
        <f t="array" ref="P178">Common_InputFunctions.Utility_DisplayArrayInTable(Fertiliser_SourceData.Fertiliser_Products_Data3(), FertiliserProducts[[#Headers],[Company]],61)</f>
        <v>0.66086999999999996</v>
      </c>
      <c r="Q178" s="146" t="str" cm="1">
        <f t="array" ref="Q178">Common_InputFunctions.Utility_DisplayArrayInTable(Fertiliser_SourceData.Fertiliser_Products_Data3(), FertiliserProducts[[#Headers],[Company]],61)</f>
        <v>Nitrogen - Ammoniacal</v>
      </c>
      <c r="R178" s="146" cm="1">
        <f t="array" ref="R178">Common_InputFunctions.Utility_DisplayArrayInTable(Fertiliser_SourceData.Fertiliser_Products_Data3(), FertiliserProducts[[#Headers],[Company]],61)</f>
        <v>2.4E-2</v>
      </c>
      <c r="S178" s="146" t="str" cm="1">
        <f t="array" ref="S178">Common_InputFunctions.Utility_DisplayArrayInTable(Fertiliser_SourceData.Fertiliser_Products_Data3(), FertiliserProducts[[#Headers],[Company]],61)</f>
        <v>Potassium - Generic</v>
      </c>
      <c r="T178" s="146" cm="1">
        <f t="array" ref="T178">Common_InputFunctions.Utility_DisplayArrayInTable(Fertiliser_SourceData.Fertiliser_Products_Data3(), FertiliserProducts[[#Headers],[Company]],61)</f>
        <v>0.11</v>
      </c>
      <c r="U178" s="146" t="str" cm="1">
        <f t="array" ref="U178">Common_InputFunctions.Utility_DisplayArrayInTable(Fertiliser_SourceData.Fertiliser_Products_Data3(), FertiliserProducts[[#Headers],[Company]],61)</f>
        <v>Sulfur - Generic</v>
      </c>
      <c r="V178" s="146" cm="1">
        <f t="array" ref="V178">Common_InputFunctions.Utility_DisplayArrayInTable(Fertiliser_SourceData.Fertiliser_Products_Data3(), FertiliserProducts[[#Headers],[Company]],61)</f>
        <v>2.9000000000000001E-2</v>
      </c>
      <c r="W178" s="146" t="str" cm="1">
        <f t="array" ref="W178">Common_InputFunctions.Utility_DisplayArrayInTable(Fertiliser_SourceData.Fertiliser_Products_Data3(), FertiliserProducts[[#Headers],[Company]],61)</f>
        <v/>
      </c>
      <c r="X178" s="146" t="str" cm="1">
        <f t="array" ref="X178">Common_InputFunctions.Utility_DisplayArrayInTable(Fertiliser_SourceData.Fertiliser_Products_Data3(), FertiliserProducts[[#Headers],[Company]],61)</f>
        <v/>
      </c>
      <c r="Y178" s="146" t="str" cm="1">
        <f t="array" ref="Y178">Common_InputFunctions.Utility_DisplayArrayInTable(Fertiliser_SourceData.Fertiliser_Products_Data3(), FertiliserProducts[[#Headers],[Company]],61)</f>
        <v/>
      </c>
      <c r="Z178" s="146" t="str" cm="1">
        <f t="array" ref="Z178">Common_InputFunctions.Utility_DisplayArrayInTable(Fertiliser_SourceData.Fertiliser_Products_Data3(), FertiliserProducts[[#Headers],[Company]],61)</f>
        <v/>
      </c>
      <c r="AA178" s="146" t="str" cm="1">
        <f t="array" ref="AA178">Common_InputFunctions.Utility_DisplayArrayInTable(Fertiliser_SourceData.Fertiliser_Products_Data3(), FertiliserProducts[[#Headers],[Company]],61)</f>
        <v/>
      </c>
      <c r="AB178" s="146" t="str" cm="1">
        <f t="array" ref="AB178">Common_InputFunctions.Utility_DisplayArrayInTable(Fertiliser_SourceData.Fertiliser_Products_Data3(), FertiliserProducts[[#Headers],[Company]],61)</f>
        <v/>
      </c>
      <c r="AC178" s="146" t="str" cm="1">
        <f t="array" ref="AC178">Common_InputFunctions.Utility_DisplayArrayInTable(Fertiliser_SourceData.Fertiliser_Products_Data3(), FertiliserProducts[[#Headers],[Company]],61)</f>
        <v/>
      </c>
      <c r="AD178" s="146" t="str" cm="1">
        <f t="array" ref="AD178">Common_InputFunctions.Utility_DisplayArrayInTable(Fertiliser_SourceData.Fertiliser_Products_Data3(), FertiliserProducts[[#Headers],[Company]],61)</f>
        <v/>
      </c>
      <c r="AE178" s="146" t="str" cm="1">
        <f t="array" ref="AE178">Common_InputFunctions.Utility_DisplayArrayInTable(Fertiliser_SourceData.Fertiliser_Products_Data3(), FertiliserProducts[[#Headers],[Company]],61)</f>
        <v/>
      </c>
      <c r="AF178" s="146" t="str" cm="1">
        <f t="array" ref="AF178">Common_InputFunctions.Utility_DisplayArrayInTable(Fertiliser_SourceData.Fertiliser_Products_Data3(), FertiliserProducts[[#Headers],[Company]],61)</f>
        <v/>
      </c>
      <c r="AG178" s="146" t="str" cm="1">
        <f t="array" ref="AG178">Common_InputFunctions.Utility_DisplayArrayInTable(Fertiliser_SourceData.Fertiliser_Products_Data3(), FertiliserProducts[[#Headers],[Company]],61)</f>
        <v/>
      </c>
      <c r="AH178" s="146" t="str" cm="1">
        <f t="array" ref="AH178">Common_InputFunctions.Utility_DisplayArrayInTable(Fertiliser_SourceData.Fertiliser_Products_Data3(), FertiliserProducts[[#Headers],[Company]],61)</f>
        <v/>
      </c>
      <c r="AK178" s="1"/>
    </row>
    <row r="179" spans="1:37" ht="20.100000000000001" customHeight="1" x14ac:dyDescent="0.2">
      <c r="D179" s="146" t="str" cm="1">
        <f t="array" ref="D179">Common_InputFunctions.Utility_DisplayArrayInTable(Fertiliser_SourceData.Fertiliser_Products_Data3(), FertiliserProducts[[#Headers],[Company]],61)</f>
        <v>Incitec Pivot Fertilisers</v>
      </c>
      <c r="E179" s="146" t="str" cm="1">
        <f t="array" ref="E179">Common_InputFunctions.Utility_DisplayArrayInTable(Fertiliser_SourceData.Fertiliser_Products_Data3(), FertiliserProducts[[#Headers],[Company]],61)</f>
        <v>HayBoosta</v>
      </c>
      <c r="F179" s="146" t="str" cm="1">
        <f t="array" ref="F179">Common_InputFunctions.Utility_DisplayArrayInTable(Fertiliser_SourceData.Fertiliser_Products_Data3(), FertiliserProducts[[#Headers],[Company]],61)</f>
        <v>kg</v>
      </c>
      <c r="G179" s="146" cm="1">
        <f t="array" ref="G179">Common_InputFunctions.Utility_DisplayArrayInTable(Fertiliser_SourceData.Fertiliser_Products_Data3(), FertiliserProducts[[#Headers],[Company]],61)</f>
        <v>1</v>
      </c>
      <c r="H179" s="146" t="str" cm="1">
        <f t="array" ref="H179">Common_InputFunctions.Utility_DisplayArrayInTable(Fertiliser_SourceData.Fertiliser_Products_Data3(), FertiliserProducts[[#Headers],[Company]],61)</f>
        <v/>
      </c>
      <c r="I179" s="146" t="str" cm="1">
        <f t="array" ref="I179">Common_InputFunctions.Utility_DisplayArrayInTable(Fertiliser_SourceData.Fertiliser_Products_Data3(), FertiliserProducts[[#Headers],[Company]],61)</f>
        <v/>
      </c>
      <c r="J179" s="146" t="str" cm="1">
        <f t="array" ref="J179">Common_InputFunctions.Utility_DisplayArrayInTable(Fertiliser_SourceData.Fertiliser_Products_Data3(), FertiliserProducts[[#Headers],[Company]],61)</f>
        <v/>
      </c>
      <c r="K179" s="146" cm="1">
        <f t="array" ref="K179">Common_InputFunctions.Utility_DisplayArrayInTable(Fertiliser_SourceData.Fertiliser_Products_Data3(), FertiliserProducts[[#Headers],[Company]],61)</f>
        <v>11.7</v>
      </c>
      <c r="L179" s="146" cm="1">
        <f t="array" ref="L179">Common_InputFunctions.Utility_DisplayArrayInTable(Fertiliser_SourceData.Fertiliser_Products_Data3(), FertiliserProducts[[#Headers],[Company]],61)</f>
        <v>4.7</v>
      </c>
      <c r="M179" s="146" cm="1">
        <f t="array" ref="M179">Common_InputFunctions.Utility_DisplayArrayInTable(Fertiliser_SourceData.Fertiliser_Products_Data3(), FertiliserProducts[[#Headers],[Company]],61)</f>
        <v>23.9</v>
      </c>
      <c r="N179" s="146" cm="1">
        <f t="array" ref="N179">Common_InputFunctions.Utility_DisplayArrayInTable(Fertiliser_SourceData.Fertiliser_Products_Data3(), FertiliserProducts[[#Headers],[Company]],61)</f>
        <v>4.5999999999999996</v>
      </c>
      <c r="O179" s="146" t="str" cm="1">
        <f t="array" ref="O179">Common_InputFunctions.Utility_DisplayArrayInTable(Fertiliser_SourceData.Fertiliser_Products_Data3(), FertiliserProducts[[#Headers],[Company]],61)</f>
        <v>Nitrogen - Generic</v>
      </c>
      <c r="P179" s="146" cm="1">
        <f t="array" ref="P179">Common_InputFunctions.Utility_DisplayArrayInTable(Fertiliser_SourceData.Fertiliser_Products_Data3(), FertiliserProducts[[#Headers],[Company]],61)</f>
        <v>0.11700000000000001</v>
      </c>
      <c r="Q179" s="146" t="str" cm="1">
        <f t="array" ref="Q179">Common_InputFunctions.Utility_DisplayArrayInTable(Fertiliser_SourceData.Fertiliser_Products_Data3(), FertiliserProducts[[#Headers],[Company]],61)</f>
        <v>Phosphorus - Generic</v>
      </c>
      <c r="R179" s="146" cm="1">
        <f t="array" ref="R179">Common_InputFunctions.Utility_DisplayArrayInTable(Fertiliser_SourceData.Fertiliser_Products_Data3(), FertiliserProducts[[#Headers],[Company]],61)</f>
        <v>4.7E-2</v>
      </c>
      <c r="S179" s="146" t="str" cm="1">
        <f t="array" ref="S179">Common_InputFunctions.Utility_DisplayArrayInTable(Fertiliser_SourceData.Fertiliser_Products_Data3(), FertiliserProducts[[#Headers],[Company]],61)</f>
        <v>Potassium - Generic</v>
      </c>
      <c r="T179" s="146" cm="1">
        <f t="array" ref="T179">Common_InputFunctions.Utility_DisplayArrayInTable(Fertiliser_SourceData.Fertiliser_Products_Data3(), FertiliserProducts[[#Headers],[Company]],61)</f>
        <v>0.23899999999999999</v>
      </c>
      <c r="U179" s="146" t="str" cm="1">
        <f t="array" ref="U179">Common_InputFunctions.Utility_DisplayArrayInTable(Fertiliser_SourceData.Fertiliser_Products_Data3(), FertiliserProducts[[#Headers],[Company]],61)</f>
        <v>Sulfur - Generic</v>
      </c>
      <c r="V179" s="146" cm="1">
        <f t="array" ref="V179">Common_InputFunctions.Utility_DisplayArrayInTable(Fertiliser_SourceData.Fertiliser_Products_Data3(), FertiliserProducts[[#Headers],[Company]],61)</f>
        <v>4.5999999999999999E-2</v>
      </c>
      <c r="W179" s="146" t="str" cm="1">
        <f t="array" ref="W179">Common_InputFunctions.Utility_DisplayArrayInTable(Fertiliser_SourceData.Fertiliser_Products_Data3(), FertiliserProducts[[#Headers],[Company]],61)</f>
        <v/>
      </c>
      <c r="X179" s="146" t="str" cm="1">
        <f t="array" ref="X179">Common_InputFunctions.Utility_DisplayArrayInTable(Fertiliser_SourceData.Fertiliser_Products_Data3(), FertiliserProducts[[#Headers],[Company]],61)</f>
        <v/>
      </c>
      <c r="Y179" s="146" t="str" cm="1">
        <f t="array" ref="Y179">Common_InputFunctions.Utility_DisplayArrayInTable(Fertiliser_SourceData.Fertiliser_Products_Data3(), FertiliserProducts[[#Headers],[Company]],61)</f>
        <v/>
      </c>
      <c r="Z179" s="146" t="str" cm="1">
        <f t="array" ref="Z179">Common_InputFunctions.Utility_DisplayArrayInTable(Fertiliser_SourceData.Fertiliser_Products_Data3(), FertiliserProducts[[#Headers],[Company]],61)</f>
        <v/>
      </c>
      <c r="AA179" s="146" t="str" cm="1">
        <f t="array" ref="AA179">Common_InputFunctions.Utility_DisplayArrayInTable(Fertiliser_SourceData.Fertiliser_Products_Data3(), FertiliserProducts[[#Headers],[Company]],61)</f>
        <v/>
      </c>
      <c r="AB179" s="146" t="str" cm="1">
        <f t="array" ref="AB179">Common_InputFunctions.Utility_DisplayArrayInTable(Fertiliser_SourceData.Fertiliser_Products_Data3(), FertiliserProducts[[#Headers],[Company]],61)</f>
        <v/>
      </c>
      <c r="AC179" s="146" t="str" cm="1">
        <f t="array" ref="AC179">Common_InputFunctions.Utility_DisplayArrayInTable(Fertiliser_SourceData.Fertiliser_Products_Data3(), FertiliserProducts[[#Headers],[Company]],61)</f>
        <v/>
      </c>
      <c r="AD179" s="146" t="str" cm="1">
        <f t="array" ref="AD179">Common_InputFunctions.Utility_DisplayArrayInTable(Fertiliser_SourceData.Fertiliser_Products_Data3(), FertiliserProducts[[#Headers],[Company]],61)</f>
        <v/>
      </c>
      <c r="AE179" s="146" t="str" cm="1">
        <f t="array" ref="AE179">Common_InputFunctions.Utility_DisplayArrayInTable(Fertiliser_SourceData.Fertiliser_Products_Data3(), FertiliserProducts[[#Headers],[Company]],61)</f>
        <v/>
      </c>
      <c r="AF179" s="146" t="str" cm="1">
        <f t="array" ref="AF179">Common_InputFunctions.Utility_DisplayArrayInTable(Fertiliser_SourceData.Fertiliser_Products_Data3(), FertiliserProducts[[#Headers],[Company]],61)</f>
        <v/>
      </c>
      <c r="AG179" s="146" t="str" cm="1">
        <f t="array" ref="AG179">Common_InputFunctions.Utility_DisplayArrayInTable(Fertiliser_SourceData.Fertiliser_Products_Data3(), FertiliserProducts[[#Headers],[Company]],61)</f>
        <v/>
      </c>
      <c r="AH179" s="146" t="str" cm="1">
        <f t="array" ref="AH179">Common_InputFunctions.Utility_DisplayArrayInTable(Fertiliser_SourceData.Fertiliser_Products_Data3(), FertiliserProducts[[#Headers],[Company]],61)</f>
        <v/>
      </c>
      <c r="AK179" s="1"/>
    </row>
    <row r="180" spans="1:37" ht="20.100000000000001" customHeight="1" x14ac:dyDescent="0.2">
      <c r="D180" s="146" t="str" cm="1">
        <f t="array" ref="D180">Common_InputFunctions.Utility_DisplayArrayInTable(Fertiliser_SourceData.Fertiliser_Products_Data4(),FertiliserProducts[[#Headers],[Company]], 91)</f>
        <v>Impact Fertilisers</v>
      </c>
      <c r="E180" s="146" t="str" cm="1">
        <f t="array" ref="E180">Common_InputFunctions.Utility_DisplayArrayInTable(Fertiliser_SourceData.Fertiliser_Products_Data4(),FertiliserProducts[[#Headers],[Company]], 91)</f>
        <v>Impact Super Potash 1&amp;1</v>
      </c>
      <c r="F180" s="146" t="str" cm="1">
        <f t="array" ref="F180">Common_InputFunctions.Utility_DisplayArrayInTable(Fertiliser_SourceData.Fertiliser_Products_Data4(),FertiliserProducts[[#Headers],[Company]], 91)</f>
        <v>kg</v>
      </c>
      <c r="G180" s="146" cm="1">
        <f t="array" ref="G180">Common_InputFunctions.Utility_DisplayArrayInTable(Fertiliser_SourceData.Fertiliser_Products_Data4(),FertiliserProducts[[#Headers],[Company]], 91)</f>
        <v>1</v>
      </c>
      <c r="H180" s="146" t="str" cm="1">
        <f t="array" ref="H180">Common_InputFunctions.Utility_DisplayArrayInTable(Fertiliser_SourceData.Fertiliser_Products_Data4(),FertiliserProducts[[#Headers],[Company]], 91)</f>
        <v/>
      </c>
      <c r="I180" s="146" t="str" cm="1">
        <f t="array" ref="I180">Common_InputFunctions.Utility_DisplayArrayInTable(Fertiliser_SourceData.Fertiliser_Products_Data4(),FertiliserProducts[[#Headers],[Company]], 91)</f>
        <v/>
      </c>
      <c r="J180" s="146" t="str" cm="1">
        <f t="array" ref="J180">Common_InputFunctions.Utility_DisplayArrayInTable(Fertiliser_SourceData.Fertiliser_Products_Data4(),FertiliserProducts[[#Headers],[Company]], 91)</f>
        <v/>
      </c>
      <c r="K180" s="146" t="str" cm="1">
        <f t="array" ref="K180">Common_InputFunctions.Utility_DisplayArrayInTable(Fertiliser_SourceData.Fertiliser_Products_Data4(),FertiliserProducts[[#Headers],[Company]], 91)</f>
        <v/>
      </c>
      <c r="L180" s="146" cm="1">
        <f t="array" ref="L180">Common_InputFunctions.Utility_DisplayArrayInTable(Fertiliser_SourceData.Fertiliser_Products_Data4(),FertiliserProducts[[#Headers],[Company]], 91)</f>
        <v>4.4000000000000004</v>
      </c>
      <c r="M180" s="146" cm="1">
        <f t="array" ref="M180">Common_InputFunctions.Utility_DisplayArrayInTable(Fertiliser_SourceData.Fertiliser_Products_Data4(),FertiliserProducts[[#Headers],[Company]], 91)</f>
        <v>25</v>
      </c>
      <c r="N180" s="146" cm="1">
        <f t="array" ref="N180">Common_InputFunctions.Utility_DisplayArrayInTable(Fertiliser_SourceData.Fertiliser_Products_Data4(),FertiliserProducts[[#Headers],[Company]], 91)</f>
        <v>5.5</v>
      </c>
      <c r="O180" s="146" t="str" cm="1">
        <f t="array" ref="O180">Common_InputFunctions.Utility_DisplayArrayInTable(Fertiliser_SourceData.Fertiliser_Products_Data4(),FertiliserProducts[[#Headers],[Company]], 91)</f>
        <v>Single superphosphate (SSP)</v>
      </c>
      <c r="P180" s="146" cm="1">
        <f t="array" ref="P180">Common_InputFunctions.Utility_DisplayArrayInTable(Fertiliser_SourceData.Fertiliser_Products_Data4(),FertiliserProducts[[#Headers],[Company]], 91)</f>
        <v>0.5</v>
      </c>
      <c r="Q180" s="146" t="str" cm="1">
        <f t="array" ref="Q180">Common_InputFunctions.Utility_DisplayArrayInTable(Fertiliser_SourceData.Fertiliser_Products_Data4(),FertiliserProducts[[#Headers],[Company]], 91)</f>
        <v>Muriate of potash (MOP)</v>
      </c>
      <c r="R180" s="146" cm="1">
        <f t="array" ref="R180">Common_InputFunctions.Utility_DisplayArrayInTable(Fertiliser_SourceData.Fertiliser_Products_Data4(),FertiliserProducts[[#Headers],[Company]], 91)</f>
        <v>0.5</v>
      </c>
      <c r="S180" s="146" t="str" cm="1">
        <f t="array" ref="S180">Common_InputFunctions.Utility_DisplayArrayInTable(Fertiliser_SourceData.Fertiliser_Products_Data4(),FertiliserProducts[[#Headers],[Company]], 91)</f>
        <v/>
      </c>
      <c r="T180" s="146" t="str" cm="1">
        <f t="array" ref="T180">Common_InputFunctions.Utility_DisplayArrayInTable(Fertiliser_SourceData.Fertiliser_Products_Data4(),FertiliserProducts[[#Headers],[Company]], 91)</f>
        <v/>
      </c>
      <c r="U180" s="146" t="str" cm="1">
        <f t="array" ref="U180">Common_InputFunctions.Utility_DisplayArrayInTable(Fertiliser_SourceData.Fertiliser_Products_Data4(),FertiliserProducts[[#Headers],[Company]], 91)</f>
        <v/>
      </c>
      <c r="V180" s="146" t="str" cm="1">
        <f t="array" ref="V180">Common_InputFunctions.Utility_DisplayArrayInTable(Fertiliser_SourceData.Fertiliser_Products_Data4(),FertiliserProducts[[#Headers],[Company]], 91)</f>
        <v/>
      </c>
      <c r="W180" s="146" t="str" cm="1">
        <f t="array" ref="W180">Common_InputFunctions.Utility_DisplayArrayInTable(Fertiliser_SourceData.Fertiliser_Products_Data4(),FertiliserProducts[[#Headers],[Company]], 91)</f>
        <v/>
      </c>
      <c r="X180" s="146" t="str" cm="1">
        <f t="array" ref="X180">Common_InputFunctions.Utility_DisplayArrayInTable(Fertiliser_SourceData.Fertiliser_Products_Data4(),FertiliserProducts[[#Headers],[Company]], 91)</f>
        <v/>
      </c>
      <c r="Y180" s="146" t="str" cm="1">
        <f t="array" ref="Y180">Common_InputFunctions.Utility_DisplayArrayInTable(Fertiliser_SourceData.Fertiliser_Products_Data4(),FertiliserProducts[[#Headers],[Company]], 91)</f>
        <v/>
      </c>
      <c r="Z180" s="146" t="str" cm="1">
        <f t="array" ref="Z180">Common_InputFunctions.Utility_DisplayArrayInTable(Fertiliser_SourceData.Fertiliser_Products_Data4(),FertiliserProducts[[#Headers],[Company]], 91)</f>
        <v/>
      </c>
      <c r="AA180" s="146" t="str" cm="1">
        <f t="array" ref="AA180">Common_InputFunctions.Utility_DisplayArrayInTable(Fertiliser_SourceData.Fertiliser_Products_Data4(),FertiliserProducts[[#Headers],[Company]], 91)</f>
        <v/>
      </c>
      <c r="AB180" s="146" t="str" cm="1">
        <f t="array" ref="AB180">Common_InputFunctions.Utility_DisplayArrayInTable(Fertiliser_SourceData.Fertiliser_Products_Data4(),FertiliserProducts[[#Headers],[Company]], 91)</f>
        <v/>
      </c>
      <c r="AC180" s="146" t="str" cm="1">
        <f t="array" ref="AC180">Common_InputFunctions.Utility_DisplayArrayInTable(Fertiliser_SourceData.Fertiliser_Products_Data4(),FertiliserProducts[[#Headers],[Company]], 91)</f>
        <v/>
      </c>
      <c r="AD180" s="146" t="str" cm="1">
        <f t="array" ref="AD180">Common_InputFunctions.Utility_DisplayArrayInTable(Fertiliser_SourceData.Fertiliser_Products_Data4(),FertiliserProducts[[#Headers],[Company]], 91)</f>
        <v/>
      </c>
      <c r="AE180" s="146" t="str" cm="1">
        <f t="array" ref="AE180">Common_InputFunctions.Utility_DisplayArrayInTable(Fertiliser_SourceData.Fertiliser_Products_Data4(),FertiliserProducts[[#Headers],[Company]], 91)</f>
        <v/>
      </c>
      <c r="AF180" s="146" t="str" cm="1">
        <f t="array" ref="AF180">Common_InputFunctions.Utility_DisplayArrayInTable(Fertiliser_SourceData.Fertiliser_Products_Data4(),FertiliserProducts[[#Headers],[Company]], 91)</f>
        <v/>
      </c>
      <c r="AG180" s="146" t="str" cm="1">
        <f t="array" ref="AG180">Common_InputFunctions.Utility_DisplayArrayInTable(Fertiliser_SourceData.Fertiliser_Products_Data4(),FertiliserProducts[[#Headers],[Company]], 91)</f>
        <v/>
      </c>
      <c r="AH180" s="146" t="str" cm="1">
        <f t="array" ref="AH180">Common_InputFunctions.Utility_DisplayArrayInTable(Fertiliser_SourceData.Fertiliser_Products_Data4(),FertiliserProducts[[#Headers],[Company]], 91)</f>
        <v/>
      </c>
    </row>
    <row r="181" spans="1:37" ht="20.100000000000001" customHeight="1" x14ac:dyDescent="0.2">
      <c r="D181" s="146" t="str" cm="1">
        <f t="array" ref="D181">Common_InputFunctions.Utility_DisplayArrayInTable(Fertiliser_SourceData.Fertiliser_Products_Data4(),FertiliserProducts[[#Headers],[Company]], 91)</f>
        <v>Impact Fertilisers</v>
      </c>
      <c r="E181" s="146" t="str" cm="1">
        <f t="array" ref="E181">Common_InputFunctions.Utility_DisplayArrayInTable(Fertiliser_SourceData.Fertiliser_Products_Data4(),FertiliserProducts[[#Headers],[Company]], 91)</f>
        <v>Impact Super Potash 2&amp;1</v>
      </c>
      <c r="F181" s="146" t="str" cm="1">
        <f t="array" ref="F181">Common_InputFunctions.Utility_DisplayArrayInTable(Fertiliser_SourceData.Fertiliser_Products_Data4(),FertiliserProducts[[#Headers],[Company]], 91)</f>
        <v>kg</v>
      </c>
      <c r="G181" s="146" cm="1">
        <f t="array" ref="G181">Common_InputFunctions.Utility_DisplayArrayInTable(Fertiliser_SourceData.Fertiliser_Products_Data4(),FertiliserProducts[[#Headers],[Company]], 91)</f>
        <v>1</v>
      </c>
      <c r="H181" s="146" t="str" cm="1">
        <f t="array" ref="H181">Common_InputFunctions.Utility_DisplayArrayInTable(Fertiliser_SourceData.Fertiliser_Products_Data4(),FertiliserProducts[[#Headers],[Company]], 91)</f>
        <v/>
      </c>
      <c r="I181" s="146" t="str" cm="1">
        <f t="array" ref="I181">Common_InputFunctions.Utility_DisplayArrayInTable(Fertiliser_SourceData.Fertiliser_Products_Data4(),FertiliserProducts[[#Headers],[Company]], 91)</f>
        <v/>
      </c>
      <c r="J181" s="146" t="str" cm="1">
        <f t="array" ref="J181">Common_InputFunctions.Utility_DisplayArrayInTable(Fertiliser_SourceData.Fertiliser_Products_Data4(),FertiliserProducts[[#Headers],[Company]], 91)</f>
        <v/>
      </c>
      <c r="K181" s="146" t="str" cm="1">
        <f t="array" ref="K181">Common_InputFunctions.Utility_DisplayArrayInTable(Fertiliser_SourceData.Fertiliser_Products_Data4(),FertiliserProducts[[#Headers],[Company]], 91)</f>
        <v/>
      </c>
      <c r="L181" s="146" cm="1">
        <f t="array" ref="L181">Common_InputFunctions.Utility_DisplayArrayInTable(Fertiliser_SourceData.Fertiliser_Products_Data4(),FertiliserProducts[[#Headers],[Company]], 91)</f>
        <v>5.84</v>
      </c>
      <c r="M181" s="146" cm="1">
        <f t="array" ref="M181">Common_InputFunctions.Utility_DisplayArrayInTable(Fertiliser_SourceData.Fertiliser_Products_Data4(),FertiliserProducts[[#Headers],[Company]], 91)</f>
        <v>16.8</v>
      </c>
      <c r="N181" s="146" cm="1">
        <f t="array" ref="N181">Common_InputFunctions.Utility_DisplayArrayInTable(Fertiliser_SourceData.Fertiliser_Products_Data4(),FertiliserProducts[[#Headers],[Company]], 91)</f>
        <v>7.29</v>
      </c>
      <c r="O181" s="146" t="str" cm="1">
        <f t="array" ref="O181">Common_InputFunctions.Utility_DisplayArrayInTable(Fertiliser_SourceData.Fertiliser_Products_Data4(),FertiliserProducts[[#Headers],[Company]], 91)</f>
        <v>Single superphosphate (SSP)</v>
      </c>
      <c r="P181" s="146" cm="1">
        <f t="array" ref="P181">Common_InputFunctions.Utility_DisplayArrayInTable(Fertiliser_SourceData.Fertiliser_Products_Data4(),FertiliserProducts[[#Headers],[Company]], 91)</f>
        <v>0.66315800000000003</v>
      </c>
      <c r="Q181" s="146" t="str" cm="1">
        <f t="array" ref="Q181">Common_InputFunctions.Utility_DisplayArrayInTable(Fertiliser_SourceData.Fertiliser_Products_Data4(),FertiliserProducts[[#Headers],[Company]], 91)</f>
        <v>Muriate of potash (MOP)</v>
      </c>
      <c r="R181" s="146" cm="1">
        <f t="array" ref="R181">Common_InputFunctions.Utility_DisplayArrayInTable(Fertiliser_SourceData.Fertiliser_Products_Data4(),FertiliserProducts[[#Headers],[Company]], 91)</f>
        <v>0.33600000000000002</v>
      </c>
      <c r="S181" s="146" t="str" cm="1">
        <f t="array" ref="S181">Common_InputFunctions.Utility_DisplayArrayInTable(Fertiliser_SourceData.Fertiliser_Products_Data4(),FertiliserProducts[[#Headers],[Company]], 91)</f>
        <v/>
      </c>
      <c r="T181" s="146" t="str" cm="1">
        <f t="array" ref="T181">Common_InputFunctions.Utility_DisplayArrayInTable(Fertiliser_SourceData.Fertiliser_Products_Data4(),FertiliserProducts[[#Headers],[Company]], 91)</f>
        <v/>
      </c>
      <c r="U181" s="146" t="str" cm="1">
        <f t="array" ref="U181">Common_InputFunctions.Utility_DisplayArrayInTable(Fertiliser_SourceData.Fertiliser_Products_Data4(),FertiliserProducts[[#Headers],[Company]], 91)</f>
        <v/>
      </c>
      <c r="V181" s="146" t="str" cm="1">
        <f t="array" ref="V181">Common_InputFunctions.Utility_DisplayArrayInTable(Fertiliser_SourceData.Fertiliser_Products_Data4(),FertiliserProducts[[#Headers],[Company]], 91)</f>
        <v/>
      </c>
      <c r="W181" s="146" t="str" cm="1">
        <f t="array" ref="W181">Common_InputFunctions.Utility_DisplayArrayInTable(Fertiliser_SourceData.Fertiliser_Products_Data4(),FertiliserProducts[[#Headers],[Company]], 91)</f>
        <v/>
      </c>
      <c r="X181" s="146" t="str" cm="1">
        <f t="array" ref="X181">Common_InputFunctions.Utility_DisplayArrayInTable(Fertiliser_SourceData.Fertiliser_Products_Data4(),FertiliserProducts[[#Headers],[Company]], 91)</f>
        <v/>
      </c>
      <c r="Y181" s="146" t="str" cm="1">
        <f t="array" ref="Y181">Common_InputFunctions.Utility_DisplayArrayInTable(Fertiliser_SourceData.Fertiliser_Products_Data4(),FertiliserProducts[[#Headers],[Company]], 91)</f>
        <v/>
      </c>
      <c r="Z181" s="146" t="str" cm="1">
        <f t="array" ref="Z181">Common_InputFunctions.Utility_DisplayArrayInTable(Fertiliser_SourceData.Fertiliser_Products_Data4(),FertiliserProducts[[#Headers],[Company]], 91)</f>
        <v/>
      </c>
      <c r="AA181" s="146" t="str" cm="1">
        <f t="array" ref="AA181">Common_InputFunctions.Utility_DisplayArrayInTable(Fertiliser_SourceData.Fertiliser_Products_Data4(),FertiliserProducts[[#Headers],[Company]], 91)</f>
        <v/>
      </c>
      <c r="AB181" s="146" t="str" cm="1">
        <f t="array" ref="AB181">Common_InputFunctions.Utility_DisplayArrayInTable(Fertiliser_SourceData.Fertiliser_Products_Data4(),FertiliserProducts[[#Headers],[Company]], 91)</f>
        <v/>
      </c>
      <c r="AC181" s="146" t="str" cm="1">
        <f t="array" ref="AC181">Common_InputFunctions.Utility_DisplayArrayInTable(Fertiliser_SourceData.Fertiliser_Products_Data4(),FertiliserProducts[[#Headers],[Company]], 91)</f>
        <v/>
      </c>
      <c r="AD181" s="146" t="str" cm="1">
        <f t="array" ref="AD181">Common_InputFunctions.Utility_DisplayArrayInTable(Fertiliser_SourceData.Fertiliser_Products_Data4(),FertiliserProducts[[#Headers],[Company]], 91)</f>
        <v/>
      </c>
      <c r="AE181" s="146" t="str" cm="1">
        <f t="array" ref="AE181">Common_InputFunctions.Utility_DisplayArrayInTable(Fertiliser_SourceData.Fertiliser_Products_Data4(),FertiliserProducts[[#Headers],[Company]], 91)</f>
        <v/>
      </c>
      <c r="AF181" s="146" t="str" cm="1">
        <f t="array" ref="AF181">Common_InputFunctions.Utility_DisplayArrayInTable(Fertiliser_SourceData.Fertiliser_Products_Data4(),FertiliserProducts[[#Headers],[Company]], 91)</f>
        <v/>
      </c>
      <c r="AG181" s="146" t="str" cm="1">
        <f t="array" ref="AG181">Common_InputFunctions.Utility_DisplayArrayInTable(Fertiliser_SourceData.Fertiliser_Products_Data4(),FertiliserProducts[[#Headers],[Company]], 91)</f>
        <v/>
      </c>
      <c r="AH181" s="146" t="str" cm="1">
        <f t="array" ref="AH181">Common_InputFunctions.Utility_DisplayArrayInTable(Fertiliser_SourceData.Fertiliser_Products_Data4(),FertiliserProducts[[#Headers],[Company]], 91)</f>
        <v/>
      </c>
    </row>
    <row r="182" spans="1:37" ht="20.100000000000001" customHeight="1" x14ac:dyDescent="0.2">
      <c r="D182" s="146" t="str" cm="1">
        <f t="array" ref="D182">Common_InputFunctions.Utility_DisplayArrayInTable(Fertiliser_SourceData.Fertiliser_Products_Data4(),FertiliserProducts[[#Headers],[Company]], 91)</f>
        <v>Impact Fertilisers</v>
      </c>
      <c r="E182" s="146" t="str" cm="1">
        <f t="array" ref="E182">Common_InputFunctions.Utility_DisplayArrayInTable(Fertiliser_SourceData.Fertiliser_Products_Data4(),FertiliserProducts[[#Headers],[Company]], 91)</f>
        <v>Impact Super Potash 3&amp;1</v>
      </c>
      <c r="F182" s="146" t="str" cm="1">
        <f t="array" ref="F182">Common_InputFunctions.Utility_DisplayArrayInTable(Fertiliser_SourceData.Fertiliser_Products_Data4(),FertiliserProducts[[#Headers],[Company]], 91)</f>
        <v>kg</v>
      </c>
      <c r="G182" s="146" cm="1">
        <f t="array" ref="G182">Common_InputFunctions.Utility_DisplayArrayInTable(Fertiliser_SourceData.Fertiliser_Products_Data4(),FertiliserProducts[[#Headers],[Company]], 91)</f>
        <v>1</v>
      </c>
      <c r="H182" s="146" t="str" cm="1">
        <f t="array" ref="H182">Common_InputFunctions.Utility_DisplayArrayInTable(Fertiliser_SourceData.Fertiliser_Products_Data4(),FertiliserProducts[[#Headers],[Company]], 91)</f>
        <v/>
      </c>
      <c r="I182" s="146" t="str" cm="1">
        <f t="array" ref="I182">Common_InputFunctions.Utility_DisplayArrayInTable(Fertiliser_SourceData.Fertiliser_Products_Data4(),FertiliserProducts[[#Headers],[Company]], 91)</f>
        <v/>
      </c>
      <c r="J182" s="146" t="str" cm="1">
        <f t="array" ref="J182">Common_InputFunctions.Utility_DisplayArrayInTable(Fertiliser_SourceData.Fertiliser_Products_Data4(),FertiliserProducts[[#Headers],[Company]], 91)</f>
        <v/>
      </c>
      <c r="K182" s="146" t="str" cm="1">
        <f t="array" ref="K182">Common_InputFunctions.Utility_DisplayArrayInTable(Fertiliser_SourceData.Fertiliser_Products_Data4(),FertiliserProducts[[#Headers],[Company]], 91)</f>
        <v/>
      </c>
      <c r="L182" s="146" cm="1">
        <f t="array" ref="L182">Common_InputFunctions.Utility_DisplayArrayInTable(Fertiliser_SourceData.Fertiliser_Products_Data4(),FertiliserProducts[[#Headers],[Company]], 91)</f>
        <v>6.58</v>
      </c>
      <c r="M182" s="146" cm="1">
        <f t="array" ref="M182">Common_InputFunctions.Utility_DisplayArrayInTable(Fertiliser_SourceData.Fertiliser_Products_Data4(),FertiliserProducts[[#Headers],[Company]], 91)</f>
        <v>12.5</v>
      </c>
      <c r="N182" s="146" cm="1">
        <f t="array" ref="N182">Common_InputFunctions.Utility_DisplayArrayInTable(Fertiliser_SourceData.Fertiliser_Products_Data4(),FertiliserProducts[[#Headers],[Company]], 91)</f>
        <v>8.2200000000000006</v>
      </c>
      <c r="O182" s="146" t="str" cm="1">
        <f t="array" ref="O182">Common_InputFunctions.Utility_DisplayArrayInTable(Fertiliser_SourceData.Fertiliser_Products_Data4(),FertiliserProducts[[#Headers],[Company]], 91)</f>
        <v>Single superphosphate (SSP)</v>
      </c>
      <c r="P182" s="146" cm="1">
        <f t="array" ref="P182">Common_InputFunctions.Utility_DisplayArrayInTable(Fertiliser_SourceData.Fertiliser_Products_Data4(),FertiliserProducts[[#Headers],[Company]], 91)</f>
        <v>0.74736800000000003</v>
      </c>
      <c r="Q182" s="146" t="str" cm="1">
        <f t="array" ref="Q182">Common_InputFunctions.Utility_DisplayArrayInTable(Fertiliser_SourceData.Fertiliser_Products_Data4(),FertiliserProducts[[#Headers],[Company]], 91)</f>
        <v>Muriate of potash (MOP)</v>
      </c>
      <c r="R182" s="146" cm="1">
        <f t="array" ref="R182">Common_InputFunctions.Utility_DisplayArrayInTable(Fertiliser_SourceData.Fertiliser_Products_Data4(),FertiliserProducts[[#Headers],[Company]], 91)</f>
        <v>0.25</v>
      </c>
      <c r="S182" s="146" t="str" cm="1">
        <f t="array" ref="S182">Common_InputFunctions.Utility_DisplayArrayInTable(Fertiliser_SourceData.Fertiliser_Products_Data4(),FertiliserProducts[[#Headers],[Company]], 91)</f>
        <v/>
      </c>
      <c r="T182" s="146" t="str" cm="1">
        <f t="array" ref="T182">Common_InputFunctions.Utility_DisplayArrayInTable(Fertiliser_SourceData.Fertiliser_Products_Data4(),FertiliserProducts[[#Headers],[Company]], 91)</f>
        <v/>
      </c>
      <c r="U182" s="146" t="str" cm="1">
        <f t="array" ref="U182">Common_InputFunctions.Utility_DisplayArrayInTable(Fertiliser_SourceData.Fertiliser_Products_Data4(),FertiliserProducts[[#Headers],[Company]], 91)</f>
        <v/>
      </c>
      <c r="V182" s="146" t="str" cm="1">
        <f t="array" ref="V182">Common_InputFunctions.Utility_DisplayArrayInTable(Fertiliser_SourceData.Fertiliser_Products_Data4(),FertiliserProducts[[#Headers],[Company]], 91)</f>
        <v/>
      </c>
      <c r="W182" s="146" t="str" cm="1">
        <f t="array" ref="W182">Common_InputFunctions.Utility_DisplayArrayInTable(Fertiliser_SourceData.Fertiliser_Products_Data4(),FertiliserProducts[[#Headers],[Company]], 91)</f>
        <v/>
      </c>
      <c r="X182" s="146" t="str" cm="1">
        <f t="array" ref="X182">Common_InputFunctions.Utility_DisplayArrayInTable(Fertiliser_SourceData.Fertiliser_Products_Data4(),FertiliserProducts[[#Headers],[Company]], 91)</f>
        <v/>
      </c>
      <c r="Y182" s="146" t="str" cm="1">
        <f t="array" ref="Y182">Common_InputFunctions.Utility_DisplayArrayInTable(Fertiliser_SourceData.Fertiliser_Products_Data4(),FertiliserProducts[[#Headers],[Company]], 91)</f>
        <v/>
      </c>
      <c r="Z182" s="146" t="str" cm="1">
        <f t="array" ref="Z182">Common_InputFunctions.Utility_DisplayArrayInTable(Fertiliser_SourceData.Fertiliser_Products_Data4(),FertiliserProducts[[#Headers],[Company]], 91)</f>
        <v/>
      </c>
      <c r="AA182" s="146" t="str" cm="1">
        <f t="array" ref="AA182">Common_InputFunctions.Utility_DisplayArrayInTable(Fertiliser_SourceData.Fertiliser_Products_Data4(),FertiliserProducts[[#Headers],[Company]], 91)</f>
        <v/>
      </c>
      <c r="AB182" s="146" t="str" cm="1">
        <f t="array" ref="AB182">Common_InputFunctions.Utility_DisplayArrayInTable(Fertiliser_SourceData.Fertiliser_Products_Data4(),FertiliserProducts[[#Headers],[Company]], 91)</f>
        <v/>
      </c>
      <c r="AC182" s="146" t="str" cm="1">
        <f t="array" ref="AC182">Common_InputFunctions.Utility_DisplayArrayInTable(Fertiliser_SourceData.Fertiliser_Products_Data4(),FertiliserProducts[[#Headers],[Company]], 91)</f>
        <v/>
      </c>
      <c r="AD182" s="146" t="str" cm="1">
        <f t="array" ref="AD182">Common_InputFunctions.Utility_DisplayArrayInTable(Fertiliser_SourceData.Fertiliser_Products_Data4(),FertiliserProducts[[#Headers],[Company]], 91)</f>
        <v/>
      </c>
      <c r="AE182" s="146" t="str" cm="1">
        <f t="array" ref="AE182">Common_InputFunctions.Utility_DisplayArrayInTable(Fertiliser_SourceData.Fertiliser_Products_Data4(),FertiliserProducts[[#Headers],[Company]], 91)</f>
        <v/>
      </c>
      <c r="AF182" s="146" t="str" cm="1">
        <f t="array" ref="AF182">Common_InputFunctions.Utility_DisplayArrayInTable(Fertiliser_SourceData.Fertiliser_Products_Data4(),FertiliserProducts[[#Headers],[Company]], 91)</f>
        <v/>
      </c>
      <c r="AG182" s="146" t="str" cm="1">
        <f t="array" ref="AG182">Common_InputFunctions.Utility_DisplayArrayInTable(Fertiliser_SourceData.Fertiliser_Products_Data4(),FertiliserProducts[[#Headers],[Company]], 91)</f>
        <v/>
      </c>
      <c r="AH182" s="146" t="str" cm="1">
        <f t="array" ref="AH182">Common_InputFunctions.Utility_DisplayArrayInTable(Fertiliser_SourceData.Fertiliser_Products_Data4(),FertiliserProducts[[#Headers],[Company]], 91)</f>
        <v/>
      </c>
    </row>
    <row r="183" spans="1:37" ht="20.100000000000001" customHeight="1" x14ac:dyDescent="0.2">
      <c r="D183" s="146" t="str" cm="1">
        <f t="array" ref="D183">Common_InputFunctions.Utility_DisplayArrayInTable(Fertiliser_SourceData.Fertiliser_Products_Data4(),FertiliserProducts[[#Headers],[Company]], 91)</f>
        <v>Impact Fertilisers</v>
      </c>
      <c r="E183" s="146" t="str" cm="1">
        <f t="array" ref="E183">Common_InputFunctions.Utility_DisplayArrayInTable(Fertiliser_SourceData.Fertiliser_Products_Data4(),FertiliserProducts[[#Headers],[Company]], 91)</f>
        <v>Impact Super Potash 4&amp;1</v>
      </c>
      <c r="F183" s="146" t="str" cm="1">
        <f t="array" ref="F183">Common_InputFunctions.Utility_DisplayArrayInTable(Fertiliser_SourceData.Fertiliser_Products_Data4(),FertiliserProducts[[#Headers],[Company]], 91)</f>
        <v>kg</v>
      </c>
      <c r="G183" s="146" cm="1">
        <f t="array" ref="G183">Common_InputFunctions.Utility_DisplayArrayInTable(Fertiliser_SourceData.Fertiliser_Products_Data4(),FertiliserProducts[[#Headers],[Company]], 91)</f>
        <v>1</v>
      </c>
      <c r="H183" s="146" t="str" cm="1">
        <f t="array" ref="H183">Common_InputFunctions.Utility_DisplayArrayInTable(Fertiliser_SourceData.Fertiliser_Products_Data4(),FertiliserProducts[[#Headers],[Company]], 91)</f>
        <v/>
      </c>
      <c r="I183" s="146" t="str" cm="1">
        <f t="array" ref="I183">Common_InputFunctions.Utility_DisplayArrayInTable(Fertiliser_SourceData.Fertiliser_Products_Data4(),FertiliserProducts[[#Headers],[Company]], 91)</f>
        <v/>
      </c>
      <c r="J183" s="146" t="str" cm="1">
        <f t="array" ref="J183">Common_InputFunctions.Utility_DisplayArrayInTable(Fertiliser_SourceData.Fertiliser_Products_Data4(),FertiliserProducts[[#Headers],[Company]], 91)</f>
        <v/>
      </c>
      <c r="K183" s="146" t="str" cm="1">
        <f t="array" ref="K183">Common_InputFunctions.Utility_DisplayArrayInTable(Fertiliser_SourceData.Fertiliser_Products_Data4(),FertiliserProducts[[#Headers],[Company]], 91)</f>
        <v/>
      </c>
      <c r="L183" s="146" cm="1">
        <f t="array" ref="L183">Common_InputFunctions.Utility_DisplayArrayInTable(Fertiliser_SourceData.Fertiliser_Products_Data4(),FertiliserProducts[[#Headers],[Company]], 91)</f>
        <v>7.04</v>
      </c>
      <c r="M183" s="146" cm="1">
        <f t="array" ref="M183">Common_InputFunctions.Utility_DisplayArrayInTable(Fertiliser_SourceData.Fertiliser_Products_Data4(),FertiliserProducts[[#Headers],[Company]], 91)</f>
        <v>10</v>
      </c>
      <c r="N183" s="146" cm="1">
        <f t="array" ref="N183">Common_InputFunctions.Utility_DisplayArrayInTable(Fertiliser_SourceData.Fertiliser_Products_Data4(),FertiliserProducts[[#Headers],[Company]], 91)</f>
        <v>8.8000000000000007</v>
      </c>
      <c r="O183" s="146" t="str" cm="1">
        <f t="array" ref="O183">Common_InputFunctions.Utility_DisplayArrayInTable(Fertiliser_SourceData.Fertiliser_Products_Data4(),FertiliserProducts[[#Headers],[Company]], 91)</f>
        <v>Single superphosphate (SSP)</v>
      </c>
      <c r="P183" s="146" cm="1">
        <f t="array" ref="P183">Common_InputFunctions.Utility_DisplayArrayInTable(Fertiliser_SourceData.Fertiliser_Products_Data4(),FertiliserProducts[[#Headers],[Company]], 91)</f>
        <v>0.8</v>
      </c>
      <c r="Q183" s="146" t="str" cm="1">
        <f t="array" ref="Q183">Common_InputFunctions.Utility_DisplayArrayInTable(Fertiliser_SourceData.Fertiliser_Products_Data4(),FertiliserProducts[[#Headers],[Company]], 91)</f>
        <v>Muriate of potash (MOP)</v>
      </c>
      <c r="R183" s="146" cm="1">
        <f t="array" ref="R183">Common_InputFunctions.Utility_DisplayArrayInTable(Fertiliser_SourceData.Fertiliser_Products_Data4(),FertiliserProducts[[#Headers],[Company]], 91)</f>
        <v>0.2</v>
      </c>
      <c r="S183" s="146" t="str" cm="1">
        <f t="array" ref="S183">Common_InputFunctions.Utility_DisplayArrayInTable(Fertiliser_SourceData.Fertiliser_Products_Data4(),FertiliserProducts[[#Headers],[Company]], 91)</f>
        <v/>
      </c>
      <c r="T183" s="146" t="str" cm="1">
        <f t="array" ref="T183">Common_InputFunctions.Utility_DisplayArrayInTable(Fertiliser_SourceData.Fertiliser_Products_Data4(),FertiliserProducts[[#Headers],[Company]], 91)</f>
        <v/>
      </c>
      <c r="U183" s="146" t="str" cm="1">
        <f t="array" ref="U183">Common_InputFunctions.Utility_DisplayArrayInTable(Fertiliser_SourceData.Fertiliser_Products_Data4(),FertiliserProducts[[#Headers],[Company]], 91)</f>
        <v/>
      </c>
      <c r="V183" s="146" t="str" cm="1">
        <f t="array" ref="V183">Common_InputFunctions.Utility_DisplayArrayInTable(Fertiliser_SourceData.Fertiliser_Products_Data4(),FertiliserProducts[[#Headers],[Company]], 91)</f>
        <v/>
      </c>
      <c r="W183" s="146" t="str" cm="1">
        <f t="array" ref="W183">Common_InputFunctions.Utility_DisplayArrayInTable(Fertiliser_SourceData.Fertiliser_Products_Data4(),FertiliserProducts[[#Headers],[Company]], 91)</f>
        <v/>
      </c>
      <c r="X183" s="146" t="str" cm="1">
        <f t="array" ref="X183">Common_InputFunctions.Utility_DisplayArrayInTable(Fertiliser_SourceData.Fertiliser_Products_Data4(),FertiliserProducts[[#Headers],[Company]], 91)</f>
        <v/>
      </c>
      <c r="Y183" s="146" t="str" cm="1">
        <f t="array" ref="Y183">Common_InputFunctions.Utility_DisplayArrayInTable(Fertiliser_SourceData.Fertiliser_Products_Data4(),FertiliserProducts[[#Headers],[Company]], 91)</f>
        <v/>
      </c>
      <c r="Z183" s="146" t="str" cm="1">
        <f t="array" ref="Z183">Common_InputFunctions.Utility_DisplayArrayInTable(Fertiliser_SourceData.Fertiliser_Products_Data4(),FertiliserProducts[[#Headers],[Company]], 91)</f>
        <v/>
      </c>
      <c r="AA183" s="146" t="str" cm="1">
        <f t="array" ref="AA183">Common_InputFunctions.Utility_DisplayArrayInTable(Fertiliser_SourceData.Fertiliser_Products_Data4(),FertiliserProducts[[#Headers],[Company]], 91)</f>
        <v/>
      </c>
      <c r="AB183" s="146" t="str" cm="1">
        <f t="array" ref="AB183">Common_InputFunctions.Utility_DisplayArrayInTable(Fertiliser_SourceData.Fertiliser_Products_Data4(),FertiliserProducts[[#Headers],[Company]], 91)</f>
        <v/>
      </c>
      <c r="AC183" s="146" t="str" cm="1">
        <f t="array" ref="AC183">Common_InputFunctions.Utility_DisplayArrayInTable(Fertiliser_SourceData.Fertiliser_Products_Data4(),FertiliserProducts[[#Headers],[Company]], 91)</f>
        <v/>
      </c>
      <c r="AD183" s="146" t="str" cm="1">
        <f t="array" ref="AD183">Common_InputFunctions.Utility_DisplayArrayInTable(Fertiliser_SourceData.Fertiliser_Products_Data4(),FertiliserProducts[[#Headers],[Company]], 91)</f>
        <v/>
      </c>
      <c r="AE183" s="146" t="str" cm="1">
        <f t="array" ref="AE183">Common_InputFunctions.Utility_DisplayArrayInTable(Fertiliser_SourceData.Fertiliser_Products_Data4(),FertiliserProducts[[#Headers],[Company]], 91)</f>
        <v/>
      </c>
      <c r="AF183" s="146" t="str" cm="1">
        <f t="array" ref="AF183">Common_InputFunctions.Utility_DisplayArrayInTable(Fertiliser_SourceData.Fertiliser_Products_Data4(),FertiliserProducts[[#Headers],[Company]], 91)</f>
        <v/>
      </c>
      <c r="AG183" s="146" t="str" cm="1">
        <f t="array" ref="AG183">Common_InputFunctions.Utility_DisplayArrayInTable(Fertiliser_SourceData.Fertiliser_Products_Data4(),FertiliserProducts[[#Headers],[Company]], 91)</f>
        <v/>
      </c>
      <c r="AH183" s="146" t="str" cm="1">
        <f t="array" ref="AH183">Common_InputFunctions.Utility_DisplayArrayInTable(Fertiliser_SourceData.Fertiliser_Products_Data4(),FertiliserProducts[[#Headers],[Company]], 91)</f>
        <v/>
      </c>
    </row>
    <row r="184" spans="1:37" ht="20.100000000000001" customHeight="1" x14ac:dyDescent="0.2">
      <c r="D184" s="146" t="str" cm="1">
        <f t="array" ref="D184">Common_InputFunctions.Utility_DisplayArrayInTable(Fertiliser_SourceData.Fertiliser_Products_Data4(),FertiliserProducts[[#Headers],[Company]], 91)</f>
        <v>Impact Fertilisers</v>
      </c>
      <c r="E184" s="146" t="str" cm="1">
        <f t="array" ref="E184">Common_InputFunctions.Utility_DisplayArrayInTable(Fertiliser_SourceData.Fertiliser_Products_Data4(),FertiliserProducts[[#Headers],[Company]], 91)</f>
        <v>Impact Super Potash 5&amp;1</v>
      </c>
      <c r="F184" s="146" t="str" cm="1">
        <f t="array" ref="F184">Common_InputFunctions.Utility_DisplayArrayInTable(Fertiliser_SourceData.Fertiliser_Products_Data4(),FertiliserProducts[[#Headers],[Company]], 91)</f>
        <v>kg</v>
      </c>
      <c r="G184" s="146" cm="1">
        <f t="array" ref="G184">Common_InputFunctions.Utility_DisplayArrayInTable(Fertiliser_SourceData.Fertiliser_Products_Data4(),FertiliserProducts[[#Headers],[Company]], 91)</f>
        <v>1</v>
      </c>
      <c r="H184" s="146" t="str" cm="1">
        <f t="array" ref="H184">Common_InputFunctions.Utility_DisplayArrayInTable(Fertiliser_SourceData.Fertiliser_Products_Data4(),FertiliserProducts[[#Headers],[Company]], 91)</f>
        <v/>
      </c>
      <c r="I184" s="146" t="str" cm="1">
        <f t="array" ref="I184">Common_InputFunctions.Utility_DisplayArrayInTable(Fertiliser_SourceData.Fertiliser_Products_Data4(),FertiliserProducts[[#Headers],[Company]], 91)</f>
        <v/>
      </c>
      <c r="J184" s="146" t="str" cm="1">
        <f t="array" ref="J184">Common_InputFunctions.Utility_DisplayArrayInTable(Fertiliser_SourceData.Fertiliser_Products_Data4(),FertiliserProducts[[#Headers],[Company]], 91)</f>
        <v/>
      </c>
      <c r="K184" s="146" t="str" cm="1">
        <f t="array" ref="K184">Common_InputFunctions.Utility_DisplayArrayInTable(Fertiliser_SourceData.Fertiliser_Products_Data4(),FertiliserProducts[[#Headers],[Company]], 91)</f>
        <v/>
      </c>
      <c r="L184" s="146" cm="1">
        <f t="array" ref="L184">Common_InputFunctions.Utility_DisplayArrayInTable(Fertiliser_SourceData.Fertiliser_Products_Data4(),FertiliserProducts[[#Headers],[Company]], 91)</f>
        <v>7.32</v>
      </c>
      <c r="M184" s="146" cm="1">
        <f t="array" ref="M184">Common_InputFunctions.Utility_DisplayArrayInTable(Fertiliser_SourceData.Fertiliser_Products_Data4(),FertiliserProducts[[#Headers],[Company]], 91)</f>
        <v>8.4</v>
      </c>
      <c r="N184" s="146" cm="1">
        <f t="array" ref="N184">Common_InputFunctions.Utility_DisplayArrayInTable(Fertiliser_SourceData.Fertiliser_Products_Data4(),FertiliserProducts[[#Headers],[Company]], 91)</f>
        <v>9.15</v>
      </c>
      <c r="O184" s="146" t="str" cm="1">
        <f t="array" ref="O184">Common_InputFunctions.Utility_DisplayArrayInTable(Fertiliser_SourceData.Fertiliser_Products_Data4(),FertiliserProducts[[#Headers],[Company]], 91)</f>
        <v>Single superphosphate (SSP)</v>
      </c>
      <c r="P184" s="146" cm="1">
        <f t="array" ref="P184">Common_InputFunctions.Utility_DisplayArrayInTable(Fertiliser_SourceData.Fertiliser_Products_Data4(),FertiliserProducts[[#Headers],[Company]], 91)</f>
        <v>0.83157899999999996</v>
      </c>
      <c r="Q184" s="146" t="str" cm="1">
        <f t="array" ref="Q184">Common_InputFunctions.Utility_DisplayArrayInTable(Fertiliser_SourceData.Fertiliser_Products_Data4(),FertiliserProducts[[#Headers],[Company]], 91)</f>
        <v>Muriate of potash (MOP)</v>
      </c>
      <c r="R184" s="146" cm="1">
        <f t="array" ref="R184">Common_InputFunctions.Utility_DisplayArrayInTable(Fertiliser_SourceData.Fertiliser_Products_Data4(),FertiliserProducts[[#Headers],[Company]], 91)</f>
        <v>0.16800000000000001</v>
      </c>
      <c r="S184" s="146" t="str" cm="1">
        <f t="array" ref="S184">Common_InputFunctions.Utility_DisplayArrayInTable(Fertiliser_SourceData.Fertiliser_Products_Data4(),FertiliserProducts[[#Headers],[Company]], 91)</f>
        <v/>
      </c>
      <c r="T184" s="146" t="str" cm="1">
        <f t="array" ref="T184">Common_InputFunctions.Utility_DisplayArrayInTable(Fertiliser_SourceData.Fertiliser_Products_Data4(),FertiliserProducts[[#Headers],[Company]], 91)</f>
        <v/>
      </c>
      <c r="U184" s="146" t="str" cm="1">
        <f t="array" ref="U184">Common_InputFunctions.Utility_DisplayArrayInTable(Fertiliser_SourceData.Fertiliser_Products_Data4(),FertiliserProducts[[#Headers],[Company]], 91)</f>
        <v/>
      </c>
      <c r="V184" s="146" t="str" cm="1">
        <f t="array" ref="V184">Common_InputFunctions.Utility_DisplayArrayInTable(Fertiliser_SourceData.Fertiliser_Products_Data4(),FertiliserProducts[[#Headers],[Company]], 91)</f>
        <v/>
      </c>
      <c r="W184" s="146" t="str" cm="1">
        <f t="array" ref="W184">Common_InputFunctions.Utility_DisplayArrayInTable(Fertiliser_SourceData.Fertiliser_Products_Data4(),FertiliserProducts[[#Headers],[Company]], 91)</f>
        <v/>
      </c>
      <c r="X184" s="146" t="str" cm="1">
        <f t="array" ref="X184">Common_InputFunctions.Utility_DisplayArrayInTable(Fertiliser_SourceData.Fertiliser_Products_Data4(),FertiliserProducts[[#Headers],[Company]], 91)</f>
        <v/>
      </c>
      <c r="Y184" s="146" t="str" cm="1">
        <f t="array" ref="Y184">Common_InputFunctions.Utility_DisplayArrayInTable(Fertiliser_SourceData.Fertiliser_Products_Data4(),FertiliserProducts[[#Headers],[Company]], 91)</f>
        <v/>
      </c>
      <c r="Z184" s="146" t="str" cm="1">
        <f t="array" ref="Z184">Common_InputFunctions.Utility_DisplayArrayInTable(Fertiliser_SourceData.Fertiliser_Products_Data4(),FertiliserProducts[[#Headers],[Company]], 91)</f>
        <v/>
      </c>
      <c r="AA184" s="146" t="str" cm="1">
        <f t="array" ref="AA184">Common_InputFunctions.Utility_DisplayArrayInTable(Fertiliser_SourceData.Fertiliser_Products_Data4(),FertiliserProducts[[#Headers],[Company]], 91)</f>
        <v/>
      </c>
      <c r="AB184" s="146" t="str" cm="1">
        <f t="array" ref="AB184">Common_InputFunctions.Utility_DisplayArrayInTable(Fertiliser_SourceData.Fertiliser_Products_Data4(),FertiliserProducts[[#Headers],[Company]], 91)</f>
        <v/>
      </c>
      <c r="AC184" s="146" t="str" cm="1">
        <f t="array" ref="AC184">Common_InputFunctions.Utility_DisplayArrayInTable(Fertiliser_SourceData.Fertiliser_Products_Data4(),FertiliserProducts[[#Headers],[Company]], 91)</f>
        <v/>
      </c>
      <c r="AD184" s="146" t="str" cm="1">
        <f t="array" ref="AD184">Common_InputFunctions.Utility_DisplayArrayInTable(Fertiliser_SourceData.Fertiliser_Products_Data4(),FertiliserProducts[[#Headers],[Company]], 91)</f>
        <v/>
      </c>
      <c r="AE184" s="146" t="str" cm="1">
        <f t="array" ref="AE184">Common_InputFunctions.Utility_DisplayArrayInTable(Fertiliser_SourceData.Fertiliser_Products_Data4(),FertiliserProducts[[#Headers],[Company]], 91)</f>
        <v/>
      </c>
      <c r="AF184" s="146" t="str" cm="1">
        <f t="array" ref="AF184">Common_InputFunctions.Utility_DisplayArrayInTable(Fertiliser_SourceData.Fertiliser_Products_Data4(),FertiliserProducts[[#Headers],[Company]], 91)</f>
        <v/>
      </c>
      <c r="AG184" s="146" t="str" cm="1">
        <f t="array" ref="AG184">Common_InputFunctions.Utility_DisplayArrayInTable(Fertiliser_SourceData.Fertiliser_Products_Data4(),FertiliserProducts[[#Headers],[Company]], 91)</f>
        <v/>
      </c>
      <c r="AH184" s="146" t="str" cm="1">
        <f t="array" ref="AH184">Common_InputFunctions.Utility_DisplayArrayInTable(Fertiliser_SourceData.Fertiliser_Products_Data4(),FertiliserProducts[[#Headers],[Company]], 91)</f>
        <v/>
      </c>
    </row>
    <row r="185" spans="1:37" ht="20.100000000000001" customHeight="1" x14ac:dyDescent="0.2">
      <c r="D185" s="146" t="str" cm="1">
        <f t="array" ref="D185">Common_InputFunctions.Utility_DisplayArrayInTable(Fertiliser_SourceData.Fertiliser_Products_Data4(),FertiliserProducts[[#Headers],[Company]], 91)</f>
        <v>Pacific Fertiliser / Incitec Pivot Fertilisers</v>
      </c>
      <c r="E185" s="146" t="str" cm="1">
        <f t="array" ref="E185">Common_InputFunctions.Utility_DisplayArrayInTable(Fertiliser_SourceData.Fertiliser_Products_Data4(),FertiliserProducts[[#Headers],[Company]], 91)</f>
        <v>Cal-Gran</v>
      </c>
      <c r="F185" s="146" t="str" cm="1">
        <f t="array" ref="F185">Common_InputFunctions.Utility_DisplayArrayInTable(Fertiliser_SourceData.Fertiliser_Products_Data4(),FertiliserProducts[[#Headers],[Company]], 91)</f>
        <v>kg</v>
      </c>
      <c r="G185" s="146" cm="1">
        <f t="array" ref="G185">Common_InputFunctions.Utility_DisplayArrayInTable(Fertiliser_SourceData.Fertiliser_Products_Data4(),FertiliserProducts[[#Headers],[Company]], 91)</f>
        <v>1</v>
      </c>
      <c r="H185" s="146" t="str" cm="1">
        <f t="array" ref="H185">Common_InputFunctions.Utility_DisplayArrayInTable(Fertiliser_SourceData.Fertiliser_Products_Data4(),FertiliserProducts[[#Headers],[Company]], 91)</f>
        <v/>
      </c>
      <c r="I185" s="146" t="str" cm="1">
        <f t="array" ref="I185">Common_InputFunctions.Utility_DisplayArrayInTable(Fertiliser_SourceData.Fertiliser_Products_Data4(),FertiliserProducts[[#Headers],[Company]], 91)</f>
        <v/>
      </c>
      <c r="J185" s="146" t="str" cm="1">
        <f t="array" ref="J185">Common_InputFunctions.Utility_DisplayArrayInTable(Fertiliser_SourceData.Fertiliser_Products_Data4(),FertiliserProducts[[#Headers],[Company]], 91)</f>
        <v/>
      </c>
      <c r="K185" s="146" cm="1">
        <f t="array" ref="K185">Common_InputFunctions.Utility_DisplayArrayInTable(Fertiliser_SourceData.Fertiliser_Products_Data4(),FertiliserProducts[[#Headers],[Company]], 91)</f>
        <v>23.9</v>
      </c>
      <c r="L185" s="146" t="str" cm="1">
        <f t="array" ref="L185">Common_InputFunctions.Utility_DisplayArrayInTable(Fertiliser_SourceData.Fertiliser_Products_Data4(),FertiliserProducts[[#Headers],[Company]], 91)</f>
        <v/>
      </c>
      <c r="M185" s="146" t="str" cm="1">
        <f t="array" ref="M185">Common_InputFunctions.Utility_DisplayArrayInTable(Fertiliser_SourceData.Fertiliser_Products_Data4(),FertiliserProducts[[#Headers],[Company]], 91)</f>
        <v/>
      </c>
      <c r="N185" s="146" cm="1">
        <f t="array" ref="N185">Common_InputFunctions.Utility_DisplayArrayInTable(Fertiliser_SourceData.Fertiliser_Products_Data4(),FertiliserProducts[[#Headers],[Company]], 91)</f>
        <v>10.8</v>
      </c>
      <c r="O185" s="146" t="str" cm="1">
        <f t="array" ref="O185">Common_InputFunctions.Utility_DisplayArrayInTable(Fertiliser_SourceData.Fertiliser_Products_Data4(),FertiliserProducts[[#Headers],[Company]], 91)</f>
        <v>Nitrogen - Nitrate</v>
      </c>
      <c r="P185" s="146" cm="1">
        <f t="array" ref="P185">Common_InputFunctions.Utility_DisplayArrayInTable(Fertiliser_SourceData.Fertiliser_Products_Data4(),FertiliserProducts[[#Headers],[Company]], 91)</f>
        <v>7.3999999999999996E-2</v>
      </c>
      <c r="Q185" s="146" t="str" cm="1">
        <f t="array" ref="Q185">Common_InputFunctions.Utility_DisplayArrayInTable(Fertiliser_SourceData.Fertiliser_Products_Data4(),FertiliserProducts[[#Headers],[Company]], 91)</f>
        <v>Nitrogen - Ammoniacal</v>
      </c>
      <c r="R185" s="146" cm="1">
        <f t="array" ref="R185">Common_InputFunctions.Utility_DisplayArrayInTable(Fertiliser_SourceData.Fertiliser_Products_Data4(),FertiliserProducts[[#Headers],[Company]], 91)</f>
        <v>0.16500000000000001</v>
      </c>
      <c r="S185" s="146" t="str" cm="1">
        <f t="array" ref="S185">Common_InputFunctions.Utility_DisplayArrayInTable(Fertiliser_SourceData.Fertiliser_Products_Data4(),FertiliserProducts[[#Headers],[Company]], 91)</f>
        <v>Sulfur - Generic</v>
      </c>
      <c r="T185" s="146" cm="1">
        <f t="array" ref="T185">Common_InputFunctions.Utility_DisplayArrayInTable(Fertiliser_SourceData.Fertiliser_Products_Data4(),FertiliserProducts[[#Headers],[Company]], 91)</f>
        <v>0.108</v>
      </c>
      <c r="U185" s="146" t="str" cm="1">
        <f t="array" ref="U185">Common_InputFunctions.Utility_DisplayArrayInTable(Fertiliser_SourceData.Fertiliser_Products_Data4(),FertiliserProducts[[#Headers],[Company]], 91)</f>
        <v>Calcium</v>
      </c>
      <c r="V185" s="146" cm="1">
        <f t="array" ref="V185">Common_InputFunctions.Utility_DisplayArrayInTable(Fertiliser_SourceData.Fertiliser_Products_Data4(),FertiliserProducts[[#Headers],[Company]], 91)</f>
        <v>4.3999999999999997E-2</v>
      </c>
      <c r="W185" s="146" t="str" cm="1">
        <f t="array" ref="W185">Common_InputFunctions.Utility_DisplayArrayInTable(Fertiliser_SourceData.Fertiliser_Products_Data4(),FertiliserProducts[[#Headers],[Company]], 91)</f>
        <v/>
      </c>
      <c r="X185" s="146" t="str" cm="1">
        <f t="array" ref="X185">Common_InputFunctions.Utility_DisplayArrayInTable(Fertiliser_SourceData.Fertiliser_Products_Data4(),FertiliserProducts[[#Headers],[Company]], 91)</f>
        <v/>
      </c>
      <c r="Y185" s="146" t="str" cm="1">
        <f t="array" ref="Y185">Common_InputFunctions.Utility_DisplayArrayInTable(Fertiliser_SourceData.Fertiliser_Products_Data4(),FertiliserProducts[[#Headers],[Company]], 91)</f>
        <v/>
      </c>
      <c r="Z185" s="146" t="str" cm="1">
        <f t="array" ref="Z185">Common_InputFunctions.Utility_DisplayArrayInTable(Fertiliser_SourceData.Fertiliser_Products_Data4(),FertiliserProducts[[#Headers],[Company]], 91)</f>
        <v/>
      </c>
      <c r="AA185" s="146" t="str" cm="1">
        <f t="array" ref="AA185">Common_InputFunctions.Utility_DisplayArrayInTable(Fertiliser_SourceData.Fertiliser_Products_Data4(),FertiliserProducts[[#Headers],[Company]], 91)</f>
        <v/>
      </c>
      <c r="AB185" s="146" t="str" cm="1">
        <f t="array" ref="AB185">Common_InputFunctions.Utility_DisplayArrayInTable(Fertiliser_SourceData.Fertiliser_Products_Data4(),FertiliserProducts[[#Headers],[Company]], 91)</f>
        <v/>
      </c>
      <c r="AC185" s="146" t="str" cm="1">
        <f t="array" ref="AC185">Common_InputFunctions.Utility_DisplayArrayInTable(Fertiliser_SourceData.Fertiliser_Products_Data4(),FertiliserProducts[[#Headers],[Company]], 91)</f>
        <v/>
      </c>
      <c r="AD185" s="146" t="str" cm="1">
        <f t="array" ref="AD185">Common_InputFunctions.Utility_DisplayArrayInTable(Fertiliser_SourceData.Fertiliser_Products_Data4(),FertiliserProducts[[#Headers],[Company]], 91)</f>
        <v/>
      </c>
      <c r="AE185" s="146" t="str" cm="1">
        <f t="array" ref="AE185">Common_InputFunctions.Utility_DisplayArrayInTable(Fertiliser_SourceData.Fertiliser_Products_Data4(),FertiliserProducts[[#Headers],[Company]], 91)</f>
        <v/>
      </c>
      <c r="AF185" s="146" t="str" cm="1">
        <f t="array" ref="AF185">Common_InputFunctions.Utility_DisplayArrayInTable(Fertiliser_SourceData.Fertiliser_Products_Data4(),FertiliserProducts[[#Headers],[Company]], 91)</f>
        <v/>
      </c>
      <c r="AG185" s="146" t="str" cm="1">
        <f t="array" ref="AG185">Common_InputFunctions.Utility_DisplayArrayInTable(Fertiliser_SourceData.Fertiliser_Products_Data4(),FertiliserProducts[[#Headers],[Company]], 91)</f>
        <v/>
      </c>
      <c r="AH185" s="146" t="str" cm="1">
        <f t="array" ref="AH185">Common_InputFunctions.Utility_DisplayArrayInTable(Fertiliser_SourceData.Fertiliser_Products_Data4(),FertiliserProducts[[#Headers],[Company]], 91)</f>
        <v/>
      </c>
    </row>
    <row r="186" spans="1:37" ht="20.100000000000001" customHeight="1" x14ac:dyDescent="0.2">
      <c r="A186" s="79" t="str">
        <f>HYPERLINK("#A1", "▲ Back to top")</f>
        <v>▲ Back to top</v>
      </c>
      <c r="D186" s="146" t="str" cm="1">
        <f t="array" ref="D186">Common_InputFunctions.Utility_DisplayArrayInTable(Fertiliser_SourceData.Fertiliser_Products_Data4(),FertiliserProducts[[#Headers],[Company]], 91)</f>
        <v>Pacific Fertiliser / Incitec Pivot Fertilisers</v>
      </c>
      <c r="E186" s="146" t="str" cm="1">
        <f t="array" ref="E186">Common_InputFunctions.Utility_DisplayArrayInTable(Fertiliser_SourceData.Fertiliser_Products_Data4(),FertiliserProducts[[#Headers],[Company]], 91)</f>
        <v>Cal-Gran 50/50</v>
      </c>
      <c r="F186" s="146" t="str" cm="1">
        <f t="array" ref="F186">Common_InputFunctions.Utility_DisplayArrayInTable(Fertiliser_SourceData.Fertiliser_Products_Data4(),FertiliserProducts[[#Headers],[Company]], 91)</f>
        <v>kg</v>
      </c>
      <c r="G186" s="146" cm="1">
        <f t="array" ref="G186">Common_InputFunctions.Utility_DisplayArrayInTable(Fertiliser_SourceData.Fertiliser_Products_Data4(),FertiliserProducts[[#Headers],[Company]], 91)</f>
        <v>1</v>
      </c>
      <c r="H186" s="146" t="str" cm="1">
        <f t="array" ref="H186">Common_InputFunctions.Utility_DisplayArrayInTable(Fertiliser_SourceData.Fertiliser_Products_Data4(),FertiliserProducts[[#Headers],[Company]], 91)</f>
        <v/>
      </c>
      <c r="I186" s="146" t="str" cm="1">
        <f t="array" ref="I186">Common_InputFunctions.Utility_DisplayArrayInTable(Fertiliser_SourceData.Fertiliser_Products_Data4(),FertiliserProducts[[#Headers],[Company]], 91)</f>
        <v/>
      </c>
      <c r="J186" s="146" t="str" cm="1">
        <f t="array" ref="J186">Common_InputFunctions.Utility_DisplayArrayInTable(Fertiliser_SourceData.Fertiliser_Products_Data4(),FertiliserProducts[[#Headers],[Company]], 91)</f>
        <v/>
      </c>
      <c r="K186" s="146" cm="1">
        <f t="array" ref="K186">Common_InputFunctions.Utility_DisplayArrayInTable(Fertiliser_SourceData.Fertiliser_Products_Data4(),FertiliserProducts[[#Headers],[Company]], 91)</f>
        <v>17.899999999999999</v>
      </c>
      <c r="L186" s="146" t="str" cm="1">
        <f t="array" ref="L186">Common_InputFunctions.Utility_DisplayArrayInTable(Fertiliser_SourceData.Fertiliser_Products_Data4(),FertiliserProducts[[#Headers],[Company]], 91)</f>
        <v/>
      </c>
      <c r="M186" s="146" cm="1">
        <f t="array" ref="M186">Common_InputFunctions.Utility_DisplayArrayInTable(Fertiliser_SourceData.Fertiliser_Products_Data4(),FertiliserProducts[[#Headers],[Company]], 91)</f>
        <v>15</v>
      </c>
      <c r="N186" s="146" cm="1">
        <f t="array" ref="N186">Common_InputFunctions.Utility_DisplayArrayInTable(Fertiliser_SourceData.Fertiliser_Products_Data4(),FertiliserProducts[[#Headers],[Company]], 91)</f>
        <v>3.6</v>
      </c>
      <c r="O186" s="146" t="str" cm="1">
        <f t="array" ref="O186">Common_InputFunctions.Utility_DisplayArrayInTable(Fertiliser_SourceData.Fertiliser_Products_Data4(),FertiliserProducts[[#Headers],[Company]], 91)</f>
        <v>Nitrogen - Nitrate</v>
      </c>
      <c r="P186" s="146" cm="1">
        <f t="array" ref="P186">Common_InputFunctions.Utility_DisplayArrayInTable(Fertiliser_SourceData.Fertiliser_Products_Data4(),FertiliserProducts[[#Headers],[Company]], 91)</f>
        <v>5.5E-2</v>
      </c>
      <c r="Q186" s="146" t="str" cm="1">
        <f t="array" ref="Q186">Common_InputFunctions.Utility_DisplayArrayInTable(Fertiliser_SourceData.Fertiliser_Products_Data4(),FertiliserProducts[[#Headers],[Company]], 91)</f>
        <v>Nitrogen - Ammoniacal</v>
      </c>
      <c r="R186" s="146" cm="1">
        <f t="array" ref="R186">Common_InputFunctions.Utility_DisplayArrayInTable(Fertiliser_SourceData.Fertiliser_Products_Data4(),FertiliserProducts[[#Headers],[Company]], 91)</f>
        <v>0.124</v>
      </c>
      <c r="S186" s="146" t="str" cm="1">
        <f t="array" ref="S186">Common_InputFunctions.Utility_DisplayArrayInTable(Fertiliser_SourceData.Fertiliser_Products_Data4(),FertiliserProducts[[#Headers],[Company]], 91)</f>
        <v>Potassium - Generic</v>
      </c>
      <c r="T186" s="146" cm="1">
        <f t="array" ref="T186">Common_InputFunctions.Utility_DisplayArrayInTable(Fertiliser_SourceData.Fertiliser_Products_Data4(),FertiliserProducts[[#Headers],[Company]], 91)</f>
        <v>0.15</v>
      </c>
      <c r="U186" s="146" t="str" cm="1">
        <f t="array" ref="U186">Common_InputFunctions.Utility_DisplayArrayInTable(Fertiliser_SourceData.Fertiliser_Products_Data4(),FertiliserProducts[[#Headers],[Company]], 91)</f>
        <v>Sulfur - Generic</v>
      </c>
      <c r="V186" s="146" cm="1">
        <f t="array" ref="V186">Common_InputFunctions.Utility_DisplayArrayInTable(Fertiliser_SourceData.Fertiliser_Products_Data4(),FertiliserProducts[[#Headers],[Company]], 91)</f>
        <v>3.5999999999999997E-2</v>
      </c>
      <c r="W186" s="146" t="str" cm="1">
        <f t="array" ref="W186">Common_InputFunctions.Utility_DisplayArrayInTable(Fertiliser_SourceData.Fertiliser_Products_Data4(),FertiliserProducts[[#Headers],[Company]], 91)</f>
        <v>Calcium</v>
      </c>
      <c r="X186" s="146" cm="1">
        <f t="array" ref="X186">Common_InputFunctions.Utility_DisplayArrayInTable(Fertiliser_SourceData.Fertiliser_Products_Data4(),FertiliserProducts[[#Headers],[Company]], 91)</f>
        <v>4.3999999999999997E-2</v>
      </c>
      <c r="Y186" s="146" t="str" cm="1">
        <f t="array" ref="Y186">Common_InputFunctions.Utility_DisplayArrayInTable(Fertiliser_SourceData.Fertiliser_Products_Data4(),FertiliserProducts[[#Headers],[Company]], 91)</f>
        <v/>
      </c>
      <c r="Z186" s="146" t="str" cm="1">
        <f t="array" ref="Z186">Common_InputFunctions.Utility_DisplayArrayInTable(Fertiliser_SourceData.Fertiliser_Products_Data4(),FertiliserProducts[[#Headers],[Company]], 91)</f>
        <v/>
      </c>
      <c r="AA186" s="146" t="str" cm="1">
        <f t="array" ref="AA186">Common_InputFunctions.Utility_DisplayArrayInTable(Fertiliser_SourceData.Fertiliser_Products_Data4(),FertiliserProducts[[#Headers],[Company]], 91)</f>
        <v/>
      </c>
      <c r="AB186" s="146" t="str" cm="1">
        <f t="array" ref="AB186">Common_InputFunctions.Utility_DisplayArrayInTable(Fertiliser_SourceData.Fertiliser_Products_Data4(),FertiliserProducts[[#Headers],[Company]], 91)</f>
        <v/>
      </c>
      <c r="AC186" s="146" t="str" cm="1">
        <f t="array" ref="AC186">Common_InputFunctions.Utility_DisplayArrayInTable(Fertiliser_SourceData.Fertiliser_Products_Data4(),FertiliserProducts[[#Headers],[Company]], 91)</f>
        <v/>
      </c>
      <c r="AD186" s="146" t="str" cm="1">
        <f t="array" ref="AD186">Common_InputFunctions.Utility_DisplayArrayInTable(Fertiliser_SourceData.Fertiliser_Products_Data4(),FertiliserProducts[[#Headers],[Company]], 91)</f>
        <v/>
      </c>
      <c r="AE186" s="146" t="str" cm="1">
        <f t="array" ref="AE186">Common_InputFunctions.Utility_DisplayArrayInTable(Fertiliser_SourceData.Fertiliser_Products_Data4(),FertiliserProducts[[#Headers],[Company]], 91)</f>
        <v/>
      </c>
      <c r="AF186" s="146" t="str" cm="1">
        <f t="array" ref="AF186">Common_InputFunctions.Utility_DisplayArrayInTable(Fertiliser_SourceData.Fertiliser_Products_Data4(),FertiliserProducts[[#Headers],[Company]], 91)</f>
        <v/>
      </c>
      <c r="AG186" s="146" t="str" cm="1">
        <f t="array" ref="AG186">Common_InputFunctions.Utility_DisplayArrayInTable(Fertiliser_SourceData.Fertiliser_Products_Data4(),FertiliserProducts[[#Headers],[Company]], 91)</f>
        <v/>
      </c>
      <c r="AH186" s="146" t="str" cm="1">
        <f t="array" ref="AH186">Common_InputFunctions.Utility_DisplayArrayInTable(Fertiliser_SourceData.Fertiliser_Products_Data4(),FertiliserProducts[[#Headers],[Company]], 91)</f>
        <v/>
      </c>
    </row>
    <row r="187" spans="1:37" ht="20.100000000000001" customHeight="1" x14ac:dyDescent="0.2">
      <c r="D187" s="146" t="str" cm="1">
        <f t="array" ref="D187">Common_InputFunctions.Utility_DisplayArrayInTable(Fertiliser_SourceData.Fertiliser_Products_Data4(),FertiliserProducts[[#Headers],[Company]], 91)</f>
        <v>Pacific Fertiliser / Incitec Pivot Fertilisers</v>
      </c>
      <c r="E187" s="146" t="str" cm="1">
        <f t="array" ref="E187">Common_InputFunctions.Utility_DisplayArrayInTable(Fertiliser_SourceData.Fertiliser_Products_Data4(),FertiliserProducts[[#Headers],[Company]], 91)</f>
        <v>Cal-Gran 50/50 (S)</v>
      </c>
      <c r="F187" s="146" t="str" cm="1">
        <f t="array" ref="F187">Common_InputFunctions.Utility_DisplayArrayInTable(Fertiliser_SourceData.Fertiliser_Products_Data4(),FertiliserProducts[[#Headers],[Company]], 91)</f>
        <v>kg</v>
      </c>
      <c r="G187" s="146" cm="1">
        <f t="array" ref="G187">Common_InputFunctions.Utility_DisplayArrayInTable(Fertiliser_SourceData.Fertiliser_Products_Data4(),FertiliserProducts[[#Headers],[Company]], 91)</f>
        <v>1</v>
      </c>
      <c r="H187" s="146" t="str" cm="1">
        <f t="array" ref="H187">Common_InputFunctions.Utility_DisplayArrayInTable(Fertiliser_SourceData.Fertiliser_Products_Data4(),FertiliserProducts[[#Headers],[Company]], 91)</f>
        <v/>
      </c>
      <c r="I187" s="146" t="str" cm="1">
        <f t="array" ref="I187">Common_InputFunctions.Utility_DisplayArrayInTable(Fertiliser_SourceData.Fertiliser_Products_Data4(),FertiliserProducts[[#Headers],[Company]], 91)</f>
        <v/>
      </c>
      <c r="J187" s="146" t="str" cm="1">
        <f t="array" ref="J187">Common_InputFunctions.Utility_DisplayArrayInTable(Fertiliser_SourceData.Fertiliser_Products_Data4(),FertiliserProducts[[#Headers],[Company]], 91)</f>
        <v/>
      </c>
      <c r="K187" s="146" cm="1">
        <f t="array" ref="K187">Common_InputFunctions.Utility_DisplayArrayInTable(Fertiliser_SourceData.Fertiliser_Products_Data4(),FertiliserProducts[[#Headers],[Company]], 91)</f>
        <v>16.899999999999999</v>
      </c>
      <c r="L187" s="146" t="str" cm="1">
        <f t="array" ref="L187">Common_InputFunctions.Utility_DisplayArrayInTable(Fertiliser_SourceData.Fertiliser_Products_Data4(),FertiliserProducts[[#Headers],[Company]], 91)</f>
        <v/>
      </c>
      <c r="M187" s="146" cm="1">
        <f t="array" ref="M187">Common_InputFunctions.Utility_DisplayArrayInTable(Fertiliser_SourceData.Fertiliser_Products_Data4(),FertiliserProducts[[#Headers],[Company]], 91)</f>
        <v>14.4</v>
      </c>
      <c r="N187" s="146" cm="1">
        <f t="array" ref="N187">Common_InputFunctions.Utility_DisplayArrayInTable(Fertiliser_SourceData.Fertiliser_Products_Data4(),FertiliserProducts[[#Headers],[Company]], 91)</f>
        <v>8.6999999999999993</v>
      </c>
      <c r="O187" s="146" t="str" cm="1">
        <f t="array" ref="O187">Common_InputFunctions.Utility_DisplayArrayInTable(Fertiliser_SourceData.Fertiliser_Products_Data4(),FertiliserProducts[[#Headers],[Company]], 91)</f>
        <v>Nitrogen - Nitrate</v>
      </c>
      <c r="P187" s="146" cm="1">
        <f t="array" ref="P187">Common_InputFunctions.Utility_DisplayArrayInTable(Fertiliser_SourceData.Fertiliser_Products_Data4(),FertiliserProducts[[#Headers],[Company]], 91)</f>
        <v>5.1999999999999998E-2</v>
      </c>
      <c r="Q187" s="146" t="str" cm="1">
        <f t="array" ref="Q187">Common_InputFunctions.Utility_DisplayArrayInTable(Fertiliser_SourceData.Fertiliser_Products_Data4(),FertiliserProducts[[#Headers],[Company]], 91)</f>
        <v>Nitrogen - Ammoniacal</v>
      </c>
      <c r="R187" s="146" cm="1">
        <f t="array" ref="R187">Common_InputFunctions.Utility_DisplayArrayInTable(Fertiliser_SourceData.Fertiliser_Products_Data4(),FertiliserProducts[[#Headers],[Company]], 91)</f>
        <v>0.11700000000000001</v>
      </c>
      <c r="S187" s="146" t="str" cm="1">
        <f t="array" ref="S187">Common_InputFunctions.Utility_DisplayArrayInTable(Fertiliser_SourceData.Fertiliser_Products_Data4(),FertiliserProducts[[#Headers],[Company]], 91)</f>
        <v>Potassium - Generic</v>
      </c>
      <c r="T187" s="146" cm="1">
        <f t="array" ref="T187">Common_InputFunctions.Utility_DisplayArrayInTable(Fertiliser_SourceData.Fertiliser_Products_Data4(),FertiliserProducts[[#Headers],[Company]], 91)</f>
        <v>0.14399999999999999</v>
      </c>
      <c r="U187" s="146" t="str" cm="1">
        <f t="array" ref="U187">Common_InputFunctions.Utility_DisplayArrayInTable(Fertiliser_SourceData.Fertiliser_Products_Data4(),FertiliserProducts[[#Headers],[Company]], 91)</f>
        <v>Sulfur - Generic</v>
      </c>
      <c r="V187" s="146" cm="1">
        <f t="array" ref="V187">Common_InputFunctions.Utility_DisplayArrayInTable(Fertiliser_SourceData.Fertiliser_Products_Data4(),FertiliserProducts[[#Headers],[Company]], 91)</f>
        <v>8.6999999999999994E-2</v>
      </c>
      <c r="W187" s="146" t="str" cm="1">
        <f t="array" ref="W187">Common_InputFunctions.Utility_DisplayArrayInTable(Fertiliser_SourceData.Fertiliser_Products_Data4(),FertiliserProducts[[#Headers],[Company]], 91)</f>
        <v>Calcium</v>
      </c>
      <c r="X187" s="146" cm="1">
        <f t="array" ref="X187">Common_InputFunctions.Utility_DisplayArrayInTable(Fertiliser_SourceData.Fertiliser_Products_Data4(),FertiliserProducts[[#Headers],[Company]], 91)</f>
        <v>4.3999999999999997E-2</v>
      </c>
      <c r="Y187" s="146" t="str" cm="1">
        <f t="array" ref="Y187">Common_InputFunctions.Utility_DisplayArrayInTable(Fertiliser_SourceData.Fertiliser_Products_Data4(),FertiliserProducts[[#Headers],[Company]], 91)</f>
        <v/>
      </c>
      <c r="Z187" s="146" t="str" cm="1">
        <f t="array" ref="Z187">Common_InputFunctions.Utility_DisplayArrayInTable(Fertiliser_SourceData.Fertiliser_Products_Data4(),FertiliserProducts[[#Headers],[Company]], 91)</f>
        <v/>
      </c>
      <c r="AA187" s="146" t="str" cm="1">
        <f t="array" ref="AA187">Common_InputFunctions.Utility_DisplayArrayInTable(Fertiliser_SourceData.Fertiliser_Products_Data4(),FertiliserProducts[[#Headers],[Company]], 91)</f>
        <v/>
      </c>
      <c r="AB187" s="146" t="str" cm="1">
        <f t="array" ref="AB187">Common_InputFunctions.Utility_DisplayArrayInTable(Fertiliser_SourceData.Fertiliser_Products_Data4(),FertiliserProducts[[#Headers],[Company]], 91)</f>
        <v/>
      </c>
      <c r="AC187" s="146" t="str" cm="1">
        <f t="array" ref="AC187">Common_InputFunctions.Utility_DisplayArrayInTable(Fertiliser_SourceData.Fertiliser_Products_Data4(),FertiliserProducts[[#Headers],[Company]], 91)</f>
        <v/>
      </c>
      <c r="AD187" s="146" t="str" cm="1">
        <f t="array" ref="AD187">Common_InputFunctions.Utility_DisplayArrayInTable(Fertiliser_SourceData.Fertiliser_Products_Data4(),FertiliserProducts[[#Headers],[Company]], 91)</f>
        <v/>
      </c>
      <c r="AE187" s="146" t="str" cm="1">
        <f t="array" ref="AE187">Common_InputFunctions.Utility_DisplayArrayInTable(Fertiliser_SourceData.Fertiliser_Products_Data4(),FertiliserProducts[[#Headers],[Company]], 91)</f>
        <v/>
      </c>
      <c r="AF187" s="146" t="str" cm="1">
        <f t="array" ref="AF187">Common_InputFunctions.Utility_DisplayArrayInTable(Fertiliser_SourceData.Fertiliser_Products_Data4(),FertiliserProducts[[#Headers],[Company]], 91)</f>
        <v/>
      </c>
      <c r="AG187" s="146" t="str" cm="1">
        <f t="array" ref="AG187">Common_InputFunctions.Utility_DisplayArrayInTable(Fertiliser_SourceData.Fertiliser_Products_Data4(),FertiliserProducts[[#Headers],[Company]], 91)</f>
        <v/>
      </c>
      <c r="AH187" s="146" t="str" cm="1">
        <f t="array" ref="AH187">Common_InputFunctions.Utility_DisplayArrayInTable(Fertiliser_SourceData.Fertiliser_Products_Data4(),FertiliserProducts[[#Headers],[Company]], 91)</f>
        <v/>
      </c>
    </row>
    <row r="188" spans="1:37" ht="20.100000000000001" customHeight="1" x14ac:dyDescent="0.2">
      <c r="D188" s="146" t="str" cm="1">
        <f t="array" ref="D188">Common_InputFunctions.Utility_DisplayArrayInTable(Fertiliser_SourceData.Fertiliser_Products_Data4(),FertiliserProducts[[#Headers],[Company]], 91)</f>
        <v>Pacific Fertiliser / Incitec Pivot Fertilisers</v>
      </c>
      <c r="E188" s="146" t="str" cm="1">
        <f t="array" ref="E188">Common_InputFunctions.Utility_DisplayArrayInTable(Fertiliser_SourceData.Fertiliser_Products_Data4(),FertiliserProducts[[#Headers],[Company]], 91)</f>
        <v>Cal-Gran 130</v>
      </c>
      <c r="F188" s="146" t="str" cm="1">
        <f t="array" ref="F188">Common_InputFunctions.Utility_DisplayArrayInTable(Fertiliser_SourceData.Fertiliser_Products_Data4(),FertiliserProducts[[#Headers],[Company]], 91)</f>
        <v>kg</v>
      </c>
      <c r="G188" s="146" cm="1">
        <f t="array" ref="G188">Common_InputFunctions.Utility_DisplayArrayInTable(Fertiliser_SourceData.Fertiliser_Products_Data4(),FertiliserProducts[[#Headers],[Company]], 91)</f>
        <v>1</v>
      </c>
      <c r="H188" s="146" t="str" cm="1">
        <f t="array" ref="H188">Common_InputFunctions.Utility_DisplayArrayInTable(Fertiliser_SourceData.Fertiliser_Products_Data4(),FertiliserProducts[[#Headers],[Company]], 91)</f>
        <v/>
      </c>
      <c r="I188" s="146" t="str" cm="1">
        <f t="array" ref="I188">Common_InputFunctions.Utility_DisplayArrayInTable(Fertiliser_SourceData.Fertiliser_Products_Data4(),FertiliserProducts[[#Headers],[Company]], 91)</f>
        <v/>
      </c>
      <c r="J188" s="146" t="str" cm="1">
        <f t="array" ref="J188">Common_InputFunctions.Utility_DisplayArrayInTable(Fertiliser_SourceData.Fertiliser_Products_Data4(),FertiliserProducts[[#Headers],[Company]], 91)</f>
        <v/>
      </c>
      <c r="K188" s="146" cm="1">
        <f t="array" ref="K188">Common_InputFunctions.Utility_DisplayArrayInTable(Fertiliser_SourceData.Fertiliser_Products_Data4(),FertiliserProducts[[#Headers],[Company]], 91)</f>
        <v>18.8</v>
      </c>
      <c r="L188" s="146" cm="1">
        <f t="array" ref="L188">Common_InputFunctions.Utility_DisplayArrayInTable(Fertiliser_SourceData.Fertiliser_Products_Data4(),FertiliserProducts[[#Headers],[Company]], 91)</f>
        <v>1</v>
      </c>
      <c r="M188" s="146" cm="1">
        <f t="array" ref="M188">Common_InputFunctions.Utility_DisplayArrayInTable(Fertiliser_SourceData.Fertiliser_Products_Data4(),FertiliserProducts[[#Headers],[Company]], 91)</f>
        <v>12.5</v>
      </c>
      <c r="N188" s="146" cm="1">
        <f t="array" ref="N188">Common_InputFunctions.Utility_DisplayArrayInTable(Fertiliser_SourceData.Fertiliser_Products_Data4(),FertiliserProducts[[#Headers],[Company]], 91)</f>
        <v>3.7</v>
      </c>
      <c r="O188" s="146" t="str" cm="1">
        <f t="array" ref="O188">Common_InputFunctions.Utility_DisplayArrayInTable(Fertiliser_SourceData.Fertiliser_Products_Data4(),FertiliserProducts[[#Headers],[Company]], 91)</f>
        <v>Nitrogen - Nitrate</v>
      </c>
      <c r="P188" s="146" cm="1">
        <f t="array" ref="P188">Common_InputFunctions.Utility_DisplayArrayInTable(Fertiliser_SourceData.Fertiliser_Products_Data4(),FertiliserProducts[[#Headers],[Company]], 91)</f>
        <v>5.8000000000000003E-2</v>
      </c>
      <c r="Q188" s="146" t="str" cm="1">
        <f t="array" ref="Q188">Common_InputFunctions.Utility_DisplayArrayInTable(Fertiliser_SourceData.Fertiliser_Products_Data4(),FertiliserProducts[[#Headers],[Company]], 91)</f>
        <v>Nitrogen - Ammoniacal</v>
      </c>
      <c r="R188" s="146" cm="1">
        <f t="array" ref="R188">Common_InputFunctions.Utility_DisplayArrayInTable(Fertiliser_SourceData.Fertiliser_Products_Data4(),FertiliserProducts[[#Headers],[Company]], 91)</f>
        <v>0.13</v>
      </c>
      <c r="S188" s="146" t="str" cm="1">
        <f t="array" ref="S188">Common_InputFunctions.Utility_DisplayArrayInTable(Fertiliser_SourceData.Fertiliser_Products_Data4(),FertiliserProducts[[#Headers],[Company]], 91)</f>
        <v>Phosphorus - Generic</v>
      </c>
      <c r="T188" s="146" cm="1">
        <f t="array" ref="T188">Common_InputFunctions.Utility_DisplayArrayInTable(Fertiliser_SourceData.Fertiliser_Products_Data4(),FertiliserProducts[[#Headers],[Company]], 91)</f>
        <v>0.01</v>
      </c>
      <c r="U188" s="146" t="str" cm="1">
        <f t="array" ref="U188">Common_InputFunctions.Utility_DisplayArrayInTable(Fertiliser_SourceData.Fertiliser_Products_Data4(),FertiliserProducts[[#Headers],[Company]], 91)</f>
        <v>Potassium - Generic</v>
      </c>
      <c r="V188" s="146" cm="1">
        <f t="array" ref="V188">Common_InputFunctions.Utility_DisplayArrayInTable(Fertiliser_SourceData.Fertiliser_Products_Data4(),FertiliserProducts[[#Headers],[Company]], 91)</f>
        <v>0.125</v>
      </c>
      <c r="W188" s="146" t="str" cm="1">
        <f t="array" ref="W188">Common_InputFunctions.Utility_DisplayArrayInTable(Fertiliser_SourceData.Fertiliser_Products_Data4(),FertiliserProducts[[#Headers],[Company]], 91)</f>
        <v>Sulfur - Generic</v>
      </c>
      <c r="X188" s="146" cm="1">
        <f t="array" ref="X188">Common_InputFunctions.Utility_DisplayArrayInTable(Fertiliser_SourceData.Fertiliser_Products_Data4(),FertiliserProducts[[#Headers],[Company]], 91)</f>
        <v>3.6999999999999998E-2</v>
      </c>
      <c r="Y188" s="146" t="str" cm="1">
        <f t="array" ref="Y188">Common_InputFunctions.Utility_DisplayArrayInTable(Fertiliser_SourceData.Fertiliser_Products_Data4(),FertiliserProducts[[#Headers],[Company]], 91)</f>
        <v>Calcium</v>
      </c>
      <c r="Z188" s="146" cm="1">
        <f t="array" ref="Z188">Common_InputFunctions.Utility_DisplayArrayInTable(Fertiliser_SourceData.Fertiliser_Products_Data4(),FertiliserProducts[[#Headers],[Company]], 91)</f>
        <v>4.3999999999999997E-2</v>
      </c>
      <c r="AA188" s="146" t="str" cm="1">
        <f t="array" ref="AA188">Common_InputFunctions.Utility_DisplayArrayInTable(Fertiliser_SourceData.Fertiliser_Products_Data4(),FertiliserProducts[[#Headers],[Company]], 91)</f>
        <v/>
      </c>
      <c r="AB188" s="146" t="str" cm="1">
        <f t="array" ref="AB188">Common_InputFunctions.Utility_DisplayArrayInTable(Fertiliser_SourceData.Fertiliser_Products_Data4(),FertiliserProducts[[#Headers],[Company]], 91)</f>
        <v/>
      </c>
      <c r="AC188" s="146" t="str" cm="1">
        <f t="array" ref="AC188">Common_InputFunctions.Utility_DisplayArrayInTable(Fertiliser_SourceData.Fertiliser_Products_Data4(),FertiliserProducts[[#Headers],[Company]], 91)</f>
        <v/>
      </c>
      <c r="AD188" s="146" t="str" cm="1">
        <f t="array" ref="AD188">Common_InputFunctions.Utility_DisplayArrayInTable(Fertiliser_SourceData.Fertiliser_Products_Data4(),FertiliserProducts[[#Headers],[Company]], 91)</f>
        <v/>
      </c>
      <c r="AE188" s="146" t="str" cm="1">
        <f t="array" ref="AE188">Common_InputFunctions.Utility_DisplayArrayInTable(Fertiliser_SourceData.Fertiliser_Products_Data4(),FertiliserProducts[[#Headers],[Company]], 91)</f>
        <v/>
      </c>
      <c r="AF188" s="146" t="str" cm="1">
        <f t="array" ref="AF188">Common_InputFunctions.Utility_DisplayArrayInTable(Fertiliser_SourceData.Fertiliser_Products_Data4(),FertiliserProducts[[#Headers],[Company]], 91)</f>
        <v/>
      </c>
      <c r="AG188" s="146" t="str" cm="1">
        <f t="array" ref="AG188">Common_InputFunctions.Utility_DisplayArrayInTable(Fertiliser_SourceData.Fertiliser_Products_Data4(),FertiliserProducts[[#Headers],[Company]], 91)</f>
        <v/>
      </c>
      <c r="AH188" s="146" t="str" cm="1">
        <f t="array" ref="AH188">Common_InputFunctions.Utility_DisplayArrayInTable(Fertiliser_SourceData.Fertiliser_Products_Data4(),FertiliserProducts[[#Headers],[Company]], 91)</f>
        <v/>
      </c>
    </row>
    <row r="189" spans="1:37" ht="20.100000000000001" customHeight="1" x14ac:dyDescent="0.2">
      <c r="D189" s="146" t="str" cm="1">
        <f t="array" ref="D189">Common_InputFunctions.Utility_DisplayArrayInTable(Fertiliser_SourceData.Fertiliser_Products_Data4(),FertiliserProducts[[#Headers],[Company]], 91)</f>
        <v>Pacific Fertiliser / Incitec Pivot Fertilisers</v>
      </c>
      <c r="E189" s="146" t="str" cm="1">
        <f t="array" ref="E189">Common_InputFunctions.Utility_DisplayArrayInTable(Fertiliser_SourceData.Fertiliser_Products_Data4(),FertiliserProducts[[#Headers],[Company]], 91)</f>
        <v>Cal-Gran 150</v>
      </c>
      <c r="F189" s="146" t="str" cm="1">
        <f t="array" ref="F189">Common_InputFunctions.Utility_DisplayArrayInTable(Fertiliser_SourceData.Fertiliser_Products_Data4(),FertiliserProducts[[#Headers],[Company]], 91)</f>
        <v>kg</v>
      </c>
      <c r="G189" s="146" cm="1">
        <f t="array" ref="G189">Common_InputFunctions.Utility_DisplayArrayInTable(Fertiliser_SourceData.Fertiliser_Products_Data4(),FertiliserProducts[[#Headers],[Company]], 91)</f>
        <v>1</v>
      </c>
      <c r="H189" s="146" t="str" cm="1">
        <f t="array" ref="H189">Common_InputFunctions.Utility_DisplayArrayInTable(Fertiliser_SourceData.Fertiliser_Products_Data4(),FertiliserProducts[[#Headers],[Company]], 91)</f>
        <v/>
      </c>
      <c r="I189" s="146" t="str" cm="1">
        <f t="array" ref="I189">Common_InputFunctions.Utility_DisplayArrayInTable(Fertiliser_SourceData.Fertiliser_Products_Data4(),FertiliserProducts[[#Headers],[Company]], 91)</f>
        <v/>
      </c>
      <c r="J189" s="146" t="str" cm="1">
        <f t="array" ref="J189">Common_InputFunctions.Utility_DisplayArrayInTable(Fertiliser_SourceData.Fertiliser_Products_Data4(),FertiliserProducts[[#Headers],[Company]], 91)</f>
        <v/>
      </c>
      <c r="K189" s="146" cm="1">
        <f t="array" ref="K189">Common_InputFunctions.Utility_DisplayArrayInTable(Fertiliser_SourceData.Fertiliser_Products_Data4(),FertiliserProducts[[#Headers],[Company]], 91)</f>
        <v>18.600000000000001</v>
      </c>
      <c r="L189" s="146" cm="1">
        <f t="array" ref="L189">Common_InputFunctions.Utility_DisplayArrayInTable(Fertiliser_SourceData.Fertiliser_Products_Data4(),FertiliserProducts[[#Headers],[Company]], 91)</f>
        <v>3</v>
      </c>
      <c r="M189" s="146" cm="1">
        <f t="array" ref="M189">Common_InputFunctions.Utility_DisplayArrayInTable(Fertiliser_SourceData.Fertiliser_Products_Data4(),FertiliserProducts[[#Headers],[Company]], 91)</f>
        <v>12.5</v>
      </c>
      <c r="N189" s="146" cm="1">
        <f t="array" ref="N189">Common_InputFunctions.Utility_DisplayArrayInTable(Fertiliser_SourceData.Fertiliser_Products_Data4(),FertiliserProducts[[#Headers],[Company]], 91)</f>
        <v>1.4</v>
      </c>
      <c r="O189" s="146" t="str" cm="1">
        <f t="array" ref="O189">Common_InputFunctions.Utility_DisplayArrayInTable(Fertiliser_SourceData.Fertiliser_Products_Data4(),FertiliserProducts[[#Headers],[Company]], 91)</f>
        <v>Nitrogen - Nitrate</v>
      </c>
      <c r="P189" s="146" cm="1">
        <f t="array" ref="P189">Common_InputFunctions.Utility_DisplayArrayInTable(Fertiliser_SourceData.Fertiliser_Products_Data4(),FertiliserProducts[[#Headers],[Company]], 91)</f>
        <v>5.8000000000000003E-2</v>
      </c>
      <c r="Q189" s="146" t="str" cm="1">
        <f t="array" ref="Q189">Common_InputFunctions.Utility_DisplayArrayInTable(Fertiliser_SourceData.Fertiliser_Products_Data4(),FertiliserProducts[[#Headers],[Company]], 91)</f>
        <v>Nitrogen - Ammoniacal</v>
      </c>
      <c r="R189" s="146" cm="1">
        <f t="array" ref="R189">Common_InputFunctions.Utility_DisplayArrayInTable(Fertiliser_SourceData.Fertiliser_Products_Data4(),FertiliserProducts[[#Headers],[Company]], 91)</f>
        <v>0.128</v>
      </c>
      <c r="S189" s="146" t="str" cm="1">
        <f t="array" ref="S189">Common_InputFunctions.Utility_DisplayArrayInTable(Fertiliser_SourceData.Fertiliser_Products_Data4(),FertiliserProducts[[#Headers],[Company]], 91)</f>
        <v>Phosphorus - Generic</v>
      </c>
      <c r="T189" s="146" cm="1">
        <f t="array" ref="T189">Common_InputFunctions.Utility_DisplayArrayInTable(Fertiliser_SourceData.Fertiliser_Products_Data4(),FertiliserProducts[[#Headers],[Company]], 91)</f>
        <v>0.03</v>
      </c>
      <c r="U189" s="146" t="str" cm="1">
        <f t="array" ref="U189">Common_InputFunctions.Utility_DisplayArrayInTable(Fertiliser_SourceData.Fertiliser_Products_Data4(),FertiliserProducts[[#Headers],[Company]], 91)</f>
        <v>Potassium - Generic</v>
      </c>
      <c r="V189" s="146" cm="1">
        <f t="array" ref="V189">Common_InputFunctions.Utility_DisplayArrayInTable(Fertiliser_SourceData.Fertiliser_Products_Data4(),FertiliserProducts[[#Headers],[Company]], 91)</f>
        <v>0.125</v>
      </c>
      <c r="W189" s="146" t="str" cm="1">
        <f t="array" ref="W189">Common_InputFunctions.Utility_DisplayArrayInTable(Fertiliser_SourceData.Fertiliser_Products_Data4(),FertiliserProducts[[#Headers],[Company]], 91)</f>
        <v>Sulfur - Generic</v>
      </c>
      <c r="X189" s="146" cm="1">
        <f t="array" ref="X189">Common_InputFunctions.Utility_DisplayArrayInTable(Fertiliser_SourceData.Fertiliser_Products_Data4(),FertiliserProducts[[#Headers],[Company]], 91)</f>
        <v>1.4E-2</v>
      </c>
      <c r="Y189" s="146" t="str" cm="1">
        <f t="array" ref="Y189">Common_InputFunctions.Utility_DisplayArrayInTable(Fertiliser_SourceData.Fertiliser_Products_Data4(),FertiliserProducts[[#Headers],[Company]], 91)</f>
        <v>Calcium</v>
      </c>
      <c r="Z189" s="146" cm="1">
        <f t="array" ref="Z189">Common_InputFunctions.Utility_DisplayArrayInTable(Fertiliser_SourceData.Fertiliser_Products_Data4(),FertiliserProducts[[#Headers],[Company]], 91)</f>
        <v>4.3999999999999997E-2</v>
      </c>
      <c r="AA189" s="146" t="str" cm="1">
        <f t="array" ref="AA189">Common_InputFunctions.Utility_DisplayArrayInTable(Fertiliser_SourceData.Fertiliser_Products_Data4(),FertiliserProducts[[#Headers],[Company]], 91)</f>
        <v/>
      </c>
      <c r="AB189" s="146" t="str" cm="1">
        <f t="array" ref="AB189">Common_InputFunctions.Utility_DisplayArrayInTable(Fertiliser_SourceData.Fertiliser_Products_Data4(),FertiliserProducts[[#Headers],[Company]], 91)</f>
        <v/>
      </c>
      <c r="AC189" s="146" t="str" cm="1">
        <f t="array" ref="AC189">Common_InputFunctions.Utility_DisplayArrayInTable(Fertiliser_SourceData.Fertiliser_Products_Data4(),FertiliserProducts[[#Headers],[Company]], 91)</f>
        <v/>
      </c>
      <c r="AD189" s="146" t="str" cm="1">
        <f t="array" ref="AD189">Common_InputFunctions.Utility_DisplayArrayInTable(Fertiliser_SourceData.Fertiliser_Products_Data4(),FertiliserProducts[[#Headers],[Company]], 91)</f>
        <v/>
      </c>
      <c r="AE189" s="146" t="str" cm="1">
        <f t="array" ref="AE189">Common_InputFunctions.Utility_DisplayArrayInTable(Fertiliser_SourceData.Fertiliser_Products_Data4(),FertiliserProducts[[#Headers],[Company]], 91)</f>
        <v/>
      </c>
      <c r="AF189" s="146" t="str" cm="1">
        <f t="array" ref="AF189">Common_InputFunctions.Utility_DisplayArrayInTable(Fertiliser_SourceData.Fertiliser_Products_Data4(),FertiliserProducts[[#Headers],[Company]], 91)</f>
        <v/>
      </c>
      <c r="AG189" s="146" t="str" cm="1">
        <f t="array" ref="AG189">Common_InputFunctions.Utility_DisplayArrayInTable(Fertiliser_SourceData.Fertiliser_Products_Data4(),FertiliserProducts[[#Headers],[Company]], 91)</f>
        <v/>
      </c>
      <c r="AH189" s="146" t="str" cm="1">
        <f t="array" ref="AH189">Common_InputFunctions.Utility_DisplayArrayInTable(Fertiliser_SourceData.Fertiliser_Products_Data4(),FertiliserProducts[[#Headers],[Company]], 91)</f>
        <v/>
      </c>
    </row>
    <row r="190" spans="1:37" ht="20.100000000000001" customHeight="1" x14ac:dyDescent="0.2">
      <c r="D190" s="146" t="str" cm="1">
        <f t="array" ref="D190">Common_InputFunctions.Utility_DisplayArrayInTable(Fertiliser_SourceData.Fertiliser_Products_Data4(),FertiliserProducts[[#Headers],[Company]], 91)</f>
        <v>Pacific Fertiliser / Incitec Pivot Fertilisers</v>
      </c>
      <c r="E190" s="146" t="str" cm="1">
        <f t="array" ref="E190">Common_InputFunctions.Utility_DisplayArrayInTable(Fertiliser_SourceData.Fertiliser_Products_Data4(),FertiliserProducts[[#Headers],[Company]], 91)</f>
        <v>Cal-Gran Extra K</v>
      </c>
      <c r="F190" s="146" t="str" cm="1">
        <f t="array" ref="F190">Common_InputFunctions.Utility_DisplayArrayInTable(Fertiliser_SourceData.Fertiliser_Products_Data4(),FertiliserProducts[[#Headers],[Company]], 91)</f>
        <v>kg</v>
      </c>
      <c r="G190" s="146" cm="1">
        <f t="array" ref="G190">Common_InputFunctions.Utility_DisplayArrayInTable(Fertiliser_SourceData.Fertiliser_Products_Data4(),FertiliserProducts[[#Headers],[Company]], 91)</f>
        <v>1</v>
      </c>
      <c r="H190" s="146" t="str" cm="1">
        <f t="array" ref="H190">Common_InputFunctions.Utility_DisplayArrayInTable(Fertiliser_SourceData.Fertiliser_Products_Data4(),FertiliserProducts[[#Headers],[Company]], 91)</f>
        <v/>
      </c>
      <c r="I190" s="146" t="str" cm="1">
        <f t="array" ref="I190">Common_InputFunctions.Utility_DisplayArrayInTable(Fertiliser_SourceData.Fertiliser_Products_Data4(),FertiliserProducts[[#Headers],[Company]], 91)</f>
        <v/>
      </c>
      <c r="J190" s="146" t="str" cm="1">
        <f t="array" ref="J190">Common_InputFunctions.Utility_DisplayArrayInTable(Fertiliser_SourceData.Fertiliser_Products_Data4(),FertiliserProducts[[#Headers],[Company]], 91)</f>
        <v/>
      </c>
      <c r="K190" s="146" cm="1">
        <f t="array" ref="K190">Common_InputFunctions.Utility_DisplayArrayInTable(Fertiliser_SourceData.Fertiliser_Products_Data4(),FertiliserProducts[[#Headers],[Company]], 91)</f>
        <v>15.8</v>
      </c>
      <c r="L190" s="146" t="str" cm="1">
        <f t="array" ref="L190">Common_InputFunctions.Utility_DisplayArrayInTable(Fertiliser_SourceData.Fertiliser_Products_Data4(),FertiliserProducts[[#Headers],[Company]], 91)</f>
        <v/>
      </c>
      <c r="M190" s="146" cm="1">
        <f t="array" ref="M190">Common_InputFunctions.Utility_DisplayArrayInTable(Fertiliser_SourceData.Fertiliser_Products_Data4(),FertiliserProducts[[#Headers],[Company]], 91)</f>
        <v>19</v>
      </c>
      <c r="N190" s="146" cm="1">
        <f t="array" ref="N190">Common_InputFunctions.Utility_DisplayArrayInTable(Fertiliser_SourceData.Fertiliser_Products_Data4(),FertiliserProducts[[#Headers],[Company]], 91)</f>
        <v>3.2</v>
      </c>
      <c r="O190" s="146" t="str" cm="1">
        <f t="array" ref="O190">Common_InputFunctions.Utility_DisplayArrayInTable(Fertiliser_SourceData.Fertiliser_Products_Data4(),FertiliserProducts[[#Headers],[Company]], 91)</f>
        <v>Nitrogen - Nitrate</v>
      </c>
      <c r="P190" s="146" cm="1">
        <f t="array" ref="P190">Common_InputFunctions.Utility_DisplayArrayInTable(Fertiliser_SourceData.Fertiliser_Products_Data4(),FertiliserProducts[[#Headers],[Company]], 91)</f>
        <v>4.9000000000000002E-2</v>
      </c>
      <c r="Q190" s="146" t="str" cm="1">
        <f t="array" ref="Q190">Common_InputFunctions.Utility_DisplayArrayInTable(Fertiliser_SourceData.Fertiliser_Products_Data4(),FertiliserProducts[[#Headers],[Company]], 91)</f>
        <v>Nitrogen - Ammoniacal</v>
      </c>
      <c r="R190" s="146" cm="1">
        <f t="array" ref="R190">Common_InputFunctions.Utility_DisplayArrayInTable(Fertiliser_SourceData.Fertiliser_Products_Data4(),FertiliserProducts[[#Headers],[Company]], 91)</f>
        <v>0.109</v>
      </c>
      <c r="S190" s="146" t="str" cm="1">
        <f t="array" ref="S190">Common_InputFunctions.Utility_DisplayArrayInTable(Fertiliser_SourceData.Fertiliser_Products_Data4(),FertiliserProducts[[#Headers],[Company]], 91)</f>
        <v>Potassium - Generic</v>
      </c>
      <c r="T190" s="146" cm="1">
        <f t="array" ref="T190">Common_InputFunctions.Utility_DisplayArrayInTable(Fertiliser_SourceData.Fertiliser_Products_Data4(),FertiliserProducts[[#Headers],[Company]], 91)</f>
        <v>0.19</v>
      </c>
      <c r="U190" s="146" t="str" cm="1">
        <f t="array" ref="U190">Common_InputFunctions.Utility_DisplayArrayInTable(Fertiliser_SourceData.Fertiliser_Products_Data4(),FertiliserProducts[[#Headers],[Company]], 91)</f>
        <v>Sulfur - Generic</v>
      </c>
      <c r="V190" s="146" cm="1">
        <f t="array" ref="V190">Common_InputFunctions.Utility_DisplayArrayInTable(Fertiliser_SourceData.Fertiliser_Products_Data4(),FertiliserProducts[[#Headers],[Company]], 91)</f>
        <v>3.2000000000000001E-2</v>
      </c>
      <c r="W190" s="146" t="str" cm="1">
        <f t="array" ref="W190">Common_InputFunctions.Utility_DisplayArrayInTable(Fertiliser_SourceData.Fertiliser_Products_Data4(),FertiliserProducts[[#Headers],[Company]], 91)</f>
        <v>Calcium</v>
      </c>
      <c r="X190" s="146" cm="1">
        <f t="array" ref="X190">Common_InputFunctions.Utility_DisplayArrayInTable(Fertiliser_SourceData.Fertiliser_Products_Data4(),FertiliserProducts[[#Headers],[Company]], 91)</f>
        <v>3.9E-2</v>
      </c>
      <c r="Y190" s="146" t="str" cm="1">
        <f t="array" ref="Y190">Common_InputFunctions.Utility_DisplayArrayInTable(Fertiliser_SourceData.Fertiliser_Products_Data4(),FertiliserProducts[[#Headers],[Company]], 91)</f>
        <v/>
      </c>
      <c r="Z190" s="146" t="str" cm="1">
        <f t="array" ref="Z190">Common_InputFunctions.Utility_DisplayArrayInTable(Fertiliser_SourceData.Fertiliser_Products_Data4(),FertiliserProducts[[#Headers],[Company]], 91)</f>
        <v/>
      </c>
      <c r="AA190" s="146" t="str" cm="1">
        <f t="array" ref="AA190">Common_InputFunctions.Utility_DisplayArrayInTable(Fertiliser_SourceData.Fertiliser_Products_Data4(),FertiliserProducts[[#Headers],[Company]], 91)</f>
        <v/>
      </c>
      <c r="AB190" s="146" t="str" cm="1">
        <f t="array" ref="AB190">Common_InputFunctions.Utility_DisplayArrayInTable(Fertiliser_SourceData.Fertiliser_Products_Data4(),FertiliserProducts[[#Headers],[Company]], 91)</f>
        <v/>
      </c>
      <c r="AC190" s="146" t="str" cm="1">
        <f t="array" ref="AC190">Common_InputFunctions.Utility_DisplayArrayInTable(Fertiliser_SourceData.Fertiliser_Products_Data4(),FertiliserProducts[[#Headers],[Company]], 91)</f>
        <v/>
      </c>
      <c r="AD190" s="146" t="str" cm="1">
        <f t="array" ref="AD190">Common_InputFunctions.Utility_DisplayArrayInTable(Fertiliser_SourceData.Fertiliser_Products_Data4(),FertiliserProducts[[#Headers],[Company]], 91)</f>
        <v/>
      </c>
      <c r="AE190" s="146" t="str" cm="1">
        <f t="array" ref="AE190">Common_InputFunctions.Utility_DisplayArrayInTable(Fertiliser_SourceData.Fertiliser_Products_Data4(),FertiliserProducts[[#Headers],[Company]], 91)</f>
        <v/>
      </c>
      <c r="AF190" s="146" t="str" cm="1">
        <f t="array" ref="AF190">Common_InputFunctions.Utility_DisplayArrayInTable(Fertiliser_SourceData.Fertiliser_Products_Data4(),FertiliserProducts[[#Headers],[Company]], 91)</f>
        <v/>
      </c>
      <c r="AG190" s="146" t="str" cm="1">
        <f t="array" ref="AG190">Common_InputFunctions.Utility_DisplayArrayInTable(Fertiliser_SourceData.Fertiliser_Products_Data4(),FertiliserProducts[[#Headers],[Company]], 91)</f>
        <v/>
      </c>
      <c r="AH190" s="146" t="str" cm="1">
        <f t="array" ref="AH190">Common_InputFunctions.Utility_DisplayArrayInTable(Fertiliser_SourceData.Fertiliser_Products_Data4(),FertiliserProducts[[#Headers],[Company]], 91)</f>
        <v/>
      </c>
    </row>
    <row r="191" spans="1:37" ht="20.100000000000001" customHeight="1" x14ac:dyDescent="0.2">
      <c r="D191" s="146" t="str" cm="1">
        <f t="array" ref="D191">Common_InputFunctions.Utility_DisplayArrayInTable(Fertiliser_SourceData.Fertiliser_Products_Data4(),FertiliserProducts[[#Headers],[Company]], 91)</f>
        <v>Incitec Pivot Fertilisers</v>
      </c>
      <c r="E191" s="146" t="str" cm="1">
        <f t="array" ref="E191">Common_InputFunctions.Utility_DisplayArrayInTable(Fertiliser_SourceData.Fertiliser_Products_Data4(),FertiliserProducts[[#Headers],[Company]], 91)</f>
        <v>Dairy Pro</v>
      </c>
      <c r="F191" s="146" t="str" cm="1">
        <f t="array" ref="F191">Common_InputFunctions.Utility_DisplayArrayInTable(Fertiliser_SourceData.Fertiliser_Products_Data4(),FertiliserProducts[[#Headers],[Company]], 91)</f>
        <v>kg</v>
      </c>
      <c r="G191" s="146" cm="1">
        <f t="array" ref="G191">Common_InputFunctions.Utility_DisplayArrayInTable(Fertiliser_SourceData.Fertiliser_Products_Data4(),FertiliserProducts[[#Headers],[Company]], 91)</f>
        <v>1</v>
      </c>
      <c r="H191" s="146" t="str" cm="1">
        <f t="array" ref="H191">Common_InputFunctions.Utility_DisplayArrayInTable(Fertiliser_SourceData.Fertiliser_Products_Data4(),FertiliserProducts[[#Headers],[Company]], 91)</f>
        <v/>
      </c>
      <c r="I191" s="146" t="str" cm="1">
        <f t="array" ref="I191">Common_InputFunctions.Utility_DisplayArrayInTable(Fertiliser_SourceData.Fertiliser_Products_Data4(),FertiliserProducts[[#Headers],[Company]], 91)</f>
        <v/>
      </c>
      <c r="J191" s="146" t="str" cm="1">
        <f t="array" ref="J191">Common_InputFunctions.Utility_DisplayArrayInTable(Fertiliser_SourceData.Fertiliser_Products_Data4(),FertiliserProducts[[#Headers],[Company]], 91)</f>
        <v/>
      </c>
      <c r="K191" s="146" cm="1">
        <f t="array" ref="K191">Common_InputFunctions.Utility_DisplayArrayInTable(Fertiliser_SourceData.Fertiliser_Products_Data4(),FertiliserProducts[[#Headers],[Company]], 91)</f>
        <v>25.9</v>
      </c>
      <c r="L191" s="146" cm="1">
        <f t="array" ref="L191">Common_InputFunctions.Utility_DisplayArrayInTable(Fertiliser_SourceData.Fertiliser_Products_Data4(),FertiliserProducts[[#Headers],[Company]], 91)</f>
        <v>3.9</v>
      </c>
      <c r="M191" s="146" cm="1">
        <f t="array" ref="M191">Common_InputFunctions.Utility_DisplayArrayInTable(Fertiliser_SourceData.Fertiliser_Products_Data4(),FertiliserProducts[[#Headers],[Company]], 91)</f>
        <v>15.9</v>
      </c>
      <c r="N191" s="146" cm="1">
        <f t="array" ref="N191">Common_InputFunctions.Utility_DisplayArrayInTable(Fertiliser_SourceData.Fertiliser_Products_Data4(),FertiliserProducts[[#Headers],[Company]], 91)</f>
        <v>0.3</v>
      </c>
      <c r="O191" s="146" t="str" cm="1">
        <f t="array" ref="O191">Common_InputFunctions.Utility_DisplayArrayInTable(Fertiliser_SourceData.Fertiliser_Products_Data4(),FertiliserProducts[[#Headers],[Company]], 91)</f>
        <v>Nitrogen - Generic</v>
      </c>
      <c r="P191" s="146" cm="1">
        <f t="array" ref="P191">Common_InputFunctions.Utility_DisplayArrayInTable(Fertiliser_SourceData.Fertiliser_Products_Data4(),FertiliserProducts[[#Headers],[Company]], 91)</f>
        <v>0.25900000000000001</v>
      </c>
      <c r="Q191" s="146" t="str" cm="1">
        <f t="array" ref="Q191">Common_InputFunctions.Utility_DisplayArrayInTable(Fertiliser_SourceData.Fertiliser_Products_Data4(),FertiliserProducts[[#Headers],[Company]], 91)</f>
        <v>Phosphorus - Generic</v>
      </c>
      <c r="R191" s="146" cm="1">
        <f t="array" ref="R191">Common_InputFunctions.Utility_DisplayArrayInTable(Fertiliser_SourceData.Fertiliser_Products_Data4(),FertiliserProducts[[#Headers],[Company]], 91)</f>
        <v>3.9E-2</v>
      </c>
      <c r="S191" s="146" t="str" cm="1">
        <f t="array" ref="S191">Common_InputFunctions.Utility_DisplayArrayInTable(Fertiliser_SourceData.Fertiliser_Products_Data4(),FertiliserProducts[[#Headers],[Company]], 91)</f>
        <v>Potassium - Generic</v>
      </c>
      <c r="T191" s="146" cm="1">
        <f t="array" ref="T191">Common_InputFunctions.Utility_DisplayArrayInTable(Fertiliser_SourceData.Fertiliser_Products_Data4(),FertiliserProducts[[#Headers],[Company]], 91)</f>
        <v>0.159</v>
      </c>
      <c r="U191" s="146" t="str" cm="1">
        <f t="array" ref="U191">Common_InputFunctions.Utility_DisplayArrayInTable(Fertiliser_SourceData.Fertiliser_Products_Data4(),FertiliserProducts[[#Headers],[Company]], 91)</f>
        <v>Sulfur - Generic</v>
      </c>
      <c r="V191" s="146" cm="1">
        <f t="array" ref="V191">Common_InputFunctions.Utility_DisplayArrayInTable(Fertiliser_SourceData.Fertiliser_Products_Data4(),FertiliserProducts[[#Headers],[Company]], 91)</f>
        <v>3.0000000000000001E-3</v>
      </c>
      <c r="W191" s="146" t="str" cm="1">
        <f t="array" ref="W191">Common_InputFunctions.Utility_DisplayArrayInTable(Fertiliser_SourceData.Fertiliser_Products_Data4(),FertiliserProducts[[#Headers],[Company]], 91)</f>
        <v/>
      </c>
      <c r="X191" s="146" t="str" cm="1">
        <f t="array" ref="X191">Common_InputFunctions.Utility_DisplayArrayInTable(Fertiliser_SourceData.Fertiliser_Products_Data4(),FertiliserProducts[[#Headers],[Company]], 91)</f>
        <v/>
      </c>
      <c r="Y191" s="146" t="str" cm="1">
        <f t="array" ref="Y191">Common_InputFunctions.Utility_DisplayArrayInTable(Fertiliser_SourceData.Fertiliser_Products_Data4(),FertiliserProducts[[#Headers],[Company]], 91)</f>
        <v/>
      </c>
      <c r="Z191" s="146" t="str" cm="1">
        <f t="array" ref="Z191">Common_InputFunctions.Utility_DisplayArrayInTable(Fertiliser_SourceData.Fertiliser_Products_Data4(),FertiliserProducts[[#Headers],[Company]], 91)</f>
        <v/>
      </c>
      <c r="AA191" s="146" t="str" cm="1">
        <f t="array" ref="AA191">Common_InputFunctions.Utility_DisplayArrayInTable(Fertiliser_SourceData.Fertiliser_Products_Data4(),FertiliserProducts[[#Headers],[Company]], 91)</f>
        <v/>
      </c>
      <c r="AB191" s="146" t="str" cm="1">
        <f t="array" ref="AB191">Common_InputFunctions.Utility_DisplayArrayInTable(Fertiliser_SourceData.Fertiliser_Products_Data4(),FertiliserProducts[[#Headers],[Company]], 91)</f>
        <v/>
      </c>
      <c r="AC191" s="146" t="str" cm="1">
        <f t="array" ref="AC191">Common_InputFunctions.Utility_DisplayArrayInTable(Fertiliser_SourceData.Fertiliser_Products_Data4(),FertiliserProducts[[#Headers],[Company]], 91)</f>
        <v/>
      </c>
      <c r="AD191" s="146" t="str" cm="1">
        <f t="array" ref="AD191">Common_InputFunctions.Utility_DisplayArrayInTable(Fertiliser_SourceData.Fertiliser_Products_Data4(),FertiliserProducts[[#Headers],[Company]], 91)</f>
        <v/>
      </c>
      <c r="AE191" s="146" t="str" cm="1">
        <f t="array" ref="AE191">Common_InputFunctions.Utility_DisplayArrayInTable(Fertiliser_SourceData.Fertiliser_Products_Data4(),FertiliserProducts[[#Headers],[Company]], 91)</f>
        <v/>
      </c>
      <c r="AF191" s="146" t="str" cm="1">
        <f t="array" ref="AF191">Common_InputFunctions.Utility_DisplayArrayInTable(Fertiliser_SourceData.Fertiliser_Products_Data4(),FertiliserProducts[[#Headers],[Company]], 91)</f>
        <v/>
      </c>
      <c r="AG191" s="146" t="str" cm="1">
        <f t="array" ref="AG191">Common_InputFunctions.Utility_DisplayArrayInTable(Fertiliser_SourceData.Fertiliser_Products_Data4(),FertiliserProducts[[#Headers],[Company]], 91)</f>
        <v/>
      </c>
      <c r="AH191" s="146" t="str" cm="1">
        <f t="array" ref="AH191">Common_InputFunctions.Utility_DisplayArrayInTable(Fertiliser_SourceData.Fertiliser_Products_Data4(),FertiliserProducts[[#Headers],[Company]], 91)</f>
        <v/>
      </c>
    </row>
    <row r="192" spans="1:37" ht="20.100000000000001" customHeight="1" x14ac:dyDescent="0.2">
      <c r="D192" s="146" t="str" cm="1">
        <f t="array" ref="D192">Common_InputFunctions.Utility_DisplayArrayInTable(Fertiliser_SourceData.Fertiliser_Products_Data4(),FertiliserProducts[[#Headers],[Company]], 91)</f>
        <v>Yara Australia</v>
      </c>
      <c r="E192" s="146" t="str" cm="1">
        <f t="array" ref="E192">Common_InputFunctions.Utility_DisplayArrayInTable(Fertiliser_SourceData.Fertiliser_Products_Data4(),FertiliserProducts[[#Headers],[Company]], 91)</f>
        <v>YaraMila ACTYVA S</v>
      </c>
      <c r="F192" s="146" t="str" cm="1">
        <f t="array" ref="F192">Common_InputFunctions.Utility_DisplayArrayInTable(Fertiliser_SourceData.Fertiliser_Products_Data4(),FertiliserProducts[[#Headers],[Company]], 91)</f>
        <v>kg</v>
      </c>
      <c r="G192" s="146" cm="1">
        <f t="array" ref="G192">Common_InputFunctions.Utility_DisplayArrayInTable(Fertiliser_SourceData.Fertiliser_Products_Data4(),FertiliserProducts[[#Headers],[Company]], 91)</f>
        <v>1</v>
      </c>
      <c r="H192" s="146" t="str" cm="1">
        <f t="array" ref="H192">Common_InputFunctions.Utility_DisplayArrayInTable(Fertiliser_SourceData.Fertiliser_Products_Data4(),FertiliserProducts[[#Headers],[Company]], 91)</f>
        <v/>
      </c>
      <c r="I192" s="146" t="str" cm="1">
        <f t="array" ref="I192">Common_InputFunctions.Utility_DisplayArrayInTable(Fertiliser_SourceData.Fertiliser_Products_Data4(),FertiliserProducts[[#Headers],[Company]], 91)</f>
        <v/>
      </c>
      <c r="J192" s="146" t="str" cm="1">
        <f t="array" ref="J192">Common_InputFunctions.Utility_DisplayArrayInTable(Fertiliser_SourceData.Fertiliser_Products_Data4(),FertiliserProducts[[#Headers],[Company]], 91)</f>
        <v/>
      </c>
      <c r="K192" s="146" cm="1">
        <f t="array" ref="K192">Common_InputFunctions.Utility_DisplayArrayInTable(Fertiliser_SourceData.Fertiliser_Products_Data4(),FertiliserProducts[[#Headers],[Company]], 91)</f>
        <v>15.6</v>
      </c>
      <c r="L192" s="146" cm="1">
        <f t="array" ref="L192">Common_InputFunctions.Utility_DisplayArrayInTable(Fertiliser_SourceData.Fertiliser_Products_Data4(),FertiliserProducts[[#Headers],[Company]], 91)</f>
        <v>6.37</v>
      </c>
      <c r="M192" s="146" cm="1">
        <f t="array" ref="M192">Common_InputFunctions.Utility_DisplayArrayInTable(Fertiliser_SourceData.Fertiliser_Products_Data4(),FertiliserProducts[[#Headers],[Company]], 91)</f>
        <v>12.45</v>
      </c>
      <c r="N192" s="146" cm="1">
        <f t="array" ref="N192">Common_InputFunctions.Utility_DisplayArrayInTable(Fertiliser_SourceData.Fertiliser_Products_Data4(),FertiliserProducts[[#Headers],[Company]], 91)</f>
        <v>2.6</v>
      </c>
      <c r="O192" s="146" t="str" cm="1">
        <f t="array" ref="O192">Common_InputFunctions.Utility_DisplayArrayInTable(Fertiliser_SourceData.Fertiliser_Products_Data4(),FertiliserProducts[[#Headers],[Company]], 91)</f>
        <v>Nitrogen - Nitrate</v>
      </c>
      <c r="P192" s="146" cm="1">
        <f t="array" ref="P192">Common_InputFunctions.Utility_DisplayArrayInTable(Fertiliser_SourceData.Fertiliser_Products_Data4(),FertiliserProducts[[#Headers],[Company]], 91)</f>
        <v>5.8000000000000003E-2</v>
      </c>
      <c r="Q192" s="146" t="str" cm="1">
        <f t="array" ref="Q192">Common_InputFunctions.Utility_DisplayArrayInTable(Fertiliser_SourceData.Fertiliser_Products_Data4(),FertiliserProducts[[#Headers],[Company]], 91)</f>
        <v>Nitrogen - Ammoniacal</v>
      </c>
      <c r="R192" s="146" cm="1">
        <f t="array" ref="R192">Common_InputFunctions.Utility_DisplayArrayInTable(Fertiliser_SourceData.Fertiliser_Products_Data4(),FertiliserProducts[[#Headers],[Company]], 91)</f>
        <v>9.8000000000000004E-2</v>
      </c>
      <c r="S192" s="146" t="str" cm="1">
        <f t="array" ref="S192">Common_InputFunctions.Utility_DisplayArrayInTable(Fertiliser_SourceData.Fertiliser_Products_Data4(),FertiliserProducts[[#Headers],[Company]], 91)</f>
        <v>Phosphorus - Generic</v>
      </c>
      <c r="T192" s="146" cm="1">
        <f t="array" ref="T192">Common_InputFunctions.Utility_DisplayArrayInTable(Fertiliser_SourceData.Fertiliser_Products_Data4(),FertiliserProducts[[#Headers],[Company]], 91)</f>
        <v>6.3714000000000007E-2</v>
      </c>
      <c r="U192" s="146" t="str" cm="1">
        <f t="array" ref="U192">Common_InputFunctions.Utility_DisplayArrayInTable(Fertiliser_SourceData.Fertiliser_Products_Data4(),FertiliserProducts[[#Headers],[Company]], 91)</f>
        <v>Potassium - Generic</v>
      </c>
      <c r="V192" s="146" cm="1">
        <f t="array" ref="V192">Common_InputFunctions.Utility_DisplayArrayInTable(Fertiliser_SourceData.Fertiliser_Products_Data4(),FertiliserProducts[[#Headers],[Company]], 91)</f>
        <v>0.124515</v>
      </c>
      <c r="W192" s="146" t="str" cm="1">
        <f t="array" ref="W192">Common_InputFunctions.Utility_DisplayArrayInTable(Fertiliser_SourceData.Fertiliser_Products_Data4(),FertiliserProducts[[#Headers],[Company]], 91)</f>
        <v>Sulfur - Generic</v>
      </c>
      <c r="X192" s="146" cm="1">
        <f t="array" ref="X192">Common_InputFunctions.Utility_DisplayArrayInTable(Fertiliser_SourceData.Fertiliser_Products_Data4(),FertiliserProducts[[#Headers],[Company]], 91)</f>
        <v>2.5999999999999999E-2</v>
      </c>
      <c r="Y192" s="146" t="str" cm="1">
        <f t="array" ref="Y192">Common_InputFunctions.Utility_DisplayArrayInTable(Fertiliser_SourceData.Fertiliser_Products_Data4(),FertiliserProducts[[#Headers],[Company]], 91)</f>
        <v/>
      </c>
      <c r="Z192" s="146" t="str" cm="1">
        <f t="array" ref="Z192">Common_InputFunctions.Utility_DisplayArrayInTable(Fertiliser_SourceData.Fertiliser_Products_Data4(),FertiliserProducts[[#Headers],[Company]], 91)</f>
        <v/>
      </c>
      <c r="AA192" s="146" t="str" cm="1">
        <f t="array" ref="AA192">Common_InputFunctions.Utility_DisplayArrayInTable(Fertiliser_SourceData.Fertiliser_Products_Data4(),FertiliserProducts[[#Headers],[Company]], 91)</f>
        <v/>
      </c>
      <c r="AB192" s="146" t="str" cm="1">
        <f t="array" ref="AB192">Common_InputFunctions.Utility_DisplayArrayInTable(Fertiliser_SourceData.Fertiliser_Products_Data4(),FertiliserProducts[[#Headers],[Company]], 91)</f>
        <v/>
      </c>
      <c r="AC192" s="146" t="str" cm="1">
        <f t="array" ref="AC192">Common_InputFunctions.Utility_DisplayArrayInTable(Fertiliser_SourceData.Fertiliser_Products_Data4(),FertiliserProducts[[#Headers],[Company]], 91)</f>
        <v/>
      </c>
      <c r="AD192" s="146" t="str" cm="1">
        <f t="array" ref="AD192">Common_InputFunctions.Utility_DisplayArrayInTable(Fertiliser_SourceData.Fertiliser_Products_Data4(),FertiliserProducts[[#Headers],[Company]], 91)</f>
        <v/>
      </c>
      <c r="AE192" s="146" t="str" cm="1">
        <f t="array" ref="AE192">Common_InputFunctions.Utility_DisplayArrayInTable(Fertiliser_SourceData.Fertiliser_Products_Data4(),FertiliserProducts[[#Headers],[Company]], 91)</f>
        <v/>
      </c>
      <c r="AF192" s="146" t="str" cm="1">
        <f t="array" ref="AF192">Common_InputFunctions.Utility_DisplayArrayInTable(Fertiliser_SourceData.Fertiliser_Products_Data4(),FertiliserProducts[[#Headers],[Company]], 91)</f>
        <v/>
      </c>
      <c r="AG192" s="146" t="str" cm="1">
        <f t="array" ref="AG192">Common_InputFunctions.Utility_DisplayArrayInTable(Fertiliser_SourceData.Fertiliser_Products_Data4(),FertiliserProducts[[#Headers],[Company]], 91)</f>
        <v/>
      </c>
      <c r="AH192" s="146" t="str" cm="1">
        <f t="array" ref="AH192">Common_InputFunctions.Utility_DisplayArrayInTable(Fertiliser_SourceData.Fertiliser_Products_Data4(),FertiliserProducts[[#Headers],[Company]], 91)</f>
        <v/>
      </c>
    </row>
    <row r="193" spans="4:34" ht="20.100000000000001" customHeight="1" x14ac:dyDescent="0.2">
      <c r="D193" s="146" t="str" cm="1">
        <f t="array" ref="D193">Common_InputFunctions.Utility_DisplayArrayInTable(Fertiliser_SourceData.Fertiliser_Products_Data4(),FertiliserProducts[[#Headers],[Company]], 91)</f>
        <v>CSBP</v>
      </c>
      <c r="E193" s="146" t="str" cm="1">
        <f t="array" ref="E193">Common_InputFunctions.Utility_DisplayArrayInTable(Fertiliser_SourceData.Fertiliser_Products_Data4(),FertiliserProducts[[#Headers],[Company]], 91)</f>
        <v>Agflow Extra</v>
      </c>
      <c r="F193" s="146" t="str" cm="1">
        <f t="array" ref="F193">Common_InputFunctions.Utility_DisplayArrayInTable(Fertiliser_SourceData.Fertiliser_Products_Data4(),FertiliserProducts[[#Headers],[Company]], 91)</f>
        <v>kg</v>
      </c>
      <c r="G193" s="146" cm="1">
        <f t="array" ref="G193">Common_InputFunctions.Utility_DisplayArrayInTable(Fertiliser_SourceData.Fertiliser_Products_Data4(),FertiliserProducts[[#Headers],[Company]], 91)</f>
        <v>1</v>
      </c>
      <c r="H193" s="146" t="str" cm="1">
        <f t="array" ref="H193">Common_InputFunctions.Utility_DisplayArrayInTable(Fertiliser_SourceData.Fertiliser_Products_Data4(),FertiliserProducts[[#Headers],[Company]], 91)</f>
        <v/>
      </c>
      <c r="I193" s="146" t="str" cm="1">
        <f t="array" ref="I193">Common_InputFunctions.Utility_DisplayArrayInTable(Fertiliser_SourceData.Fertiliser_Products_Data4(),FertiliserProducts[[#Headers],[Company]], 91)</f>
        <v/>
      </c>
      <c r="J193" s="146" t="str" cm="1">
        <f t="array" ref="J193">Common_InputFunctions.Utility_DisplayArrayInTable(Fertiliser_SourceData.Fertiliser_Products_Data4(),FertiliserProducts[[#Headers],[Company]], 91)</f>
        <v/>
      </c>
      <c r="K193" s="146" cm="1">
        <f t="array" ref="K193">Common_InputFunctions.Utility_DisplayArrayInTable(Fertiliser_SourceData.Fertiliser_Products_Data4(),FertiliserProducts[[#Headers],[Company]], 91)</f>
        <v>11.15</v>
      </c>
      <c r="L193" s="146" cm="1">
        <f t="array" ref="L193">Common_InputFunctions.Utility_DisplayArrayInTable(Fertiliser_SourceData.Fertiliser_Products_Data4(),FertiliserProducts[[#Headers],[Company]], 91)</f>
        <v>17.52</v>
      </c>
      <c r="M193" s="146" t="str" cm="1">
        <f t="array" ref="M193">Common_InputFunctions.Utility_DisplayArrayInTable(Fertiliser_SourceData.Fertiliser_Products_Data4(),FertiliserProducts[[#Headers],[Company]], 91)</f>
        <v/>
      </c>
      <c r="N193" s="146" cm="1">
        <f t="array" ref="N193">Common_InputFunctions.Utility_DisplayArrayInTable(Fertiliser_SourceData.Fertiliser_Products_Data4(),FertiliserProducts[[#Headers],[Company]], 91)</f>
        <v>3.6</v>
      </c>
      <c r="O193" s="146" t="str" cm="1">
        <f t="array" ref="O193">Common_InputFunctions.Utility_DisplayArrayInTable(Fertiliser_SourceData.Fertiliser_Products_Data4(),FertiliserProducts[[#Headers],[Company]], 91)</f>
        <v>Monoammonium phosphate (MAP)</v>
      </c>
      <c r="P193" s="146" cm="1">
        <f t="array" ref="P193">Common_InputFunctions.Utility_DisplayArrayInTable(Fertiliser_SourceData.Fertiliser_Products_Data4(),FertiliserProducts[[#Headers],[Company]], 91)</f>
        <v>0.8</v>
      </c>
      <c r="Q193" s="146" t="str" cm="1">
        <f t="array" ref="Q193">Common_InputFunctions.Utility_DisplayArrayInTable(Fertiliser_SourceData.Fertiliser_Products_Data4(),FertiliserProducts[[#Headers],[Company]], 91)</f>
        <v>Sulphate of ammonia (SOA)</v>
      </c>
      <c r="R193" s="146" cm="1">
        <f t="array" ref="R193">Common_InputFunctions.Utility_DisplayArrayInTable(Fertiliser_SourceData.Fertiliser_Products_Data4(),FertiliserProducts[[#Headers],[Company]], 91)</f>
        <v>0.15</v>
      </c>
      <c r="S193" s="146" t="str" cm="1">
        <f t="array" ref="S193">Common_InputFunctions.Utility_DisplayArrayInTable(Fertiliser_SourceData.Fertiliser_Products_Data4(),FertiliserProducts[[#Headers],[Company]], 91)</f>
        <v>Copper</v>
      </c>
      <c r="T193" s="146" t="str" cm="1">
        <f t="array" ref="T193">Common_InputFunctions.Utility_DisplayArrayInTable(Fertiliser_SourceData.Fertiliser_Products_Data4(),FertiliserProducts[[#Headers],[Company]], 91)</f>
        <v>No data</v>
      </c>
      <c r="U193" s="146" t="str" cm="1">
        <f t="array" ref="U193">Common_InputFunctions.Utility_DisplayArrayInTable(Fertiliser_SourceData.Fertiliser_Products_Data4(),FertiliserProducts[[#Headers],[Company]], 91)</f>
        <v>Molybdenum</v>
      </c>
      <c r="V193" s="146" t="str" cm="1">
        <f t="array" ref="V193">Common_InputFunctions.Utility_DisplayArrayInTable(Fertiliser_SourceData.Fertiliser_Products_Data4(),FertiliserProducts[[#Headers],[Company]], 91)</f>
        <v>No data</v>
      </c>
      <c r="W193" s="146" t="str" cm="1">
        <f t="array" ref="W193">Common_InputFunctions.Utility_DisplayArrayInTable(Fertiliser_SourceData.Fertiliser_Products_Data4(),FertiliserProducts[[#Headers],[Company]], 91)</f>
        <v>Zinc</v>
      </c>
      <c r="X193" s="146" t="str" cm="1">
        <f t="array" ref="X193">Common_InputFunctions.Utility_DisplayArrayInTable(Fertiliser_SourceData.Fertiliser_Products_Data4(),FertiliserProducts[[#Headers],[Company]], 91)</f>
        <v>No data</v>
      </c>
      <c r="Y193" s="146" t="str" cm="1">
        <f t="array" ref="Y193">Common_InputFunctions.Utility_DisplayArrayInTable(Fertiliser_SourceData.Fertiliser_Products_Data4(),FertiliserProducts[[#Headers],[Company]], 91)</f>
        <v/>
      </c>
      <c r="Z193" s="146" t="str" cm="1">
        <f t="array" ref="Z193">Common_InputFunctions.Utility_DisplayArrayInTable(Fertiliser_SourceData.Fertiliser_Products_Data4(),FertiliserProducts[[#Headers],[Company]], 91)</f>
        <v/>
      </c>
      <c r="AA193" s="146" t="str" cm="1">
        <f t="array" ref="AA193">Common_InputFunctions.Utility_DisplayArrayInTable(Fertiliser_SourceData.Fertiliser_Products_Data4(),FertiliserProducts[[#Headers],[Company]], 91)</f>
        <v/>
      </c>
      <c r="AB193" s="146" t="str" cm="1">
        <f t="array" ref="AB193">Common_InputFunctions.Utility_DisplayArrayInTable(Fertiliser_SourceData.Fertiliser_Products_Data4(),FertiliserProducts[[#Headers],[Company]], 91)</f>
        <v/>
      </c>
      <c r="AC193" s="146" t="str" cm="1">
        <f t="array" ref="AC193">Common_InputFunctions.Utility_DisplayArrayInTable(Fertiliser_SourceData.Fertiliser_Products_Data4(),FertiliserProducts[[#Headers],[Company]], 91)</f>
        <v/>
      </c>
      <c r="AD193" s="146" t="str" cm="1">
        <f t="array" ref="AD193">Common_InputFunctions.Utility_DisplayArrayInTable(Fertiliser_SourceData.Fertiliser_Products_Data4(),FertiliserProducts[[#Headers],[Company]], 91)</f>
        <v/>
      </c>
      <c r="AE193" s="146" t="str" cm="1">
        <f t="array" ref="AE193">Common_InputFunctions.Utility_DisplayArrayInTable(Fertiliser_SourceData.Fertiliser_Products_Data4(),FertiliserProducts[[#Headers],[Company]], 91)</f>
        <v/>
      </c>
      <c r="AF193" s="146" t="str" cm="1">
        <f t="array" ref="AF193">Common_InputFunctions.Utility_DisplayArrayInTable(Fertiliser_SourceData.Fertiliser_Products_Data4(),FertiliserProducts[[#Headers],[Company]], 91)</f>
        <v/>
      </c>
      <c r="AG193" s="146" t="str" cm="1">
        <f t="array" ref="AG193">Common_InputFunctions.Utility_DisplayArrayInTable(Fertiliser_SourceData.Fertiliser_Products_Data4(),FertiliserProducts[[#Headers],[Company]], 91)</f>
        <v/>
      </c>
      <c r="AH193" s="146" t="str" cm="1">
        <f t="array" ref="AH193">Common_InputFunctions.Utility_DisplayArrayInTable(Fertiliser_SourceData.Fertiliser_Products_Data4(),FertiliserProducts[[#Headers],[Company]], 91)</f>
        <v/>
      </c>
    </row>
    <row r="194" spans="4:34" ht="20.100000000000001" customHeight="1" x14ac:dyDescent="0.2">
      <c r="D194" s="146" t="str" cm="1">
        <f t="array" ref="D194">Common_InputFunctions.Utility_DisplayArrayInTable(Fertiliser_SourceData.Fertiliser_Products_Data4(),FertiliserProducts[[#Headers],[Company]], 91)</f>
        <v>CSBP</v>
      </c>
      <c r="E194" s="146" t="str" cm="1">
        <f t="array" ref="E194">Common_InputFunctions.Utility_DisplayArrayInTable(Fertiliser_SourceData.Fertiliser_Products_Data4(),FertiliserProducts[[#Headers],[Company]], 91)</f>
        <v>Super &amp; Potash 3:1</v>
      </c>
      <c r="F194" s="146" t="str" cm="1">
        <f t="array" ref="F194">Common_InputFunctions.Utility_DisplayArrayInTable(Fertiliser_SourceData.Fertiliser_Products_Data4(),FertiliserProducts[[#Headers],[Company]], 91)</f>
        <v>kg</v>
      </c>
      <c r="G194" s="146" cm="1">
        <f t="array" ref="G194">Common_InputFunctions.Utility_DisplayArrayInTable(Fertiliser_SourceData.Fertiliser_Products_Data4(),FertiliserProducts[[#Headers],[Company]], 91)</f>
        <v>1</v>
      </c>
      <c r="H194" s="146" t="str" cm="1">
        <f t="array" ref="H194">Common_InputFunctions.Utility_DisplayArrayInTable(Fertiliser_SourceData.Fertiliser_Products_Data4(),FertiliserProducts[[#Headers],[Company]], 91)</f>
        <v/>
      </c>
      <c r="I194" s="146" t="str" cm="1">
        <f t="array" ref="I194">Common_InputFunctions.Utility_DisplayArrayInTable(Fertiliser_SourceData.Fertiliser_Products_Data4(),FertiliserProducts[[#Headers],[Company]], 91)</f>
        <v/>
      </c>
      <c r="J194" s="146" t="str" cm="1">
        <f t="array" ref="J194">Common_InputFunctions.Utility_DisplayArrayInTable(Fertiliser_SourceData.Fertiliser_Products_Data4(),FertiliserProducts[[#Headers],[Company]], 91)</f>
        <v/>
      </c>
      <c r="K194" s="146" t="str" cm="1">
        <f t="array" ref="K194">Common_InputFunctions.Utility_DisplayArrayInTable(Fertiliser_SourceData.Fertiliser_Products_Data4(),FertiliserProducts[[#Headers],[Company]], 91)</f>
        <v/>
      </c>
      <c r="L194" s="146" cm="1">
        <f t="array" ref="L194">Common_InputFunctions.Utility_DisplayArrayInTable(Fertiliser_SourceData.Fertiliser_Products_Data4(),FertiliserProducts[[#Headers],[Company]], 91)</f>
        <v>5.5</v>
      </c>
      <c r="M194" s="146" cm="1">
        <f t="array" ref="M194">Common_InputFunctions.Utility_DisplayArrayInTable(Fertiliser_SourceData.Fertiliser_Products_Data4(),FertiliserProducts[[#Headers],[Company]], 91)</f>
        <v>15</v>
      </c>
      <c r="N194" s="146" cm="1">
        <f t="array" ref="N194">Common_InputFunctions.Utility_DisplayArrayInTable(Fertiliser_SourceData.Fertiliser_Products_Data4(),FertiliserProducts[[#Headers],[Company]], 91)</f>
        <v>6.88</v>
      </c>
      <c r="O194" s="146" t="str" cm="1">
        <f t="array" ref="O194">Common_InputFunctions.Utility_DisplayArrayInTable(Fertiliser_SourceData.Fertiliser_Products_Data4(),FertiliserProducts[[#Headers],[Company]], 91)</f>
        <v>Single superphosphate (SSP)</v>
      </c>
      <c r="P194" s="146" cm="1">
        <f t="array" ref="P194">Common_InputFunctions.Utility_DisplayArrayInTable(Fertiliser_SourceData.Fertiliser_Products_Data4(),FertiliserProducts[[#Headers],[Company]], 91)</f>
        <v>0.625</v>
      </c>
      <c r="Q194" s="146" t="str" cm="1">
        <f t="array" ref="Q194">Common_InputFunctions.Utility_DisplayArrayInTable(Fertiliser_SourceData.Fertiliser_Products_Data4(),FertiliserProducts[[#Headers],[Company]], 91)</f>
        <v>Muriate of potash (MOP)</v>
      </c>
      <c r="R194" s="146" cm="1">
        <f t="array" ref="R194">Common_InputFunctions.Utility_DisplayArrayInTable(Fertiliser_SourceData.Fertiliser_Products_Data4(),FertiliserProducts[[#Headers],[Company]], 91)</f>
        <v>0.3</v>
      </c>
      <c r="S194" s="146" t="str" cm="1">
        <f t="array" ref="S194">Common_InputFunctions.Utility_DisplayArrayInTable(Fertiliser_SourceData.Fertiliser_Products_Data4(),FertiliserProducts[[#Headers],[Company]], 91)</f>
        <v/>
      </c>
      <c r="T194" s="146" t="str" cm="1">
        <f t="array" ref="T194">Common_InputFunctions.Utility_DisplayArrayInTable(Fertiliser_SourceData.Fertiliser_Products_Data4(),FertiliserProducts[[#Headers],[Company]], 91)</f>
        <v/>
      </c>
      <c r="U194" s="146" t="str" cm="1">
        <f t="array" ref="U194">Common_InputFunctions.Utility_DisplayArrayInTable(Fertiliser_SourceData.Fertiliser_Products_Data4(),FertiliserProducts[[#Headers],[Company]], 91)</f>
        <v/>
      </c>
      <c r="V194" s="146" t="str" cm="1">
        <f t="array" ref="V194">Common_InputFunctions.Utility_DisplayArrayInTable(Fertiliser_SourceData.Fertiliser_Products_Data4(),FertiliserProducts[[#Headers],[Company]], 91)</f>
        <v/>
      </c>
      <c r="W194" s="146" t="str" cm="1">
        <f t="array" ref="W194">Common_InputFunctions.Utility_DisplayArrayInTable(Fertiliser_SourceData.Fertiliser_Products_Data4(),FertiliserProducts[[#Headers],[Company]], 91)</f>
        <v/>
      </c>
      <c r="X194" s="146" t="str" cm="1">
        <f t="array" ref="X194">Common_InputFunctions.Utility_DisplayArrayInTable(Fertiliser_SourceData.Fertiliser_Products_Data4(),FertiliserProducts[[#Headers],[Company]], 91)</f>
        <v/>
      </c>
      <c r="Y194" s="146" t="str" cm="1">
        <f t="array" ref="Y194">Common_InputFunctions.Utility_DisplayArrayInTable(Fertiliser_SourceData.Fertiliser_Products_Data4(),FertiliserProducts[[#Headers],[Company]], 91)</f>
        <v/>
      </c>
      <c r="Z194" s="146" t="str" cm="1">
        <f t="array" ref="Z194">Common_InputFunctions.Utility_DisplayArrayInTable(Fertiliser_SourceData.Fertiliser_Products_Data4(),FertiliserProducts[[#Headers],[Company]], 91)</f>
        <v/>
      </c>
      <c r="AA194" s="146" t="str" cm="1">
        <f t="array" ref="AA194">Common_InputFunctions.Utility_DisplayArrayInTable(Fertiliser_SourceData.Fertiliser_Products_Data4(),FertiliserProducts[[#Headers],[Company]], 91)</f>
        <v/>
      </c>
      <c r="AB194" s="146" t="str" cm="1">
        <f t="array" ref="AB194">Common_InputFunctions.Utility_DisplayArrayInTable(Fertiliser_SourceData.Fertiliser_Products_Data4(),FertiliserProducts[[#Headers],[Company]], 91)</f>
        <v/>
      </c>
      <c r="AC194" s="146" t="str" cm="1">
        <f t="array" ref="AC194">Common_InputFunctions.Utility_DisplayArrayInTable(Fertiliser_SourceData.Fertiliser_Products_Data4(),FertiliserProducts[[#Headers],[Company]], 91)</f>
        <v/>
      </c>
      <c r="AD194" s="146" t="str" cm="1">
        <f t="array" ref="AD194">Common_InputFunctions.Utility_DisplayArrayInTable(Fertiliser_SourceData.Fertiliser_Products_Data4(),FertiliserProducts[[#Headers],[Company]], 91)</f>
        <v/>
      </c>
      <c r="AE194" s="146" t="str" cm="1">
        <f t="array" ref="AE194">Common_InputFunctions.Utility_DisplayArrayInTable(Fertiliser_SourceData.Fertiliser_Products_Data4(),FertiliserProducts[[#Headers],[Company]], 91)</f>
        <v/>
      </c>
      <c r="AF194" s="146" t="str" cm="1">
        <f t="array" ref="AF194">Common_InputFunctions.Utility_DisplayArrayInTable(Fertiliser_SourceData.Fertiliser_Products_Data4(),FertiliserProducts[[#Headers],[Company]], 91)</f>
        <v/>
      </c>
      <c r="AG194" s="146" t="str" cm="1">
        <f t="array" ref="AG194">Common_InputFunctions.Utility_DisplayArrayInTable(Fertiliser_SourceData.Fertiliser_Products_Data4(),FertiliserProducts[[#Headers],[Company]], 91)</f>
        <v/>
      </c>
      <c r="AH194" s="146" t="str" cm="1">
        <f t="array" ref="AH194">Common_InputFunctions.Utility_DisplayArrayInTable(Fertiliser_SourceData.Fertiliser_Products_Data4(),FertiliserProducts[[#Headers],[Company]], 91)</f>
        <v/>
      </c>
    </row>
    <row r="195" spans="4:34" ht="20.100000000000001" customHeight="1" x14ac:dyDescent="0.2">
      <c r="D195" s="146" t="str" cm="1">
        <f t="array" ref="D195">Common_InputFunctions.Utility_DisplayArrayInTable(Fertiliser_SourceData.Fertiliser_Products_Data4(),FertiliserProducts[[#Headers],[Company]], 91)</f>
        <v>Yara</v>
      </c>
      <c r="E195" s="146" t="str" cm="1">
        <f t="array" ref="E195">Common_InputFunctions.Utility_DisplayArrayInTable(Fertiliser_SourceData.Fertiliser_Products_Data4(),FertiliserProducts[[#Headers],[Company]], 91)</f>
        <v>YaraBela CAN-27</v>
      </c>
      <c r="F195" s="146" t="str" cm="1">
        <f t="array" ref="F195">Common_InputFunctions.Utility_DisplayArrayInTable(Fertiliser_SourceData.Fertiliser_Products_Data4(),FertiliserProducts[[#Headers],[Company]], 91)</f>
        <v>kg</v>
      </c>
      <c r="G195" s="146" cm="1">
        <f t="array" ref="G195">Common_InputFunctions.Utility_DisplayArrayInTable(Fertiliser_SourceData.Fertiliser_Products_Data4(),FertiliserProducts[[#Headers],[Company]], 91)</f>
        <v>1</v>
      </c>
      <c r="H195" s="146" t="str" cm="1">
        <f t="array" ref="H195">Common_InputFunctions.Utility_DisplayArrayInTable(Fertiliser_SourceData.Fertiliser_Products_Data4(),FertiliserProducts[[#Headers],[Company]], 91)</f>
        <v/>
      </c>
      <c r="I195" s="146" t="str" cm="1">
        <f t="array" ref="I195">Common_InputFunctions.Utility_DisplayArrayInTable(Fertiliser_SourceData.Fertiliser_Products_Data4(),FertiliserProducts[[#Headers],[Company]], 91)</f>
        <v/>
      </c>
      <c r="J195" s="146" t="str" cm="1">
        <f t="array" ref="J195">Common_InputFunctions.Utility_DisplayArrayInTable(Fertiliser_SourceData.Fertiliser_Products_Data4(),FertiliserProducts[[#Headers],[Company]], 91)</f>
        <v/>
      </c>
      <c r="K195" s="146" cm="1">
        <f t="array" ref="K195">Common_InputFunctions.Utility_DisplayArrayInTable(Fertiliser_SourceData.Fertiliser_Products_Data4(),FertiliserProducts[[#Headers],[Company]], 91)</f>
        <v>27</v>
      </c>
      <c r="L195" s="146" t="str" cm="1">
        <f t="array" ref="L195">Common_InputFunctions.Utility_DisplayArrayInTable(Fertiliser_SourceData.Fertiliser_Products_Data4(),FertiliserProducts[[#Headers],[Company]], 91)</f>
        <v/>
      </c>
      <c r="M195" s="146" t="str" cm="1">
        <f t="array" ref="M195">Common_InputFunctions.Utility_DisplayArrayInTable(Fertiliser_SourceData.Fertiliser_Products_Data4(),FertiliserProducts[[#Headers],[Company]], 91)</f>
        <v/>
      </c>
      <c r="N195" s="146" t="str" cm="1">
        <f t="array" ref="N195">Common_InputFunctions.Utility_DisplayArrayInTable(Fertiliser_SourceData.Fertiliser_Products_Data4(),FertiliserProducts[[#Headers],[Company]], 91)</f>
        <v/>
      </c>
      <c r="O195" s="146" t="str" cm="1">
        <f t="array" ref="O195">Common_InputFunctions.Utility_DisplayArrayInTable(Fertiliser_SourceData.Fertiliser_Products_Data4(),FertiliserProducts[[#Headers],[Company]], 91)</f>
        <v>Calcium ammonium nitrate (CAN)</v>
      </c>
      <c r="P195" s="146" cm="1">
        <f t="array" ref="P195">Common_InputFunctions.Utility_DisplayArrayInTable(Fertiliser_SourceData.Fertiliser_Products_Data4(),FertiliserProducts[[#Headers],[Company]], 91)</f>
        <v>1</v>
      </c>
      <c r="Q195" s="146" t="str" cm="1">
        <f t="array" ref="Q195">Common_InputFunctions.Utility_DisplayArrayInTable(Fertiliser_SourceData.Fertiliser_Products_Data4(),FertiliserProducts[[#Headers],[Company]], 91)</f>
        <v/>
      </c>
      <c r="R195" s="146" t="str" cm="1">
        <f t="array" ref="R195">Common_InputFunctions.Utility_DisplayArrayInTable(Fertiliser_SourceData.Fertiliser_Products_Data4(),FertiliserProducts[[#Headers],[Company]], 91)</f>
        <v/>
      </c>
      <c r="S195" s="146" t="str" cm="1">
        <f t="array" ref="S195">Common_InputFunctions.Utility_DisplayArrayInTable(Fertiliser_SourceData.Fertiliser_Products_Data4(),FertiliserProducts[[#Headers],[Company]], 91)</f>
        <v/>
      </c>
      <c r="T195" s="146" t="str" cm="1">
        <f t="array" ref="T195">Common_InputFunctions.Utility_DisplayArrayInTable(Fertiliser_SourceData.Fertiliser_Products_Data4(),FertiliserProducts[[#Headers],[Company]], 91)</f>
        <v/>
      </c>
      <c r="U195" s="146" t="str" cm="1">
        <f t="array" ref="U195">Common_InputFunctions.Utility_DisplayArrayInTable(Fertiliser_SourceData.Fertiliser_Products_Data4(),FertiliserProducts[[#Headers],[Company]], 91)</f>
        <v/>
      </c>
      <c r="V195" s="146" t="str" cm="1">
        <f t="array" ref="V195">Common_InputFunctions.Utility_DisplayArrayInTable(Fertiliser_SourceData.Fertiliser_Products_Data4(),FertiliserProducts[[#Headers],[Company]], 91)</f>
        <v/>
      </c>
      <c r="W195" s="146" t="str" cm="1">
        <f t="array" ref="W195">Common_InputFunctions.Utility_DisplayArrayInTable(Fertiliser_SourceData.Fertiliser_Products_Data4(),FertiliserProducts[[#Headers],[Company]], 91)</f>
        <v/>
      </c>
      <c r="X195" s="146" t="str" cm="1">
        <f t="array" ref="X195">Common_InputFunctions.Utility_DisplayArrayInTable(Fertiliser_SourceData.Fertiliser_Products_Data4(),FertiliserProducts[[#Headers],[Company]], 91)</f>
        <v/>
      </c>
      <c r="Y195" s="146" t="str" cm="1">
        <f t="array" ref="Y195">Common_InputFunctions.Utility_DisplayArrayInTable(Fertiliser_SourceData.Fertiliser_Products_Data4(),FertiliserProducts[[#Headers],[Company]], 91)</f>
        <v/>
      </c>
      <c r="Z195" s="146" t="str" cm="1">
        <f t="array" ref="Z195">Common_InputFunctions.Utility_DisplayArrayInTable(Fertiliser_SourceData.Fertiliser_Products_Data4(),FertiliserProducts[[#Headers],[Company]], 91)</f>
        <v/>
      </c>
      <c r="AA195" s="146" t="str" cm="1">
        <f t="array" ref="AA195">Common_InputFunctions.Utility_DisplayArrayInTable(Fertiliser_SourceData.Fertiliser_Products_Data4(),FertiliserProducts[[#Headers],[Company]], 91)</f>
        <v/>
      </c>
      <c r="AB195" s="146" t="str" cm="1">
        <f t="array" ref="AB195">Common_InputFunctions.Utility_DisplayArrayInTable(Fertiliser_SourceData.Fertiliser_Products_Data4(),FertiliserProducts[[#Headers],[Company]], 91)</f>
        <v/>
      </c>
      <c r="AC195" s="146" t="str" cm="1">
        <f t="array" ref="AC195">Common_InputFunctions.Utility_DisplayArrayInTable(Fertiliser_SourceData.Fertiliser_Products_Data4(),FertiliserProducts[[#Headers],[Company]], 91)</f>
        <v/>
      </c>
      <c r="AD195" s="146" t="str" cm="1">
        <f t="array" ref="AD195">Common_InputFunctions.Utility_DisplayArrayInTable(Fertiliser_SourceData.Fertiliser_Products_Data4(),FertiliserProducts[[#Headers],[Company]], 91)</f>
        <v/>
      </c>
      <c r="AE195" s="146" t="str" cm="1">
        <f t="array" ref="AE195">Common_InputFunctions.Utility_DisplayArrayInTable(Fertiliser_SourceData.Fertiliser_Products_Data4(),FertiliserProducts[[#Headers],[Company]], 91)</f>
        <v/>
      </c>
      <c r="AF195" s="146" t="str" cm="1">
        <f t="array" ref="AF195">Common_InputFunctions.Utility_DisplayArrayInTable(Fertiliser_SourceData.Fertiliser_Products_Data4(),FertiliserProducts[[#Headers],[Company]], 91)</f>
        <v/>
      </c>
      <c r="AG195" s="146" t="str" cm="1">
        <f t="array" ref="AG195">Common_InputFunctions.Utility_DisplayArrayInTable(Fertiliser_SourceData.Fertiliser_Products_Data4(),FertiliserProducts[[#Headers],[Company]], 91)</f>
        <v/>
      </c>
      <c r="AH195" s="146" t="str" cm="1">
        <f t="array" ref="AH195">Common_InputFunctions.Utility_DisplayArrayInTable(Fertiliser_SourceData.Fertiliser_Products_Data4(),FertiliserProducts[[#Headers],[Company]], 91)</f>
        <v/>
      </c>
    </row>
    <row r="196" spans="4:34" ht="20.100000000000001" customHeight="1" x14ac:dyDescent="0.2">
      <c r="D196" s="146" t="str" cm="1">
        <f t="array" ref="D196">Common_InputFunctions.Utility_DisplayArrayInTable(Fertiliser_SourceData.Fertiliser_Products_Data4(),FertiliserProducts[[#Headers],[Company]], 91)</f>
        <v>Incitec Pivot Fertilisers</v>
      </c>
      <c r="E196" s="146" t="str" cm="1">
        <f t="array" ref="E196">Common_InputFunctions.Utility_DisplayArrayInTable(Fertiliser_SourceData.Fertiliser_Products_Data4(),FertiliserProducts[[#Headers],[Company]], 91)</f>
        <v>Cal-Gran Aftergraze</v>
      </c>
      <c r="F196" s="146" t="str" cm="1">
        <f t="array" ref="F196">Common_InputFunctions.Utility_DisplayArrayInTable(Fertiliser_SourceData.Fertiliser_Products_Data4(),FertiliserProducts[[#Headers],[Company]], 91)</f>
        <v>kg</v>
      </c>
      <c r="G196" s="146" cm="1">
        <f t="array" ref="G196">Common_InputFunctions.Utility_DisplayArrayInTable(Fertiliser_SourceData.Fertiliser_Products_Data4(),FertiliserProducts[[#Headers],[Company]], 91)</f>
        <v>1</v>
      </c>
      <c r="H196" s="146" t="str" cm="1">
        <f t="array" ref="H196">Common_InputFunctions.Utility_DisplayArrayInTable(Fertiliser_SourceData.Fertiliser_Products_Data4(),FertiliserProducts[[#Headers],[Company]], 91)</f>
        <v/>
      </c>
      <c r="I196" s="146" t="str" cm="1">
        <f t="array" ref="I196">Common_InputFunctions.Utility_DisplayArrayInTable(Fertiliser_SourceData.Fertiliser_Products_Data4(),FertiliserProducts[[#Headers],[Company]], 91)</f>
        <v/>
      </c>
      <c r="J196" s="146" t="str" cm="1">
        <f t="array" ref="J196">Common_InputFunctions.Utility_DisplayArrayInTable(Fertiliser_SourceData.Fertiliser_Products_Data4(),FertiliserProducts[[#Headers],[Company]], 91)</f>
        <v/>
      </c>
      <c r="K196" s="146" cm="1">
        <f t="array" ref="K196">Common_InputFunctions.Utility_DisplayArrayInTable(Fertiliser_SourceData.Fertiliser_Products_Data4(),FertiliserProducts[[#Headers],[Company]], 91)</f>
        <v>20.6</v>
      </c>
      <c r="L196" s="146" cm="1">
        <f t="array" ref="L196">Common_InputFunctions.Utility_DisplayArrayInTable(Fertiliser_SourceData.Fertiliser_Products_Data4(),FertiliserProducts[[#Headers],[Company]], 91)</f>
        <v>3</v>
      </c>
      <c r="M196" s="146" cm="1">
        <f t="array" ref="M196">Common_InputFunctions.Utility_DisplayArrayInTable(Fertiliser_SourceData.Fertiliser_Products_Data4(),FertiliserProducts[[#Headers],[Company]], 91)</f>
        <v>7.5</v>
      </c>
      <c r="N196" s="146" cm="1">
        <f t="array" ref="N196">Common_InputFunctions.Utility_DisplayArrayInTable(Fertiliser_SourceData.Fertiliser_Products_Data4(),FertiliserProducts[[#Headers],[Company]], 91)</f>
        <v>3.8</v>
      </c>
      <c r="O196" s="146" t="str" cm="1">
        <f t="array" ref="O196">Common_InputFunctions.Utility_DisplayArrayInTable(Fertiliser_SourceData.Fertiliser_Products_Data4(),FertiliserProducts[[#Headers],[Company]], 91)</f>
        <v>Nitrogen - Nitrate</v>
      </c>
      <c r="P196" s="146" cm="1">
        <f t="array" ref="P196">Common_InputFunctions.Utility_DisplayArrayInTable(Fertiliser_SourceData.Fertiliser_Products_Data4(),FertiliserProducts[[#Headers],[Company]], 91)</f>
        <v>6.4000000000000001E-2</v>
      </c>
      <c r="Q196" s="146" t="str" cm="1">
        <f t="array" ref="Q196">Common_InputFunctions.Utility_DisplayArrayInTable(Fertiliser_SourceData.Fertiliser_Products_Data4(),FertiliserProducts[[#Headers],[Company]], 91)</f>
        <v>Nitrogen - Ammoniacal</v>
      </c>
      <c r="R196" s="146" cm="1">
        <f t="array" ref="R196">Common_InputFunctions.Utility_DisplayArrayInTable(Fertiliser_SourceData.Fertiliser_Products_Data4(),FertiliserProducts[[#Headers],[Company]], 91)</f>
        <v>0.14199999999999999</v>
      </c>
      <c r="S196" s="146" t="str" cm="1">
        <f t="array" ref="S196">Common_InputFunctions.Utility_DisplayArrayInTable(Fertiliser_SourceData.Fertiliser_Products_Data4(),FertiliserProducts[[#Headers],[Company]], 91)</f>
        <v>Phosphorus - Generic</v>
      </c>
      <c r="T196" s="146" cm="1">
        <f t="array" ref="T196">Common_InputFunctions.Utility_DisplayArrayInTable(Fertiliser_SourceData.Fertiliser_Products_Data4(),FertiliserProducts[[#Headers],[Company]], 91)</f>
        <v>0.03</v>
      </c>
      <c r="U196" s="146" t="str" cm="1">
        <f t="array" ref="U196">Common_InputFunctions.Utility_DisplayArrayInTable(Fertiliser_SourceData.Fertiliser_Products_Data4(),FertiliserProducts[[#Headers],[Company]], 91)</f>
        <v>Potassium - Generic</v>
      </c>
      <c r="V196" s="146" cm="1">
        <f t="array" ref="V196">Common_InputFunctions.Utility_DisplayArrayInTable(Fertiliser_SourceData.Fertiliser_Products_Data4(),FertiliserProducts[[#Headers],[Company]], 91)</f>
        <v>7.4999999999999997E-2</v>
      </c>
      <c r="W196" s="146" t="str" cm="1">
        <f t="array" ref="W196">Common_InputFunctions.Utility_DisplayArrayInTable(Fertiliser_SourceData.Fertiliser_Products_Data4(),FertiliserProducts[[#Headers],[Company]], 91)</f>
        <v>Sulfur - Generic</v>
      </c>
      <c r="X196" s="146" cm="1">
        <f t="array" ref="X196">Common_InputFunctions.Utility_DisplayArrayInTable(Fertiliser_SourceData.Fertiliser_Products_Data4(),FertiliserProducts[[#Headers],[Company]], 91)</f>
        <v>3.7999999999999999E-2</v>
      </c>
      <c r="Y196" s="146" t="str" cm="1">
        <f t="array" ref="Y196">Common_InputFunctions.Utility_DisplayArrayInTable(Fertiliser_SourceData.Fertiliser_Products_Data4(),FertiliserProducts[[#Headers],[Company]], 91)</f>
        <v>Calcium</v>
      </c>
      <c r="Z196" s="146" cm="1">
        <f t="array" ref="Z196">Common_InputFunctions.Utility_DisplayArrayInTable(Fertiliser_SourceData.Fertiliser_Products_Data4(),FertiliserProducts[[#Headers],[Company]], 91)</f>
        <v>4.3999999999999997E-2</v>
      </c>
      <c r="AA196" s="146" t="str" cm="1">
        <f t="array" ref="AA196">Common_InputFunctions.Utility_DisplayArrayInTable(Fertiliser_SourceData.Fertiliser_Products_Data4(),FertiliserProducts[[#Headers],[Company]], 91)</f>
        <v/>
      </c>
      <c r="AB196" s="146" t="str" cm="1">
        <f t="array" ref="AB196">Common_InputFunctions.Utility_DisplayArrayInTable(Fertiliser_SourceData.Fertiliser_Products_Data4(),FertiliserProducts[[#Headers],[Company]], 91)</f>
        <v/>
      </c>
      <c r="AC196" s="146" t="str" cm="1">
        <f t="array" ref="AC196">Common_InputFunctions.Utility_DisplayArrayInTable(Fertiliser_SourceData.Fertiliser_Products_Data4(),FertiliserProducts[[#Headers],[Company]], 91)</f>
        <v/>
      </c>
      <c r="AD196" s="146" t="str" cm="1">
        <f t="array" ref="AD196">Common_InputFunctions.Utility_DisplayArrayInTable(Fertiliser_SourceData.Fertiliser_Products_Data4(),FertiliserProducts[[#Headers],[Company]], 91)</f>
        <v/>
      </c>
      <c r="AE196" s="146" t="str" cm="1">
        <f t="array" ref="AE196">Common_InputFunctions.Utility_DisplayArrayInTable(Fertiliser_SourceData.Fertiliser_Products_Data4(),FertiliserProducts[[#Headers],[Company]], 91)</f>
        <v/>
      </c>
      <c r="AF196" s="146" t="str" cm="1">
        <f t="array" ref="AF196">Common_InputFunctions.Utility_DisplayArrayInTable(Fertiliser_SourceData.Fertiliser_Products_Data4(),FertiliserProducts[[#Headers],[Company]], 91)</f>
        <v/>
      </c>
      <c r="AG196" s="146" t="str" cm="1">
        <f t="array" ref="AG196">Common_InputFunctions.Utility_DisplayArrayInTable(Fertiliser_SourceData.Fertiliser_Products_Data4(),FertiliserProducts[[#Headers],[Company]], 91)</f>
        <v/>
      </c>
      <c r="AH196" s="146" t="str" cm="1">
        <f t="array" ref="AH196">Common_InputFunctions.Utility_DisplayArrayInTable(Fertiliser_SourceData.Fertiliser_Products_Data4(),FertiliserProducts[[#Headers],[Company]], 91)</f>
        <v/>
      </c>
    </row>
    <row r="197" spans="4:34" ht="20.100000000000001" customHeight="1" x14ac:dyDescent="0.2">
      <c r="D197" s="146" t="str" cm="1">
        <f t="array" ref="D197">Common_InputFunctions.Utility_DisplayArrayInTable(Fertiliser_SourceData.Fertiliser_Products_Data4(),FertiliserProducts[[#Headers],[Company]], 91)</f>
        <v>Incitec Pivot Fertilisers</v>
      </c>
      <c r="E197" s="146" t="str" cm="1">
        <f t="array" ref="E197">Common_InputFunctions.Utility_DisplayArrayInTable(Fertiliser_SourceData.Fertiliser_Products_Data4(),FertiliserProducts[[#Headers],[Company]], 91)</f>
        <v>Cal-Gran Prodress</v>
      </c>
      <c r="F197" s="146" t="str" cm="1">
        <f t="array" ref="F197">Common_InputFunctions.Utility_DisplayArrayInTable(Fertiliser_SourceData.Fertiliser_Products_Data4(),FertiliserProducts[[#Headers],[Company]], 91)</f>
        <v>kg</v>
      </c>
      <c r="G197" s="146" cm="1">
        <f t="array" ref="G197">Common_InputFunctions.Utility_DisplayArrayInTable(Fertiliser_SourceData.Fertiliser_Products_Data4(),FertiliserProducts[[#Headers],[Company]], 91)</f>
        <v>1</v>
      </c>
      <c r="H197" s="146" t="str" cm="1">
        <f t="array" ref="H197">Common_InputFunctions.Utility_DisplayArrayInTable(Fertiliser_SourceData.Fertiliser_Products_Data4(),FertiliserProducts[[#Headers],[Company]], 91)</f>
        <v/>
      </c>
      <c r="I197" s="146" t="str" cm="1">
        <f t="array" ref="I197">Common_InputFunctions.Utility_DisplayArrayInTable(Fertiliser_SourceData.Fertiliser_Products_Data4(),FertiliserProducts[[#Headers],[Company]], 91)</f>
        <v/>
      </c>
      <c r="J197" s="146" t="str" cm="1">
        <f t="array" ref="J197">Common_InputFunctions.Utility_DisplayArrayInTable(Fertiliser_SourceData.Fertiliser_Products_Data4(),FertiliserProducts[[#Headers],[Company]], 91)</f>
        <v/>
      </c>
      <c r="K197" s="146" cm="1">
        <f t="array" ref="K197">Common_InputFunctions.Utility_DisplayArrayInTable(Fertiliser_SourceData.Fertiliser_Products_Data4(),FertiliserProducts[[#Headers],[Company]], 91)</f>
        <v>17.8</v>
      </c>
      <c r="L197" s="146" cm="1">
        <f t="array" ref="L197">Common_InputFunctions.Utility_DisplayArrayInTable(Fertiliser_SourceData.Fertiliser_Products_Data4(),FertiliserProducts[[#Headers],[Company]], 91)</f>
        <v>1</v>
      </c>
      <c r="M197" s="146" cm="1">
        <f t="array" ref="M197">Common_InputFunctions.Utility_DisplayArrayInTable(Fertiliser_SourceData.Fertiliser_Products_Data4(),FertiliserProducts[[#Headers],[Company]], 91)</f>
        <v>15</v>
      </c>
      <c r="N197" s="146" cm="1">
        <f t="array" ref="N197">Common_InputFunctions.Utility_DisplayArrayInTable(Fertiliser_SourceData.Fertiliser_Products_Data4(),FertiliserProducts[[#Headers],[Company]], 91)</f>
        <v>2.5</v>
      </c>
      <c r="O197" s="146" t="str" cm="1">
        <f t="array" ref="O197">Common_InputFunctions.Utility_DisplayArrayInTable(Fertiliser_SourceData.Fertiliser_Products_Data4(),FertiliserProducts[[#Headers],[Company]], 91)</f>
        <v>Nitrogen - Nitrate</v>
      </c>
      <c r="P197" s="146" cm="1">
        <f t="array" ref="P197">Common_InputFunctions.Utility_DisplayArrayInTable(Fertiliser_SourceData.Fertiliser_Products_Data4(),FertiliserProducts[[#Headers],[Company]], 91)</f>
        <v>5.5E-2</v>
      </c>
      <c r="Q197" s="146" t="str" cm="1">
        <f t="array" ref="Q197">Common_InputFunctions.Utility_DisplayArrayInTable(Fertiliser_SourceData.Fertiliser_Products_Data4(),FertiliserProducts[[#Headers],[Company]], 91)</f>
        <v>Nitrogen - Ammoniacal</v>
      </c>
      <c r="R197" s="146" cm="1">
        <f t="array" ref="R197">Common_InputFunctions.Utility_DisplayArrayInTable(Fertiliser_SourceData.Fertiliser_Products_Data4(),FertiliserProducts[[#Headers],[Company]], 91)</f>
        <v>0.123</v>
      </c>
      <c r="S197" s="146" t="str" cm="1">
        <f t="array" ref="S197">Common_InputFunctions.Utility_DisplayArrayInTable(Fertiliser_SourceData.Fertiliser_Products_Data4(),FertiliserProducts[[#Headers],[Company]], 91)</f>
        <v>Phosphorus - Generic</v>
      </c>
      <c r="T197" s="146" cm="1">
        <f t="array" ref="T197">Common_InputFunctions.Utility_DisplayArrayInTable(Fertiliser_SourceData.Fertiliser_Products_Data4(),FertiliserProducts[[#Headers],[Company]], 91)</f>
        <v>0.01</v>
      </c>
      <c r="U197" s="146" t="str" cm="1">
        <f t="array" ref="U197">Common_InputFunctions.Utility_DisplayArrayInTable(Fertiliser_SourceData.Fertiliser_Products_Data4(),FertiliserProducts[[#Headers],[Company]], 91)</f>
        <v>Potassium - Generic</v>
      </c>
      <c r="V197" s="146" cm="1">
        <f t="array" ref="V197">Common_InputFunctions.Utility_DisplayArrayInTable(Fertiliser_SourceData.Fertiliser_Products_Data4(),FertiliserProducts[[#Headers],[Company]], 91)</f>
        <v>0.15</v>
      </c>
      <c r="W197" s="146" t="str" cm="1">
        <f t="array" ref="W197">Common_InputFunctions.Utility_DisplayArrayInTable(Fertiliser_SourceData.Fertiliser_Products_Data4(),FertiliserProducts[[#Headers],[Company]], 91)</f>
        <v>Sulfur - Generic</v>
      </c>
      <c r="X197" s="146" cm="1">
        <f t="array" ref="X197">Common_InputFunctions.Utility_DisplayArrayInTable(Fertiliser_SourceData.Fertiliser_Products_Data4(),FertiliserProducts[[#Headers],[Company]], 91)</f>
        <v>2.5000000000000001E-2</v>
      </c>
      <c r="Y197" s="146" t="str" cm="1">
        <f t="array" ref="Y197">Common_InputFunctions.Utility_DisplayArrayInTable(Fertiliser_SourceData.Fertiliser_Products_Data4(),FertiliserProducts[[#Headers],[Company]], 91)</f>
        <v>Calcium</v>
      </c>
      <c r="Z197" s="146" cm="1">
        <f t="array" ref="Z197">Common_InputFunctions.Utility_DisplayArrayInTable(Fertiliser_SourceData.Fertiliser_Products_Data4(),FertiliserProducts[[#Headers],[Company]], 91)</f>
        <v>4.3999999999999997E-2</v>
      </c>
      <c r="AA197" s="146" t="str" cm="1">
        <f t="array" ref="AA197">Common_InputFunctions.Utility_DisplayArrayInTable(Fertiliser_SourceData.Fertiliser_Products_Data4(),FertiliserProducts[[#Headers],[Company]], 91)</f>
        <v/>
      </c>
      <c r="AB197" s="146" t="str" cm="1">
        <f t="array" ref="AB197">Common_InputFunctions.Utility_DisplayArrayInTable(Fertiliser_SourceData.Fertiliser_Products_Data4(),FertiliserProducts[[#Headers],[Company]], 91)</f>
        <v/>
      </c>
      <c r="AC197" s="146" t="str" cm="1">
        <f t="array" ref="AC197">Common_InputFunctions.Utility_DisplayArrayInTable(Fertiliser_SourceData.Fertiliser_Products_Data4(),FertiliserProducts[[#Headers],[Company]], 91)</f>
        <v/>
      </c>
      <c r="AD197" s="146" t="str" cm="1">
        <f t="array" ref="AD197">Common_InputFunctions.Utility_DisplayArrayInTable(Fertiliser_SourceData.Fertiliser_Products_Data4(),FertiliserProducts[[#Headers],[Company]], 91)</f>
        <v/>
      </c>
      <c r="AE197" s="146" t="str" cm="1">
        <f t="array" ref="AE197">Common_InputFunctions.Utility_DisplayArrayInTable(Fertiliser_SourceData.Fertiliser_Products_Data4(),FertiliserProducts[[#Headers],[Company]], 91)</f>
        <v/>
      </c>
      <c r="AF197" s="146" t="str" cm="1">
        <f t="array" ref="AF197">Common_InputFunctions.Utility_DisplayArrayInTable(Fertiliser_SourceData.Fertiliser_Products_Data4(),FertiliserProducts[[#Headers],[Company]], 91)</f>
        <v/>
      </c>
      <c r="AG197" s="146" t="str" cm="1">
        <f t="array" ref="AG197">Common_InputFunctions.Utility_DisplayArrayInTable(Fertiliser_SourceData.Fertiliser_Products_Data4(),FertiliserProducts[[#Headers],[Company]], 91)</f>
        <v/>
      </c>
      <c r="AH197" s="146" t="str" cm="1">
        <f t="array" ref="AH197">Common_InputFunctions.Utility_DisplayArrayInTable(Fertiliser_SourceData.Fertiliser_Products_Data4(),FertiliserProducts[[#Headers],[Company]], 91)</f>
        <v/>
      </c>
    </row>
    <row r="198" spans="4:34" ht="20.100000000000001" customHeight="1" x14ac:dyDescent="0.2">
      <c r="D198" s="146" t="str" cm="1">
        <f t="array" ref="D198">Common_InputFunctions.Utility_DisplayArrayInTable(Fertiliser_SourceData.Fertiliser_Products_Data4(),FertiliserProducts[[#Headers],[Company]], 91)</f>
        <v>Wengfu Australia</v>
      </c>
      <c r="E198" s="146" t="str" cm="1">
        <f t="array" ref="E198">Common_InputFunctions.Utility_DisplayArrayInTable(Fertiliser_SourceData.Fertiliser_Products_Data4(),FertiliserProducts[[#Headers],[Company]], 91)</f>
        <v>Wengfu PrimeZinc 10</v>
      </c>
      <c r="F198" s="146" t="str" cm="1">
        <f t="array" ref="F198">Common_InputFunctions.Utility_DisplayArrayInTable(Fertiliser_SourceData.Fertiliser_Products_Data4(),FertiliserProducts[[#Headers],[Company]], 91)</f>
        <v>kg</v>
      </c>
      <c r="G198" s="146" cm="1">
        <f t="array" ref="G198">Common_InputFunctions.Utility_DisplayArrayInTable(Fertiliser_SourceData.Fertiliser_Products_Data4(),FertiliserProducts[[#Headers],[Company]], 91)</f>
        <v>1</v>
      </c>
      <c r="H198" s="146" t="str" cm="1">
        <f t="array" ref="H198">Common_InputFunctions.Utility_DisplayArrayInTable(Fertiliser_SourceData.Fertiliser_Products_Data4(),FertiliserProducts[[#Headers],[Company]], 91)</f>
        <v/>
      </c>
      <c r="I198" s="146" t="str" cm="1">
        <f t="array" ref="I198">Common_InputFunctions.Utility_DisplayArrayInTable(Fertiliser_SourceData.Fertiliser_Products_Data4(),FertiliserProducts[[#Headers],[Company]], 91)</f>
        <v/>
      </c>
      <c r="J198" s="146" t="str" cm="1">
        <f t="array" ref="J198">Common_InputFunctions.Utility_DisplayArrayInTable(Fertiliser_SourceData.Fertiliser_Products_Data4(),FertiliserProducts[[#Headers],[Company]], 91)</f>
        <v/>
      </c>
      <c r="K198" s="146" cm="1">
        <f t="array" ref="K198">Common_InputFunctions.Utility_DisplayArrayInTable(Fertiliser_SourceData.Fertiliser_Products_Data4(),FertiliserProducts[[#Headers],[Company]], 91)</f>
        <v>10</v>
      </c>
      <c r="L198" s="146" cm="1">
        <f t="array" ref="L198">Common_InputFunctions.Utility_DisplayArrayInTable(Fertiliser_SourceData.Fertiliser_Products_Data4(),FertiliserProducts[[#Headers],[Company]], 91)</f>
        <v>22</v>
      </c>
      <c r="M198" s="146" t="str" cm="1">
        <f t="array" ref="M198">Common_InputFunctions.Utility_DisplayArrayInTable(Fertiliser_SourceData.Fertiliser_Products_Data4(),FertiliserProducts[[#Headers],[Company]], 91)</f>
        <v/>
      </c>
      <c r="N198" s="146" cm="1">
        <f t="array" ref="N198">Common_InputFunctions.Utility_DisplayArrayInTable(Fertiliser_SourceData.Fertiliser_Products_Data4(),FertiliserProducts[[#Headers],[Company]], 91)</f>
        <v>1.5</v>
      </c>
      <c r="O198" s="146" t="str" cm="1">
        <f t="array" ref="O198">Common_InputFunctions.Utility_DisplayArrayInTable(Fertiliser_SourceData.Fertiliser_Products_Data4(),FertiliserProducts[[#Headers],[Company]], 91)</f>
        <v>Nitrogen - Generic</v>
      </c>
      <c r="P198" s="146" cm="1">
        <f t="array" ref="P198">Common_InputFunctions.Utility_DisplayArrayInTable(Fertiliser_SourceData.Fertiliser_Products_Data4(),FertiliserProducts[[#Headers],[Company]], 91)</f>
        <v>0.1</v>
      </c>
      <c r="Q198" s="146" t="str" cm="1">
        <f t="array" ref="Q198">Common_InputFunctions.Utility_DisplayArrayInTable(Fertiliser_SourceData.Fertiliser_Products_Data4(),FertiliserProducts[[#Headers],[Company]], 91)</f>
        <v>Phosphorus - Generic</v>
      </c>
      <c r="R198" s="146" cm="1">
        <f t="array" ref="R198">Common_InputFunctions.Utility_DisplayArrayInTable(Fertiliser_SourceData.Fertiliser_Products_Data4(),FertiliserProducts[[#Headers],[Company]], 91)</f>
        <v>0.22</v>
      </c>
      <c r="S198" s="146" t="str" cm="1">
        <f t="array" ref="S198">Common_InputFunctions.Utility_DisplayArrayInTable(Fertiliser_SourceData.Fertiliser_Products_Data4(),FertiliserProducts[[#Headers],[Company]], 91)</f>
        <v>Sulfur - Generic</v>
      </c>
      <c r="T198" s="146" cm="1">
        <f t="array" ref="T198">Common_InputFunctions.Utility_DisplayArrayInTable(Fertiliser_SourceData.Fertiliser_Products_Data4(),FertiliserProducts[[#Headers],[Company]], 91)</f>
        <v>1.4999999999999999E-2</v>
      </c>
      <c r="U198" s="146" t="str" cm="1">
        <f t="array" ref="U198">Common_InputFunctions.Utility_DisplayArrayInTable(Fertiliser_SourceData.Fertiliser_Products_Data4(),FertiliserProducts[[#Headers],[Company]], 91)</f>
        <v>Zinc</v>
      </c>
      <c r="V198" s="146" cm="1">
        <f t="array" ref="V198">Common_InputFunctions.Utility_DisplayArrayInTable(Fertiliser_SourceData.Fertiliser_Products_Data4(),FertiliserProducts[[#Headers],[Company]], 91)</f>
        <v>0.01</v>
      </c>
      <c r="W198" s="146" t="str" cm="1">
        <f t="array" ref="W198">Common_InputFunctions.Utility_DisplayArrayInTable(Fertiliser_SourceData.Fertiliser_Products_Data4(),FertiliserProducts[[#Headers],[Company]], 91)</f>
        <v/>
      </c>
      <c r="X198" s="146" t="str" cm="1">
        <f t="array" ref="X198">Common_InputFunctions.Utility_DisplayArrayInTable(Fertiliser_SourceData.Fertiliser_Products_Data4(),FertiliserProducts[[#Headers],[Company]], 91)</f>
        <v/>
      </c>
      <c r="Y198" s="146" t="str" cm="1">
        <f t="array" ref="Y198">Common_InputFunctions.Utility_DisplayArrayInTable(Fertiliser_SourceData.Fertiliser_Products_Data4(),FertiliserProducts[[#Headers],[Company]], 91)</f>
        <v/>
      </c>
      <c r="Z198" s="146" t="str" cm="1">
        <f t="array" ref="Z198">Common_InputFunctions.Utility_DisplayArrayInTable(Fertiliser_SourceData.Fertiliser_Products_Data4(),FertiliserProducts[[#Headers],[Company]], 91)</f>
        <v/>
      </c>
      <c r="AA198" s="146" t="str" cm="1">
        <f t="array" ref="AA198">Common_InputFunctions.Utility_DisplayArrayInTable(Fertiliser_SourceData.Fertiliser_Products_Data4(),FertiliserProducts[[#Headers],[Company]], 91)</f>
        <v/>
      </c>
      <c r="AB198" s="146" t="str" cm="1">
        <f t="array" ref="AB198">Common_InputFunctions.Utility_DisplayArrayInTable(Fertiliser_SourceData.Fertiliser_Products_Data4(),FertiliserProducts[[#Headers],[Company]], 91)</f>
        <v/>
      </c>
      <c r="AC198" s="146" t="str" cm="1">
        <f t="array" ref="AC198">Common_InputFunctions.Utility_DisplayArrayInTable(Fertiliser_SourceData.Fertiliser_Products_Data4(),FertiliserProducts[[#Headers],[Company]], 91)</f>
        <v/>
      </c>
      <c r="AD198" s="146" t="str" cm="1">
        <f t="array" ref="AD198">Common_InputFunctions.Utility_DisplayArrayInTable(Fertiliser_SourceData.Fertiliser_Products_Data4(),FertiliserProducts[[#Headers],[Company]], 91)</f>
        <v/>
      </c>
      <c r="AE198" s="146" t="str" cm="1">
        <f t="array" ref="AE198">Common_InputFunctions.Utility_DisplayArrayInTable(Fertiliser_SourceData.Fertiliser_Products_Data4(),FertiliserProducts[[#Headers],[Company]], 91)</f>
        <v/>
      </c>
      <c r="AF198" s="146" t="str" cm="1">
        <f t="array" ref="AF198">Common_InputFunctions.Utility_DisplayArrayInTable(Fertiliser_SourceData.Fertiliser_Products_Data4(),FertiliserProducts[[#Headers],[Company]], 91)</f>
        <v/>
      </c>
      <c r="AG198" s="146" t="str" cm="1">
        <f t="array" ref="AG198">Common_InputFunctions.Utility_DisplayArrayInTable(Fertiliser_SourceData.Fertiliser_Products_Data4(),FertiliserProducts[[#Headers],[Company]], 91)</f>
        <v/>
      </c>
      <c r="AH198" s="146" t="str" cm="1">
        <f t="array" ref="AH198">Common_InputFunctions.Utility_DisplayArrayInTable(Fertiliser_SourceData.Fertiliser_Products_Data4(),FertiliserProducts[[#Headers],[Company]], 91)</f>
        <v/>
      </c>
    </row>
    <row r="199" spans="4:34" ht="20.100000000000001" customHeight="1" x14ac:dyDescent="0.2">
      <c r="D199" s="146" t="str" cm="1">
        <f t="array" ref="D199">Common_InputFunctions.Utility_DisplayArrayInTable(Fertiliser_SourceData.Fertiliser_Products_Data4(),FertiliserProducts[[#Headers],[Company]], 91)</f>
        <v>Wengfu Australia</v>
      </c>
      <c r="E199" s="146" t="str" cm="1">
        <f t="array" ref="E199">Common_InputFunctions.Utility_DisplayArrayInTable(Fertiliser_SourceData.Fertiliser_Products_Data4(),FertiliserProducts[[#Headers],[Company]], 91)</f>
        <v>Wengfu Pasture King</v>
      </c>
      <c r="F199" s="146" t="str" cm="1">
        <f t="array" ref="F199">Common_InputFunctions.Utility_DisplayArrayInTable(Fertiliser_SourceData.Fertiliser_Products_Data4(),FertiliserProducts[[#Headers],[Company]], 91)</f>
        <v>kg</v>
      </c>
      <c r="G199" s="146" cm="1">
        <f t="array" ref="G199">Common_InputFunctions.Utility_DisplayArrayInTable(Fertiliser_SourceData.Fertiliser_Products_Data4(),FertiliserProducts[[#Headers],[Company]], 91)</f>
        <v>1</v>
      </c>
      <c r="H199" s="146" t="str" cm="1">
        <f t="array" ref="H199">Common_InputFunctions.Utility_DisplayArrayInTable(Fertiliser_SourceData.Fertiliser_Products_Data4(),FertiliserProducts[[#Headers],[Company]], 91)</f>
        <v/>
      </c>
      <c r="I199" s="146" t="str" cm="1">
        <f t="array" ref="I199">Common_InputFunctions.Utility_DisplayArrayInTable(Fertiliser_SourceData.Fertiliser_Products_Data4(),FertiliserProducts[[#Headers],[Company]], 91)</f>
        <v/>
      </c>
      <c r="J199" s="146" t="str" cm="1">
        <f t="array" ref="J199">Common_InputFunctions.Utility_DisplayArrayInTable(Fertiliser_SourceData.Fertiliser_Products_Data4(),FertiliserProducts[[#Headers],[Company]], 91)</f>
        <v/>
      </c>
      <c r="K199" s="146" t="str" cm="1">
        <f t="array" ref="K199">Common_InputFunctions.Utility_DisplayArrayInTable(Fertiliser_SourceData.Fertiliser_Products_Data4(),FertiliserProducts[[#Headers],[Company]], 91)</f>
        <v/>
      </c>
      <c r="L199" s="146" cm="1">
        <f t="array" ref="L199">Common_InputFunctions.Utility_DisplayArrayInTable(Fertiliser_SourceData.Fertiliser_Products_Data4(),FertiliserProducts[[#Headers],[Company]], 91)</f>
        <v>15.7</v>
      </c>
      <c r="M199" s="146" t="str" cm="1">
        <f t="array" ref="M199">Common_InputFunctions.Utility_DisplayArrayInTable(Fertiliser_SourceData.Fertiliser_Products_Data4(),FertiliserProducts[[#Headers],[Company]], 91)</f>
        <v/>
      </c>
      <c r="N199" s="146" cm="1">
        <f t="array" ref="N199">Common_InputFunctions.Utility_DisplayArrayInTable(Fertiliser_SourceData.Fertiliser_Products_Data4(),FertiliserProducts[[#Headers],[Company]], 91)</f>
        <v>4.5999999999999996</v>
      </c>
      <c r="O199" s="146" t="str" cm="1">
        <f t="array" ref="O199">Common_InputFunctions.Utility_DisplayArrayInTable(Fertiliser_SourceData.Fertiliser_Products_Data4(),FertiliserProducts[[#Headers],[Company]], 91)</f>
        <v>Phosphorus - Generic</v>
      </c>
      <c r="P199" s="146" cm="1">
        <f t="array" ref="P199">Common_InputFunctions.Utility_DisplayArrayInTable(Fertiliser_SourceData.Fertiliser_Products_Data4(),FertiliserProducts[[#Headers],[Company]], 91)</f>
        <v>0.157</v>
      </c>
      <c r="Q199" s="146" t="str" cm="1">
        <f t="array" ref="Q199">Common_InputFunctions.Utility_DisplayArrayInTable(Fertiliser_SourceData.Fertiliser_Products_Data4(),FertiliserProducts[[#Headers],[Company]], 91)</f>
        <v>Sulfur - Generic</v>
      </c>
      <c r="R199" s="146" cm="1">
        <f t="array" ref="R199">Common_InputFunctions.Utility_DisplayArrayInTable(Fertiliser_SourceData.Fertiliser_Products_Data4(),FertiliserProducts[[#Headers],[Company]], 91)</f>
        <v>4.5999999999999999E-2</v>
      </c>
      <c r="S199" s="146" t="str" cm="1">
        <f t="array" ref="S199">Common_InputFunctions.Utility_DisplayArrayInTable(Fertiliser_SourceData.Fertiliser_Products_Data4(),FertiliserProducts[[#Headers],[Company]], 91)</f>
        <v>Calcium</v>
      </c>
      <c r="T199" s="146" cm="1">
        <f t="array" ref="T199">Common_InputFunctions.Utility_DisplayArrayInTable(Fertiliser_SourceData.Fertiliser_Products_Data4(),FertiliserProducts[[#Headers],[Company]], 91)</f>
        <v>0.14000000000000001</v>
      </c>
      <c r="U199" s="146" t="str" cm="1">
        <f t="array" ref="U199">Common_InputFunctions.Utility_DisplayArrayInTable(Fertiliser_SourceData.Fertiliser_Products_Data4(),FertiliserProducts[[#Headers],[Company]], 91)</f>
        <v/>
      </c>
      <c r="V199" s="146" t="str" cm="1">
        <f t="array" ref="V199">Common_InputFunctions.Utility_DisplayArrayInTable(Fertiliser_SourceData.Fertiliser_Products_Data4(),FertiliserProducts[[#Headers],[Company]], 91)</f>
        <v/>
      </c>
      <c r="W199" s="146" t="str" cm="1">
        <f t="array" ref="W199">Common_InputFunctions.Utility_DisplayArrayInTable(Fertiliser_SourceData.Fertiliser_Products_Data4(),FertiliserProducts[[#Headers],[Company]], 91)</f>
        <v/>
      </c>
      <c r="X199" s="146" t="str" cm="1">
        <f t="array" ref="X199">Common_InputFunctions.Utility_DisplayArrayInTable(Fertiliser_SourceData.Fertiliser_Products_Data4(),FertiliserProducts[[#Headers],[Company]], 91)</f>
        <v/>
      </c>
      <c r="Y199" s="146" t="str" cm="1">
        <f t="array" ref="Y199">Common_InputFunctions.Utility_DisplayArrayInTable(Fertiliser_SourceData.Fertiliser_Products_Data4(),FertiliserProducts[[#Headers],[Company]], 91)</f>
        <v/>
      </c>
      <c r="Z199" s="146" t="str" cm="1">
        <f t="array" ref="Z199">Common_InputFunctions.Utility_DisplayArrayInTable(Fertiliser_SourceData.Fertiliser_Products_Data4(),FertiliserProducts[[#Headers],[Company]], 91)</f>
        <v/>
      </c>
      <c r="AA199" s="146" t="str" cm="1">
        <f t="array" ref="AA199">Common_InputFunctions.Utility_DisplayArrayInTable(Fertiliser_SourceData.Fertiliser_Products_Data4(),FertiliserProducts[[#Headers],[Company]], 91)</f>
        <v/>
      </c>
      <c r="AB199" s="146" t="str" cm="1">
        <f t="array" ref="AB199">Common_InputFunctions.Utility_DisplayArrayInTable(Fertiliser_SourceData.Fertiliser_Products_Data4(),FertiliserProducts[[#Headers],[Company]], 91)</f>
        <v/>
      </c>
      <c r="AC199" s="146" t="str" cm="1">
        <f t="array" ref="AC199">Common_InputFunctions.Utility_DisplayArrayInTable(Fertiliser_SourceData.Fertiliser_Products_Data4(),FertiliserProducts[[#Headers],[Company]], 91)</f>
        <v/>
      </c>
      <c r="AD199" s="146" t="str" cm="1">
        <f t="array" ref="AD199">Common_InputFunctions.Utility_DisplayArrayInTable(Fertiliser_SourceData.Fertiliser_Products_Data4(),FertiliserProducts[[#Headers],[Company]], 91)</f>
        <v/>
      </c>
      <c r="AE199" s="146" t="str" cm="1">
        <f t="array" ref="AE199">Common_InputFunctions.Utility_DisplayArrayInTable(Fertiliser_SourceData.Fertiliser_Products_Data4(),FertiliserProducts[[#Headers],[Company]], 91)</f>
        <v/>
      </c>
      <c r="AF199" s="146" t="str" cm="1">
        <f t="array" ref="AF199">Common_InputFunctions.Utility_DisplayArrayInTable(Fertiliser_SourceData.Fertiliser_Products_Data4(),FertiliserProducts[[#Headers],[Company]], 91)</f>
        <v/>
      </c>
      <c r="AG199" s="146" t="str" cm="1">
        <f t="array" ref="AG199">Common_InputFunctions.Utility_DisplayArrayInTable(Fertiliser_SourceData.Fertiliser_Products_Data4(),FertiliserProducts[[#Headers],[Company]], 91)</f>
        <v/>
      </c>
      <c r="AH199" s="146" t="str" cm="1">
        <f t="array" ref="AH199">Common_InputFunctions.Utility_DisplayArrayInTable(Fertiliser_SourceData.Fertiliser_Products_Data4(),FertiliserProducts[[#Headers],[Company]], 91)</f>
        <v/>
      </c>
    </row>
    <row r="200" spans="4:34" ht="20.100000000000001" customHeight="1" x14ac:dyDescent="0.2">
      <c r="D200" s="146" t="str" cm="1">
        <f t="array" ref="D200">Common_InputFunctions.Utility_DisplayArrayInTable(Fertiliser_SourceData.Fertiliser_Products_Data4(),FertiliserProducts[[#Headers],[Company]], 91)</f>
        <v>Wengfu Australia</v>
      </c>
      <c r="E200" s="146" t="str" cm="1">
        <f t="array" ref="E200">Common_InputFunctions.Utility_DisplayArrayInTable(Fertiliser_SourceData.Fertiliser_Products_Data4(),FertiliserProducts[[#Headers],[Company]], 91)</f>
        <v>Wengfu SuStain</v>
      </c>
      <c r="F200" s="146" t="str" cm="1">
        <f t="array" ref="F200">Common_InputFunctions.Utility_DisplayArrayInTable(Fertiliser_SourceData.Fertiliser_Products_Data4(),FertiliserProducts[[#Headers],[Company]], 91)</f>
        <v>kg</v>
      </c>
      <c r="G200" s="146" cm="1">
        <f t="array" ref="G200">Common_InputFunctions.Utility_DisplayArrayInTable(Fertiliser_SourceData.Fertiliser_Products_Data4(),FertiliserProducts[[#Headers],[Company]], 91)</f>
        <v>1</v>
      </c>
      <c r="H200" s="146" t="str" cm="1">
        <f t="array" ref="H200">Common_InputFunctions.Utility_DisplayArrayInTable(Fertiliser_SourceData.Fertiliser_Products_Data4(),FertiliserProducts[[#Headers],[Company]], 91)</f>
        <v/>
      </c>
      <c r="I200" s="146" t="str" cm="1">
        <f t="array" ref="I200">Common_InputFunctions.Utility_DisplayArrayInTable(Fertiliser_SourceData.Fertiliser_Products_Data4(),FertiliserProducts[[#Headers],[Company]], 91)</f>
        <v/>
      </c>
      <c r="J200" s="146" t="str" cm="1">
        <f t="array" ref="J200">Common_InputFunctions.Utility_DisplayArrayInTable(Fertiliser_SourceData.Fertiliser_Products_Data4(),FertiliserProducts[[#Headers],[Company]], 91)</f>
        <v/>
      </c>
      <c r="K200" s="146" t="str" cm="1">
        <f t="array" ref="K200">Common_InputFunctions.Utility_DisplayArrayInTable(Fertiliser_SourceData.Fertiliser_Products_Data4(),FertiliserProducts[[#Headers],[Company]], 91)</f>
        <v/>
      </c>
      <c r="L200" s="146" t="str" cm="1">
        <f t="array" ref="L200">Common_InputFunctions.Utility_DisplayArrayInTable(Fertiliser_SourceData.Fertiliser_Products_Data4(),FertiliserProducts[[#Headers],[Company]], 91)</f>
        <v/>
      </c>
      <c r="M200" s="146" t="str" cm="1">
        <f t="array" ref="M200">Common_InputFunctions.Utility_DisplayArrayInTable(Fertiliser_SourceData.Fertiliser_Products_Data4(),FertiliserProducts[[#Headers],[Company]], 91)</f>
        <v/>
      </c>
      <c r="N200" s="146" cm="1">
        <f t="array" ref="N200">Common_InputFunctions.Utility_DisplayArrayInTable(Fertiliser_SourceData.Fertiliser_Products_Data4(),FertiliserProducts[[#Headers],[Company]], 91)</f>
        <v>90</v>
      </c>
      <c r="O200" s="146" t="str" cm="1">
        <f t="array" ref="O200">Common_InputFunctions.Utility_DisplayArrayInTable(Fertiliser_SourceData.Fertiliser_Products_Data4(),FertiliserProducts[[#Headers],[Company]], 91)</f>
        <v>Sulfur - Generic</v>
      </c>
      <c r="P200" s="146" cm="1">
        <f t="array" ref="P200">Common_InputFunctions.Utility_DisplayArrayInTable(Fertiliser_SourceData.Fertiliser_Products_Data4(),FertiliserProducts[[#Headers],[Company]], 91)</f>
        <v>0.9</v>
      </c>
      <c r="Q200" s="146" t="str" cm="1">
        <f t="array" ref="Q200">Common_InputFunctions.Utility_DisplayArrayInTable(Fertiliser_SourceData.Fertiliser_Products_Data4(),FertiliserProducts[[#Headers],[Company]], 91)</f>
        <v/>
      </c>
      <c r="R200" s="146" t="str" cm="1">
        <f t="array" ref="R200">Common_InputFunctions.Utility_DisplayArrayInTable(Fertiliser_SourceData.Fertiliser_Products_Data4(),FertiliserProducts[[#Headers],[Company]], 91)</f>
        <v/>
      </c>
      <c r="S200" s="146" t="str" cm="1">
        <f t="array" ref="S200">Common_InputFunctions.Utility_DisplayArrayInTable(Fertiliser_SourceData.Fertiliser_Products_Data4(),FertiliserProducts[[#Headers],[Company]], 91)</f>
        <v/>
      </c>
      <c r="T200" s="146" t="str" cm="1">
        <f t="array" ref="T200">Common_InputFunctions.Utility_DisplayArrayInTable(Fertiliser_SourceData.Fertiliser_Products_Data4(),FertiliserProducts[[#Headers],[Company]], 91)</f>
        <v/>
      </c>
      <c r="U200" s="146" t="str" cm="1">
        <f t="array" ref="U200">Common_InputFunctions.Utility_DisplayArrayInTable(Fertiliser_SourceData.Fertiliser_Products_Data4(),FertiliserProducts[[#Headers],[Company]], 91)</f>
        <v/>
      </c>
      <c r="V200" s="146" t="str" cm="1">
        <f t="array" ref="V200">Common_InputFunctions.Utility_DisplayArrayInTable(Fertiliser_SourceData.Fertiliser_Products_Data4(),FertiliserProducts[[#Headers],[Company]], 91)</f>
        <v/>
      </c>
      <c r="W200" s="146" t="str" cm="1">
        <f t="array" ref="W200">Common_InputFunctions.Utility_DisplayArrayInTable(Fertiliser_SourceData.Fertiliser_Products_Data4(),FertiliserProducts[[#Headers],[Company]], 91)</f>
        <v/>
      </c>
      <c r="X200" s="146" t="str" cm="1">
        <f t="array" ref="X200">Common_InputFunctions.Utility_DisplayArrayInTable(Fertiliser_SourceData.Fertiliser_Products_Data4(),FertiliserProducts[[#Headers],[Company]], 91)</f>
        <v/>
      </c>
      <c r="Y200" s="146" t="str" cm="1">
        <f t="array" ref="Y200">Common_InputFunctions.Utility_DisplayArrayInTable(Fertiliser_SourceData.Fertiliser_Products_Data4(),FertiliserProducts[[#Headers],[Company]], 91)</f>
        <v/>
      </c>
      <c r="Z200" s="146" t="str" cm="1">
        <f t="array" ref="Z200">Common_InputFunctions.Utility_DisplayArrayInTable(Fertiliser_SourceData.Fertiliser_Products_Data4(),FertiliserProducts[[#Headers],[Company]], 91)</f>
        <v/>
      </c>
      <c r="AA200" s="146" t="str" cm="1">
        <f t="array" ref="AA200">Common_InputFunctions.Utility_DisplayArrayInTable(Fertiliser_SourceData.Fertiliser_Products_Data4(),FertiliserProducts[[#Headers],[Company]], 91)</f>
        <v/>
      </c>
      <c r="AB200" s="146" t="str" cm="1">
        <f t="array" ref="AB200">Common_InputFunctions.Utility_DisplayArrayInTable(Fertiliser_SourceData.Fertiliser_Products_Data4(),FertiliserProducts[[#Headers],[Company]], 91)</f>
        <v/>
      </c>
      <c r="AC200" s="146" t="str" cm="1">
        <f t="array" ref="AC200">Common_InputFunctions.Utility_DisplayArrayInTable(Fertiliser_SourceData.Fertiliser_Products_Data4(),FertiliserProducts[[#Headers],[Company]], 91)</f>
        <v/>
      </c>
      <c r="AD200" s="146" t="str" cm="1">
        <f t="array" ref="AD200">Common_InputFunctions.Utility_DisplayArrayInTable(Fertiliser_SourceData.Fertiliser_Products_Data4(),FertiliserProducts[[#Headers],[Company]], 91)</f>
        <v/>
      </c>
      <c r="AE200" s="146" t="str" cm="1">
        <f t="array" ref="AE200">Common_InputFunctions.Utility_DisplayArrayInTable(Fertiliser_SourceData.Fertiliser_Products_Data4(),FertiliserProducts[[#Headers],[Company]], 91)</f>
        <v/>
      </c>
      <c r="AF200" s="146" t="str" cm="1">
        <f t="array" ref="AF200">Common_InputFunctions.Utility_DisplayArrayInTable(Fertiliser_SourceData.Fertiliser_Products_Data4(),FertiliserProducts[[#Headers],[Company]], 91)</f>
        <v/>
      </c>
      <c r="AG200" s="146" t="str" cm="1">
        <f t="array" ref="AG200">Common_InputFunctions.Utility_DisplayArrayInTable(Fertiliser_SourceData.Fertiliser_Products_Data4(),FertiliserProducts[[#Headers],[Company]], 91)</f>
        <v/>
      </c>
      <c r="AH200" s="146" t="str" cm="1">
        <f t="array" ref="AH200">Common_InputFunctions.Utility_DisplayArrayInTable(Fertiliser_SourceData.Fertiliser_Products_Data4(),FertiliserProducts[[#Headers],[Company]], 91)</f>
        <v/>
      </c>
    </row>
    <row r="201" spans="4:34" ht="20.100000000000001" customHeight="1" x14ac:dyDescent="0.2">
      <c r="D201" s="146" t="str" cm="1">
        <f t="array" ref="D201">Common_InputFunctions.Utility_DisplayArrayInTable(Fertiliser_SourceData.Fertiliser_Products_Data4(),FertiliserProducts[[#Headers],[Company]], 91)</f>
        <v>Wengfu Australia</v>
      </c>
      <c r="E201" s="146" t="str" cm="1">
        <f t="array" ref="E201">Common_InputFunctions.Utility_DisplayArrayInTable(Fertiliser_SourceData.Fertiliser_Products_Data4(),FertiliserProducts[[#Headers],[Company]], 91)</f>
        <v>Wengfu Slam</v>
      </c>
      <c r="F201" s="146" t="str" cm="1">
        <f t="array" ref="F201">Common_InputFunctions.Utility_DisplayArrayInTable(Fertiliser_SourceData.Fertiliser_Products_Data4(),FertiliserProducts[[#Headers],[Company]], 91)</f>
        <v>kg</v>
      </c>
      <c r="G201" s="146" cm="1">
        <f t="array" ref="G201">Common_InputFunctions.Utility_DisplayArrayInTable(Fertiliser_SourceData.Fertiliser_Products_Data4(),FertiliserProducts[[#Headers],[Company]], 91)</f>
        <v>1</v>
      </c>
      <c r="H201" s="146" t="str" cm="1">
        <f t="array" ref="H201">Common_InputFunctions.Utility_DisplayArrayInTable(Fertiliser_SourceData.Fertiliser_Products_Data4(),FertiliserProducts[[#Headers],[Company]], 91)</f>
        <v/>
      </c>
      <c r="I201" s="146" t="str" cm="1">
        <f t="array" ref="I201">Common_InputFunctions.Utility_DisplayArrayInTable(Fertiliser_SourceData.Fertiliser_Products_Data4(),FertiliserProducts[[#Headers],[Company]], 91)</f>
        <v/>
      </c>
      <c r="J201" s="146" t="str" cm="1">
        <f t="array" ref="J201">Common_InputFunctions.Utility_DisplayArrayInTable(Fertiliser_SourceData.Fertiliser_Products_Data4(),FertiliserProducts[[#Headers],[Company]], 91)</f>
        <v/>
      </c>
      <c r="K201" s="146" cm="1">
        <f t="array" ref="K201">Common_InputFunctions.Utility_DisplayArrayInTable(Fertiliser_SourceData.Fertiliser_Products_Data4(),FertiliserProducts[[#Headers],[Company]], 91)</f>
        <v>19.5</v>
      </c>
      <c r="L201" s="146" cm="1">
        <f t="array" ref="L201">Common_InputFunctions.Utility_DisplayArrayInTable(Fertiliser_SourceData.Fertiliser_Products_Data4(),FertiliserProducts[[#Headers],[Company]], 91)</f>
        <v>0.7</v>
      </c>
      <c r="M201" s="146" t="str" cm="1">
        <f t="array" ref="M201">Common_InputFunctions.Utility_DisplayArrayInTable(Fertiliser_SourceData.Fertiliser_Products_Data4(),FertiliserProducts[[#Headers],[Company]], 91)</f>
        <v/>
      </c>
      <c r="N201" s="146" cm="1">
        <f t="array" ref="N201">Common_InputFunctions.Utility_DisplayArrayInTable(Fertiliser_SourceData.Fertiliser_Products_Data4(),FertiliserProducts[[#Headers],[Company]], 91)</f>
        <v>23</v>
      </c>
      <c r="O201" s="146" t="str" cm="1">
        <f t="array" ref="O201">Common_InputFunctions.Utility_DisplayArrayInTable(Fertiliser_SourceData.Fertiliser_Products_Data4(),FertiliserProducts[[#Headers],[Company]], 91)</f>
        <v>Nitrogen - Generic</v>
      </c>
      <c r="P201" s="146" cm="1">
        <f t="array" ref="P201">Common_InputFunctions.Utility_DisplayArrayInTable(Fertiliser_SourceData.Fertiliser_Products_Data4(),FertiliserProducts[[#Headers],[Company]], 91)</f>
        <v>0.19500000000000001</v>
      </c>
      <c r="Q201" s="146" t="str" cm="1">
        <f t="array" ref="Q201">Common_InputFunctions.Utility_DisplayArrayInTable(Fertiliser_SourceData.Fertiliser_Products_Data4(),FertiliserProducts[[#Headers],[Company]], 91)</f>
        <v>Phosphorus - Generic</v>
      </c>
      <c r="R201" s="146" cm="1">
        <f t="array" ref="R201">Common_InputFunctions.Utility_DisplayArrayInTable(Fertiliser_SourceData.Fertiliser_Products_Data4(),FertiliserProducts[[#Headers],[Company]], 91)</f>
        <v>7.0000000000000001E-3</v>
      </c>
      <c r="S201" s="146" t="str" cm="1">
        <f t="array" ref="S201">Common_InputFunctions.Utility_DisplayArrayInTable(Fertiliser_SourceData.Fertiliser_Products_Data4(),FertiliserProducts[[#Headers],[Company]], 91)</f>
        <v>Sulfur - Generic</v>
      </c>
      <c r="T201" s="146" cm="1">
        <f t="array" ref="T201">Common_InputFunctions.Utility_DisplayArrayInTable(Fertiliser_SourceData.Fertiliser_Products_Data4(),FertiliserProducts[[#Headers],[Company]], 91)</f>
        <v>0.23</v>
      </c>
      <c r="U201" s="146" t="str" cm="1">
        <f t="array" ref="U201">Common_InputFunctions.Utility_DisplayArrayInTable(Fertiliser_SourceData.Fertiliser_Products_Data4(),FertiliserProducts[[#Headers],[Company]], 91)</f>
        <v/>
      </c>
      <c r="V201" s="146" t="str" cm="1">
        <f t="array" ref="V201">Common_InputFunctions.Utility_DisplayArrayInTable(Fertiliser_SourceData.Fertiliser_Products_Data4(),FertiliserProducts[[#Headers],[Company]], 91)</f>
        <v/>
      </c>
      <c r="W201" s="146" t="str" cm="1">
        <f t="array" ref="W201">Common_InputFunctions.Utility_DisplayArrayInTable(Fertiliser_SourceData.Fertiliser_Products_Data4(),FertiliserProducts[[#Headers],[Company]], 91)</f>
        <v/>
      </c>
      <c r="X201" s="146" t="str" cm="1">
        <f t="array" ref="X201">Common_InputFunctions.Utility_DisplayArrayInTable(Fertiliser_SourceData.Fertiliser_Products_Data4(),FertiliserProducts[[#Headers],[Company]], 91)</f>
        <v/>
      </c>
      <c r="Y201" s="146" t="str" cm="1">
        <f t="array" ref="Y201">Common_InputFunctions.Utility_DisplayArrayInTable(Fertiliser_SourceData.Fertiliser_Products_Data4(),FertiliserProducts[[#Headers],[Company]], 91)</f>
        <v/>
      </c>
      <c r="Z201" s="146" t="str" cm="1">
        <f t="array" ref="Z201">Common_InputFunctions.Utility_DisplayArrayInTable(Fertiliser_SourceData.Fertiliser_Products_Data4(),FertiliserProducts[[#Headers],[Company]], 91)</f>
        <v/>
      </c>
      <c r="AA201" s="146" t="str" cm="1">
        <f t="array" ref="AA201">Common_InputFunctions.Utility_DisplayArrayInTable(Fertiliser_SourceData.Fertiliser_Products_Data4(),FertiliserProducts[[#Headers],[Company]], 91)</f>
        <v/>
      </c>
      <c r="AB201" s="146" t="str" cm="1">
        <f t="array" ref="AB201">Common_InputFunctions.Utility_DisplayArrayInTable(Fertiliser_SourceData.Fertiliser_Products_Data4(),FertiliserProducts[[#Headers],[Company]], 91)</f>
        <v/>
      </c>
      <c r="AC201" s="146" t="str" cm="1">
        <f t="array" ref="AC201">Common_InputFunctions.Utility_DisplayArrayInTable(Fertiliser_SourceData.Fertiliser_Products_Data4(),FertiliserProducts[[#Headers],[Company]], 91)</f>
        <v/>
      </c>
      <c r="AD201" s="146" t="str" cm="1">
        <f t="array" ref="AD201">Common_InputFunctions.Utility_DisplayArrayInTable(Fertiliser_SourceData.Fertiliser_Products_Data4(),FertiliserProducts[[#Headers],[Company]], 91)</f>
        <v/>
      </c>
      <c r="AE201" s="146" t="str" cm="1">
        <f t="array" ref="AE201">Common_InputFunctions.Utility_DisplayArrayInTable(Fertiliser_SourceData.Fertiliser_Products_Data4(),FertiliserProducts[[#Headers],[Company]], 91)</f>
        <v/>
      </c>
      <c r="AF201" s="146" t="str" cm="1">
        <f t="array" ref="AF201">Common_InputFunctions.Utility_DisplayArrayInTable(Fertiliser_SourceData.Fertiliser_Products_Data4(),FertiliserProducts[[#Headers],[Company]], 91)</f>
        <v/>
      </c>
      <c r="AG201" s="146" t="str" cm="1">
        <f t="array" ref="AG201">Common_InputFunctions.Utility_DisplayArrayInTable(Fertiliser_SourceData.Fertiliser_Products_Data4(),FertiliserProducts[[#Headers],[Company]], 91)</f>
        <v/>
      </c>
      <c r="AH201" s="146" t="str" cm="1">
        <f t="array" ref="AH201">Common_InputFunctions.Utility_DisplayArrayInTable(Fertiliser_SourceData.Fertiliser_Products_Data4(),FertiliserProducts[[#Headers],[Company]], 91)</f>
        <v/>
      </c>
    </row>
    <row r="202" spans="4:34" ht="20.100000000000001" customHeight="1" x14ac:dyDescent="0.2">
      <c r="D202" s="146" t="str" cm="1">
        <f t="array" ref="D202">Common_InputFunctions.Utility_DisplayArrayInTable(Fertiliser_SourceData.Fertiliser_Products_Data4(),FertiliserProducts[[#Headers],[Company]], 91)</f>
        <v>Wengfu Australia</v>
      </c>
      <c r="E202" s="146" t="str" cm="1">
        <f t="array" ref="E202">Common_InputFunctions.Utility_DisplayArrayInTable(Fertiliser_SourceData.Fertiliser_Products_Data4(),FertiliserProducts[[#Headers],[Company]], 91)</f>
        <v>Wengfu Prime MSZ</v>
      </c>
      <c r="F202" s="146" t="str" cm="1">
        <f t="array" ref="F202">Common_InputFunctions.Utility_DisplayArrayInTable(Fertiliser_SourceData.Fertiliser_Products_Data4(),FertiliserProducts[[#Headers],[Company]], 91)</f>
        <v>kg</v>
      </c>
      <c r="G202" s="146" cm="1">
        <f t="array" ref="G202">Common_InputFunctions.Utility_DisplayArrayInTable(Fertiliser_SourceData.Fertiliser_Products_Data4(),FertiliserProducts[[#Headers],[Company]], 91)</f>
        <v>1</v>
      </c>
      <c r="H202" s="146" t="str" cm="1">
        <f t="array" ref="H202">Common_InputFunctions.Utility_DisplayArrayInTable(Fertiliser_SourceData.Fertiliser_Products_Data4(),FertiliserProducts[[#Headers],[Company]], 91)</f>
        <v/>
      </c>
      <c r="I202" s="146" t="str" cm="1">
        <f t="array" ref="I202">Common_InputFunctions.Utility_DisplayArrayInTable(Fertiliser_SourceData.Fertiliser_Products_Data4(),FertiliserProducts[[#Headers],[Company]], 91)</f>
        <v/>
      </c>
      <c r="J202" s="146" t="str" cm="1">
        <f t="array" ref="J202">Common_InputFunctions.Utility_DisplayArrayInTable(Fertiliser_SourceData.Fertiliser_Products_Data4(),FertiliserProducts[[#Headers],[Company]], 91)</f>
        <v/>
      </c>
      <c r="K202" s="146" cm="1">
        <f t="array" ref="K202">Common_InputFunctions.Utility_DisplayArrayInTable(Fertiliser_SourceData.Fertiliser_Products_Data4(),FertiliserProducts[[#Headers],[Company]], 91)</f>
        <v>10</v>
      </c>
      <c r="L202" s="146" cm="1">
        <f t="array" ref="L202">Common_InputFunctions.Utility_DisplayArrayInTable(Fertiliser_SourceData.Fertiliser_Products_Data4(),FertiliserProducts[[#Headers],[Company]], 91)</f>
        <v>18</v>
      </c>
      <c r="M202" s="146" t="str" cm="1">
        <f t="array" ref="M202">Common_InputFunctions.Utility_DisplayArrayInTable(Fertiliser_SourceData.Fertiliser_Products_Data4(),FertiliserProducts[[#Headers],[Company]], 91)</f>
        <v/>
      </c>
      <c r="N202" s="146" cm="1">
        <f t="array" ref="N202">Common_InputFunctions.Utility_DisplayArrayInTable(Fertiliser_SourceData.Fertiliser_Products_Data4(),FertiliserProducts[[#Headers],[Company]], 91)</f>
        <v>8</v>
      </c>
      <c r="O202" s="146" t="str" cm="1">
        <f t="array" ref="O202">Common_InputFunctions.Utility_DisplayArrayInTable(Fertiliser_SourceData.Fertiliser_Products_Data4(),FertiliserProducts[[#Headers],[Company]], 91)</f>
        <v>Nitrogen - Generic</v>
      </c>
      <c r="P202" s="146" cm="1">
        <f t="array" ref="P202">Common_InputFunctions.Utility_DisplayArrayInTable(Fertiliser_SourceData.Fertiliser_Products_Data4(),FertiliserProducts[[#Headers],[Company]], 91)</f>
        <v>0.1</v>
      </c>
      <c r="Q202" s="146" t="str" cm="1">
        <f t="array" ref="Q202">Common_InputFunctions.Utility_DisplayArrayInTable(Fertiliser_SourceData.Fertiliser_Products_Data4(),FertiliserProducts[[#Headers],[Company]], 91)</f>
        <v>Phosphorus - Generic</v>
      </c>
      <c r="R202" s="146" cm="1">
        <f t="array" ref="R202">Common_InputFunctions.Utility_DisplayArrayInTable(Fertiliser_SourceData.Fertiliser_Products_Data4(),FertiliserProducts[[#Headers],[Company]], 91)</f>
        <v>0.18</v>
      </c>
      <c r="S202" s="146" t="str" cm="1">
        <f t="array" ref="S202">Common_InputFunctions.Utility_DisplayArrayInTable(Fertiliser_SourceData.Fertiliser_Products_Data4(),FertiliserProducts[[#Headers],[Company]], 91)</f>
        <v>Sulfur - Generic</v>
      </c>
      <c r="T202" s="146" cm="1">
        <f t="array" ref="T202">Common_InputFunctions.Utility_DisplayArrayInTable(Fertiliser_SourceData.Fertiliser_Products_Data4(),FertiliserProducts[[#Headers],[Company]], 91)</f>
        <v>0.08</v>
      </c>
      <c r="U202" s="146" t="str" cm="1">
        <f t="array" ref="U202">Common_InputFunctions.Utility_DisplayArrayInTable(Fertiliser_SourceData.Fertiliser_Products_Data4(),FertiliserProducts[[#Headers],[Company]], 91)</f>
        <v>Zinc</v>
      </c>
      <c r="V202" s="146" cm="1">
        <f t="array" ref="V202">Common_InputFunctions.Utility_DisplayArrayInTable(Fertiliser_SourceData.Fertiliser_Products_Data4(),FertiliserProducts[[#Headers],[Company]], 91)</f>
        <v>5.0000000000000001E-3</v>
      </c>
      <c r="W202" s="146" t="str" cm="1">
        <f t="array" ref="W202">Common_InputFunctions.Utility_DisplayArrayInTable(Fertiliser_SourceData.Fertiliser_Products_Data4(),FertiliserProducts[[#Headers],[Company]], 91)</f>
        <v/>
      </c>
      <c r="X202" s="146" t="str" cm="1">
        <f t="array" ref="X202">Common_InputFunctions.Utility_DisplayArrayInTable(Fertiliser_SourceData.Fertiliser_Products_Data4(),FertiliserProducts[[#Headers],[Company]], 91)</f>
        <v/>
      </c>
      <c r="Y202" s="146" t="str" cm="1">
        <f t="array" ref="Y202">Common_InputFunctions.Utility_DisplayArrayInTable(Fertiliser_SourceData.Fertiliser_Products_Data4(),FertiliserProducts[[#Headers],[Company]], 91)</f>
        <v/>
      </c>
      <c r="Z202" s="146" t="str" cm="1">
        <f t="array" ref="Z202">Common_InputFunctions.Utility_DisplayArrayInTable(Fertiliser_SourceData.Fertiliser_Products_Data4(),FertiliserProducts[[#Headers],[Company]], 91)</f>
        <v/>
      </c>
      <c r="AA202" s="146" t="str" cm="1">
        <f t="array" ref="AA202">Common_InputFunctions.Utility_DisplayArrayInTable(Fertiliser_SourceData.Fertiliser_Products_Data4(),FertiliserProducts[[#Headers],[Company]], 91)</f>
        <v/>
      </c>
      <c r="AB202" s="146" t="str" cm="1">
        <f t="array" ref="AB202">Common_InputFunctions.Utility_DisplayArrayInTable(Fertiliser_SourceData.Fertiliser_Products_Data4(),FertiliserProducts[[#Headers],[Company]], 91)</f>
        <v/>
      </c>
      <c r="AC202" s="146" t="str" cm="1">
        <f t="array" ref="AC202">Common_InputFunctions.Utility_DisplayArrayInTable(Fertiliser_SourceData.Fertiliser_Products_Data4(),FertiliserProducts[[#Headers],[Company]], 91)</f>
        <v/>
      </c>
      <c r="AD202" s="146" t="str" cm="1">
        <f t="array" ref="AD202">Common_InputFunctions.Utility_DisplayArrayInTable(Fertiliser_SourceData.Fertiliser_Products_Data4(),FertiliserProducts[[#Headers],[Company]], 91)</f>
        <v/>
      </c>
      <c r="AE202" s="146" t="str" cm="1">
        <f t="array" ref="AE202">Common_InputFunctions.Utility_DisplayArrayInTable(Fertiliser_SourceData.Fertiliser_Products_Data4(),FertiliserProducts[[#Headers],[Company]], 91)</f>
        <v/>
      </c>
      <c r="AF202" s="146" t="str" cm="1">
        <f t="array" ref="AF202">Common_InputFunctions.Utility_DisplayArrayInTable(Fertiliser_SourceData.Fertiliser_Products_Data4(),FertiliserProducts[[#Headers],[Company]], 91)</f>
        <v/>
      </c>
      <c r="AG202" s="146" t="str" cm="1">
        <f t="array" ref="AG202">Common_InputFunctions.Utility_DisplayArrayInTable(Fertiliser_SourceData.Fertiliser_Products_Data4(),FertiliserProducts[[#Headers],[Company]], 91)</f>
        <v/>
      </c>
      <c r="AH202" s="146" t="str" cm="1">
        <f t="array" ref="AH202">Common_InputFunctions.Utility_DisplayArrayInTable(Fertiliser_SourceData.Fertiliser_Products_Data4(),FertiliserProducts[[#Headers],[Company]], 91)</f>
        <v/>
      </c>
    </row>
    <row r="203" spans="4:34" ht="20.100000000000001" customHeight="1" x14ac:dyDescent="0.2">
      <c r="D203" s="146" t="str" cm="1">
        <f t="array" ref="D203">Common_InputFunctions.Utility_DisplayArrayInTable(Fertiliser_SourceData.Fertiliser_Products_Data4(),FertiliserProducts[[#Headers],[Company]], 91)</f>
        <v>Wengfu Australia</v>
      </c>
      <c r="E203" s="146" t="str" cm="1">
        <f t="array" ref="E203">Common_InputFunctions.Utility_DisplayArrayInTable(Fertiliser_SourceData.Fertiliser_Products_Data4(),FertiliserProducts[[#Headers],[Company]], 91)</f>
        <v>Wengfu 9-20-0-10 MAP SuStain</v>
      </c>
      <c r="F203" s="146" t="str" cm="1">
        <f t="array" ref="F203">Common_InputFunctions.Utility_DisplayArrayInTable(Fertiliser_SourceData.Fertiliser_Products_Data4(),FertiliserProducts[[#Headers],[Company]], 91)</f>
        <v>kg</v>
      </c>
      <c r="G203" s="146" cm="1">
        <f t="array" ref="G203">Common_InputFunctions.Utility_DisplayArrayInTable(Fertiliser_SourceData.Fertiliser_Products_Data4(),FertiliserProducts[[#Headers],[Company]], 91)</f>
        <v>1</v>
      </c>
      <c r="H203" s="146" t="str" cm="1">
        <f t="array" ref="H203">Common_InputFunctions.Utility_DisplayArrayInTable(Fertiliser_SourceData.Fertiliser_Products_Data4(),FertiliserProducts[[#Headers],[Company]], 91)</f>
        <v/>
      </c>
      <c r="I203" s="146" t="str" cm="1">
        <f t="array" ref="I203">Common_InputFunctions.Utility_DisplayArrayInTable(Fertiliser_SourceData.Fertiliser_Products_Data4(),FertiliserProducts[[#Headers],[Company]], 91)</f>
        <v/>
      </c>
      <c r="J203" s="146" t="str" cm="1">
        <f t="array" ref="J203">Common_InputFunctions.Utility_DisplayArrayInTable(Fertiliser_SourceData.Fertiliser_Products_Data4(),FertiliserProducts[[#Headers],[Company]], 91)</f>
        <v/>
      </c>
      <c r="K203" s="146" cm="1">
        <f t="array" ref="K203">Common_InputFunctions.Utility_DisplayArrayInTable(Fertiliser_SourceData.Fertiliser_Products_Data4(),FertiliserProducts[[#Headers],[Company]], 91)</f>
        <v>9</v>
      </c>
      <c r="L203" s="146" cm="1">
        <f t="array" ref="L203">Common_InputFunctions.Utility_DisplayArrayInTable(Fertiliser_SourceData.Fertiliser_Products_Data4(),FertiliserProducts[[#Headers],[Company]], 91)</f>
        <v>19.8</v>
      </c>
      <c r="M203" s="146" cm="1">
        <f t="array" ref="M203">Common_InputFunctions.Utility_DisplayArrayInTable(Fertiliser_SourceData.Fertiliser_Products_Data4(),FertiliserProducts[[#Headers],[Company]], 91)</f>
        <v>0</v>
      </c>
      <c r="N203" s="146" cm="1">
        <f t="array" ref="N203">Common_InputFunctions.Utility_DisplayArrayInTable(Fertiliser_SourceData.Fertiliser_Products_Data4(),FertiliserProducts[[#Headers],[Company]], 91)</f>
        <v>10.4</v>
      </c>
      <c r="O203" s="146" t="str" cm="1">
        <f t="array" ref="O203">Common_InputFunctions.Utility_DisplayArrayInTable(Fertiliser_SourceData.Fertiliser_Products_Data4(),FertiliserProducts[[#Headers],[Company]], 91)</f>
        <v>Nitrogen - Generic</v>
      </c>
      <c r="P203" s="146" cm="1">
        <f t="array" ref="P203">Common_InputFunctions.Utility_DisplayArrayInTable(Fertiliser_SourceData.Fertiliser_Products_Data4(),FertiliserProducts[[#Headers],[Company]], 91)</f>
        <v>0.09</v>
      </c>
      <c r="Q203" s="146" t="str" cm="1">
        <f t="array" ref="Q203">Common_InputFunctions.Utility_DisplayArrayInTable(Fertiliser_SourceData.Fertiliser_Products_Data4(),FertiliserProducts[[#Headers],[Company]], 91)</f>
        <v>Phosphorus - Generic</v>
      </c>
      <c r="R203" s="146" cm="1">
        <f t="array" ref="R203">Common_InputFunctions.Utility_DisplayArrayInTable(Fertiliser_SourceData.Fertiliser_Products_Data4(),FertiliserProducts[[#Headers],[Company]], 91)</f>
        <v>0.19800000000000001</v>
      </c>
      <c r="S203" s="146" t="str" cm="1">
        <f t="array" ref="S203">Common_InputFunctions.Utility_DisplayArrayInTable(Fertiliser_SourceData.Fertiliser_Products_Data4(),FertiliserProducts[[#Headers],[Company]], 91)</f>
        <v>Sulfur - Generic</v>
      </c>
      <c r="T203" s="146" cm="1">
        <f t="array" ref="T203">Common_InputFunctions.Utility_DisplayArrayInTable(Fertiliser_SourceData.Fertiliser_Products_Data4(),FertiliserProducts[[#Headers],[Company]], 91)</f>
        <v>0.104</v>
      </c>
      <c r="U203" s="146" t="str" cm="1">
        <f t="array" ref="U203">Common_InputFunctions.Utility_DisplayArrayInTable(Fertiliser_SourceData.Fertiliser_Products_Data4(),FertiliserProducts[[#Headers],[Company]], 91)</f>
        <v/>
      </c>
      <c r="V203" s="146" t="str" cm="1">
        <f t="array" ref="V203">Common_InputFunctions.Utility_DisplayArrayInTable(Fertiliser_SourceData.Fertiliser_Products_Data4(),FertiliserProducts[[#Headers],[Company]], 91)</f>
        <v/>
      </c>
      <c r="W203" s="146" t="str" cm="1">
        <f t="array" ref="W203">Common_InputFunctions.Utility_DisplayArrayInTable(Fertiliser_SourceData.Fertiliser_Products_Data4(),FertiliserProducts[[#Headers],[Company]], 91)</f>
        <v/>
      </c>
      <c r="X203" s="146" t="str" cm="1">
        <f t="array" ref="X203">Common_InputFunctions.Utility_DisplayArrayInTable(Fertiliser_SourceData.Fertiliser_Products_Data4(),FertiliserProducts[[#Headers],[Company]], 91)</f>
        <v/>
      </c>
      <c r="Y203" s="146" t="str" cm="1">
        <f t="array" ref="Y203">Common_InputFunctions.Utility_DisplayArrayInTable(Fertiliser_SourceData.Fertiliser_Products_Data4(),FertiliserProducts[[#Headers],[Company]], 91)</f>
        <v/>
      </c>
      <c r="Z203" s="146" t="str" cm="1">
        <f t="array" ref="Z203">Common_InputFunctions.Utility_DisplayArrayInTable(Fertiliser_SourceData.Fertiliser_Products_Data4(),FertiliserProducts[[#Headers],[Company]], 91)</f>
        <v/>
      </c>
      <c r="AA203" s="146" t="str" cm="1">
        <f t="array" ref="AA203">Common_InputFunctions.Utility_DisplayArrayInTable(Fertiliser_SourceData.Fertiliser_Products_Data4(),FertiliserProducts[[#Headers],[Company]], 91)</f>
        <v/>
      </c>
      <c r="AB203" s="146" t="str" cm="1">
        <f t="array" ref="AB203">Common_InputFunctions.Utility_DisplayArrayInTable(Fertiliser_SourceData.Fertiliser_Products_Data4(),FertiliserProducts[[#Headers],[Company]], 91)</f>
        <v/>
      </c>
      <c r="AC203" s="146" t="str" cm="1">
        <f t="array" ref="AC203">Common_InputFunctions.Utility_DisplayArrayInTable(Fertiliser_SourceData.Fertiliser_Products_Data4(),FertiliserProducts[[#Headers],[Company]], 91)</f>
        <v/>
      </c>
      <c r="AD203" s="146" t="str" cm="1">
        <f t="array" ref="AD203">Common_InputFunctions.Utility_DisplayArrayInTable(Fertiliser_SourceData.Fertiliser_Products_Data4(),FertiliserProducts[[#Headers],[Company]], 91)</f>
        <v/>
      </c>
      <c r="AE203" s="146" t="str" cm="1">
        <f t="array" ref="AE203">Common_InputFunctions.Utility_DisplayArrayInTable(Fertiliser_SourceData.Fertiliser_Products_Data4(),FertiliserProducts[[#Headers],[Company]], 91)</f>
        <v/>
      </c>
      <c r="AF203" s="146" t="str" cm="1">
        <f t="array" ref="AF203">Common_InputFunctions.Utility_DisplayArrayInTable(Fertiliser_SourceData.Fertiliser_Products_Data4(),FertiliserProducts[[#Headers],[Company]], 91)</f>
        <v/>
      </c>
      <c r="AG203" s="146" t="str" cm="1">
        <f t="array" ref="AG203">Common_InputFunctions.Utility_DisplayArrayInTable(Fertiliser_SourceData.Fertiliser_Products_Data4(),FertiliserProducts[[#Headers],[Company]], 91)</f>
        <v/>
      </c>
      <c r="AH203" s="146" t="str" cm="1">
        <f t="array" ref="AH203">Common_InputFunctions.Utility_DisplayArrayInTable(Fertiliser_SourceData.Fertiliser_Products_Data4(),FertiliserProducts[[#Headers],[Company]], 91)</f>
        <v/>
      </c>
    </row>
    <row r="204" spans="4:34" ht="20.100000000000001" customHeight="1" x14ac:dyDescent="0.2">
      <c r="D204" s="146" t="str" cm="1">
        <f t="array" ref="D204">Common_InputFunctions.Utility_DisplayArrayInTable(Fertiliser_SourceData.Fertiliser_Products_Data4(),FertiliserProducts[[#Headers],[Company]], 91)</f>
        <v>Wengfu Australia</v>
      </c>
      <c r="E204" s="146" t="str" cm="1">
        <f t="array" ref="E204">Common_InputFunctions.Utility_DisplayArrayInTable(Fertiliser_SourceData.Fertiliser_Products_Data4(),FertiliserProducts[[#Headers],[Company]], 91)</f>
        <v>Wengfu 15-17-0-15 DAP SuStain</v>
      </c>
      <c r="F204" s="146" t="str" cm="1">
        <f t="array" ref="F204">Common_InputFunctions.Utility_DisplayArrayInTable(Fertiliser_SourceData.Fertiliser_Products_Data4(),FertiliserProducts[[#Headers],[Company]], 91)</f>
        <v>kg</v>
      </c>
      <c r="G204" s="146" cm="1">
        <f t="array" ref="G204">Common_InputFunctions.Utility_DisplayArrayInTable(Fertiliser_SourceData.Fertiliser_Products_Data4(),FertiliserProducts[[#Headers],[Company]], 91)</f>
        <v>1</v>
      </c>
      <c r="H204" s="146" t="str" cm="1">
        <f t="array" ref="H204">Common_InputFunctions.Utility_DisplayArrayInTable(Fertiliser_SourceData.Fertiliser_Products_Data4(),FertiliserProducts[[#Headers],[Company]], 91)</f>
        <v/>
      </c>
      <c r="I204" s="146" t="str" cm="1">
        <f t="array" ref="I204">Common_InputFunctions.Utility_DisplayArrayInTable(Fertiliser_SourceData.Fertiliser_Products_Data4(),FertiliserProducts[[#Headers],[Company]], 91)</f>
        <v/>
      </c>
      <c r="J204" s="146" t="str" cm="1">
        <f t="array" ref="J204">Common_InputFunctions.Utility_DisplayArrayInTable(Fertiliser_SourceData.Fertiliser_Products_Data4(),FertiliserProducts[[#Headers],[Company]], 91)</f>
        <v/>
      </c>
      <c r="K204" s="146" cm="1">
        <f t="array" ref="K204">Common_InputFunctions.Utility_DisplayArrayInTable(Fertiliser_SourceData.Fertiliser_Products_Data4(),FertiliserProducts[[#Headers],[Company]], 91)</f>
        <v>15.2</v>
      </c>
      <c r="L204" s="146" cm="1">
        <f t="array" ref="L204">Common_InputFunctions.Utility_DisplayArrayInTable(Fertiliser_SourceData.Fertiliser_Products_Data4(),FertiliserProducts[[#Headers],[Company]], 91)</f>
        <v>16.899999999999999</v>
      </c>
      <c r="M204" s="146" cm="1">
        <f t="array" ref="M204">Common_InputFunctions.Utility_DisplayArrayInTable(Fertiliser_SourceData.Fertiliser_Products_Data4(),FertiliserProducts[[#Headers],[Company]], 91)</f>
        <v>0</v>
      </c>
      <c r="N204" s="146" cm="1">
        <f t="array" ref="N204">Common_InputFunctions.Utility_DisplayArrayInTable(Fertiliser_SourceData.Fertiliser_Products_Data4(),FertiliserProducts[[#Headers],[Company]], 91)</f>
        <v>15.2</v>
      </c>
      <c r="O204" s="146" t="str" cm="1">
        <f t="array" ref="O204">Common_InputFunctions.Utility_DisplayArrayInTable(Fertiliser_SourceData.Fertiliser_Products_Data4(),FertiliserProducts[[#Headers],[Company]], 91)</f>
        <v>Nitrogen - Generic</v>
      </c>
      <c r="P204" s="146" cm="1">
        <f t="array" ref="P204">Common_InputFunctions.Utility_DisplayArrayInTable(Fertiliser_SourceData.Fertiliser_Products_Data4(),FertiliserProducts[[#Headers],[Company]], 91)</f>
        <v>0.152</v>
      </c>
      <c r="Q204" s="146" t="str" cm="1">
        <f t="array" ref="Q204">Common_InputFunctions.Utility_DisplayArrayInTable(Fertiliser_SourceData.Fertiliser_Products_Data4(),FertiliserProducts[[#Headers],[Company]], 91)</f>
        <v>Phosphorus - Generic</v>
      </c>
      <c r="R204" s="146" cm="1">
        <f t="array" ref="R204">Common_InputFunctions.Utility_DisplayArrayInTable(Fertiliser_SourceData.Fertiliser_Products_Data4(),FertiliserProducts[[#Headers],[Company]], 91)</f>
        <v>0.16900000000000001</v>
      </c>
      <c r="S204" s="146" t="str" cm="1">
        <f t="array" ref="S204">Common_InputFunctions.Utility_DisplayArrayInTable(Fertiliser_SourceData.Fertiliser_Products_Data4(),FertiliserProducts[[#Headers],[Company]], 91)</f>
        <v>Sulfur - Generic</v>
      </c>
      <c r="T204" s="146" cm="1">
        <f t="array" ref="T204">Common_InputFunctions.Utility_DisplayArrayInTable(Fertiliser_SourceData.Fertiliser_Products_Data4(),FertiliserProducts[[#Headers],[Company]], 91)</f>
        <v>0.152</v>
      </c>
      <c r="U204" s="146" t="str" cm="1">
        <f t="array" ref="U204">Common_InputFunctions.Utility_DisplayArrayInTable(Fertiliser_SourceData.Fertiliser_Products_Data4(),FertiliserProducts[[#Headers],[Company]], 91)</f>
        <v/>
      </c>
      <c r="V204" s="146" t="str" cm="1">
        <f t="array" ref="V204">Common_InputFunctions.Utility_DisplayArrayInTable(Fertiliser_SourceData.Fertiliser_Products_Data4(),FertiliserProducts[[#Headers],[Company]], 91)</f>
        <v/>
      </c>
      <c r="W204" s="146" t="str" cm="1">
        <f t="array" ref="W204">Common_InputFunctions.Utility_DisplayArrayInTable(Fertiliser_SourceData.Fertiliser_Products_Data4(),FertiliserProducts[[#Headers],[Company]], 91)</f>
        <v/>
      </c>
      <c r="X204" s="146" t="str" cm="1">
        <f t="array" ref="X204">Common_InputFunctions.Utility_DisplayArrayInTable(Fertiliser_SourceData.Fertiliser_Products_Data4(),FertiliserProducts[[#Headers],[Company]], 91)</f>
        <v/>
      </c>
      <c r="Y204" s="146" t="str" cm="1">
        <f t="array" ref="Y204">Common_InputFunctions.Utility_DisplayArrayInTable(Fertiliser_SourceData.Fertiliser_Products_Data4(),FertiliserProducts[[#Headers],[Company]], 91)</f>
        <v/>
      </c>
      <c r="Z204" s="146" t="str" cm="1">
        <f t="array" ref="Z204">Common_InputFunctions.Utility_DisplayArrayInTable(Fertiliser_SourceData.Fertiliser_Products_Data4(),FertiliserProducts[[#Headers],[Company]], 91)</f>
        <v/>
      </c>
      <c r="AA204" s="146" t="str" cm="1">
        <f t="array" ref="AA204">Common_InputFunctions.Utility_DisplayArrayInTable(Fertiliser_SourceData.Fertiliser_Products_Data4(),FertiliserProducts[[#Headers],[Company]], 91)</f>
        <v/>
      </c>
      <c r="AB204" s="146" t="str" cm="1">
        <f t="array" ref="AB204">Common_InputFunctions.Utility_DisplayArrayInTable(Fertiliser_SourceData.Fertiliser_Products_Data4(),FertiliserProducts[[#Headers],[Company]], 91)</f>
        <v/>
      </c>
      <c r="AC204" s="146" t="str" cm="1">
        <f t="array" ref="AC204">Common_InputFunctions.Utility_DisplayArrayInTable(Fertiliser_SourceData.Fertiliser_Products_Data4(),FertiliserProducts[[#Headers],[Company]], 91)</f>
        <v/>
      </c>
      <c r="AD204" s="146" t="str" cm="1">
        <f t="array" ref="AD204">Common_InputFunctions.Utility_DisplayArrayInTable(Fertiliser_SourceData.Fertiliser_Products_Data4(),FertiliserProducts[[#Headers],[Company]], 91)</f>
        <v/>
      </c>
      <c r="AE204" s="146" t="str" cm="1">
        <f t="array" ref="AE204">Common_InputFunctions.Utility_DisplayArrayInTable(Fertiliser_SourceData.Fertiliser_Products_Data4(),FertiliserProducts[[#Headers],[Company]], 91)</f>
        <v/>
      </c>
      <c r="AF204" s="146" t="str" cm="1">
        <f t="array" ref="AF204">Common_InputFunctions.Utility_DisplayArrayInTable(Fertiliser_SourceData.Fertiliser_Products_Data4(),FertiliserProducts[[#Headers],[Company]], 91)</f>
        <v/>
      </c>
      <c r="AG204" s="146" t="str" cm="1">
        <f t="array" ref="AG204">Common_InputFunctions.Utility_DisplayArrayInTable(Fertiliser_SourceData.Fertiliser_Products_Data4(),FertiliserProducts[[#Headers],[Company]], 91)</f>
        <v/>
      </c>
      <c r="AH204" s="146" t="str" cm="1">
        <f t="array" ref="AH204">Common_InputFunctions.Utility_DisplayArrayInTable(Fertiliser_SourceData.Fertiliser_Products_Data4(),FertiliserProducts[[#Headers],[Company]], 91)</f>
        <v/>
      </c>
    </row>
    <row r="205" spans="4:34" ht="20.100000000000001" customHeight="1" x14ac:dyDescent="0.2">
      <c r="D205" s="146" t="str" cm="1">
        <f t="array" ref="D205">Common_InputFunctions.Utility_DisplayArrayInTable(Fertiliser_SourceData.Fertiliser_Products_Data4(),FertiliserProducts[[#Headers],[Company]], 91)</f>
        <v>Wengfu Australia</v>
      </c>
      <c r="E205" s="146" t="str" cm="1">
        <f t="array" ref="E205">Common_InputFunctions.Utility_DisplayArrayInTable(Fertiliser_SourceData.Fertiliser_Products_Data4(),FertiliserProducts[[#Headers],[Company]], 91)</f>
        <v>Wengfu 16-18-0-10 DAP SuStain</v>
      </c>
      <c r="F205" s="146" t="str" cm="1">
        <f t="array" ref="F205">Common_InputFunctions.Utility_DisplayArrayInTable(Fertiliser_SourceData.Fertiliser_Products_Data4(),FertiliserProducts[[#Headers],[Company]], 91)</f>
        <v>kg</v>
      </c>
      <c r="G205" s="146" cm="1">
        <f t="array" ref="G205">Common_InputFunctions.Utility_DisplayArrayInTable(Fertiliser_SourceData.Fertiliser_Products_Data4(),FertiliserProducts[[#Headers],[Company]], 91)</f>
        <v>1</v>
      </c>
      <c r="H205" s="146" t="str" cm="1">
        <f t="array" ref="H205">Common_InputFunctions.Utility_DisplayArrayInTable(Fertiliser_SourceData.Fertiliser_Products_Data4(),FertiliserProducts[[#Headers],[Company]], 91)</f>
        <v/>
      </c>
      <c r="I205" s="146" t="str" cm="1">
        <f t="array" ref="I205">Common_InputFunctions.Utility_DisplayArrayInTable(Fertiliser_SourceData.Fertiliser_Products_Data4(),FertiliserProducts[[#Headers],[Company]], 91)</f>
        <v/>
      </c>
      <c r="J205" s="146" t="str" cm="1">
        <f t="array" ref="J205">Common_InputFunctions.Utility_DisplayArrayInTable(Fertiliser_SourceData.Fertiliser_Products_Data4(),FertiliserProducts[[#Headers],[Company]], 91)</f>
        <v/>
      </c>
      <c r="K205" s="146" cm="1">
        <f t="array" ref="K205">Common_InputFunctions.Utility_DisplayArrayInTable(Fertiliser_SourceData.Fertiliser_Products_Data4(),FertiliserProducts[[#Headers],[Company]], 91)</f>
        <v>16.2</v>
      </c>
      <c r="L205" s="146" cm="1">
        <f t="array" ref="L205">Common_InputFunctions.Utility_DisplayArrayInTable(Fertiliser_SourceData.Fertiliser_Products_Data4(),FertiliserProducts[[#Headers],[Company]], 91)</f>
        <v>18</v>
      </c>
      <c r="M205" s="146" cm="1">
        <f t="array" ref="M205">Common_InputFunctions.Utility_DisplayArrayInTable(Fertiliser_SourceData.Fertiliser_Products_Data4(),FertiliserProducts[[#Headers],[Company]], 91)</f>
        <v>0</v>
      </c>
      <c r="N205" s="146" cm="1">
        <f t="array" ref="N205">Common_InputFunctions.Utility_DisplayArrayInTable(Fertiliser_SourceData.Fertiliser_Products_Data4(),FertiliserProducts[[#Headers],[Company]], 91)</f>
        <v>10.4</v>
      </c>
      <c r="O205" s="146" t="str" cm="1">
        <f t="array" ref="O205">Common_InputFunctions.Utility_DisplayArrayInTable(Fertiliser_SourceData.Fertiliser_Products_Data4(),FertiliserProducts[[#Headers],[Company]], 91)</f>
        <v>Nitrogen - Generic</v>
      </c>
      <c r="P205" s="146" cm="1">
        <f t="array" ref="P205">Common_InputFunctions.Utility_DisplayArrayInTable(Fertiliser_SourceData.Fertiliser_Products_Data4(),FertiliserProducts[[#Headers],[Company]], 91)</f>
        <v>0.16200000000000001</v>
      </c>
      <c r="Q205" s="146" t="str" cm="1">
        <f t="array" ref="Q205">Common_InputFunctions.Utility_DisplayArrayInTable(Fertiliser_SourceData.Fertiliser_Products_Data4(),FertiliserProducts[[#Headers],[Company]], 91)</f>
        <v>Phosphorus - Generic</v>
      </c>
      <c r="R205" s="146" cm="1">
        <f t="array" ref="R205">Common_InputFunctions.Utility_DisplayArrayInTable(Fertiliser_SourceData.Fertiliser_Products_Data4(),FertiliserProducts[[#Headers],[Company]], 91)</f>
        <v>0.18</v>
      </c>
      <c r="S205" s="146" t="str" cm="1">
        <f t="array" ref="S205">Common_InputFunctions.Utility_DisplayArrayInTable(Fertiliser_SourceData.Fertiliser_Products_Data4(),FertiliserProducts[[#Headers],[Company]], 91)</f>
        <v>Sulfur - Generic</v>
      </c>
      <c r="T205" s="146" cm="1">
        <f t="array" ref="T205">Common_InputFunctions.Utility_DisplayArrayInTable(Fertiliser_SourceData.Fertiliser_Products_Data4(),FertiliserProducts[[#Headers],[Company]], 91)</f>
        <v>0.104</v>
      </c>
      <c r="U205" s="146" t="str" cm="1">
        <f t="array" ref="U205">Common_InputFunctions.Utility_DisplayArrayInTable(Fertiliser_SourceData.Fertiliser_Products_Data4(),FertiliserProducts[[#Headers],[Company]], 91)</f>
        <v/>
      </c>
      <c r="V205" s="146" t="str" cm="1">
        <f t="array" ref="V205">Common_InputFunctions.Utility_DisplayArrayInTable(Fertiliser_SourceData.Fertiliser_Products_Data4(),FertiliserProducts[[#Headers],[Company]], 91)</f>
        <v/>
      </c>
      <c r="W205" s="146" t="str" cm="1">
        <f t="array" ref="W205">Common_InputFunctions.Utility_DisplayArrayInTable(Fertiliser_SourceData.Fertiliser_Products_Data4(),FertiliserProducts[[#Headers],[Company]], 91)</f>
        <v/>
      </c>
      <c r="X205" s="146" t="str" cm="1">
        <f t="array" ref="X205">Common_InputFunctions.Utility_DisplayArrayInTable(Fertiliser_SourceData.Fertiliser_Products_Data4(),FertiliserProducts[[#Headers],[Company]], 91)</f>
        <v/>
      </c>
      <c r="Y205" s="146" t="str" cm="1">
        <f t="array" ref="Y205">Common_InputFunctions.Utility_DisplayArrayInTable(Fertiliser_SourceData.Fertiliser_Products_Data4(),FertiliserProducts[[#Headers],[Company]], 91)</f>
        <v/>
      </c>
      <c r="Z205" s="146" t="str" cm="1">
        <f t="array" ref="Z205">Common_InputFunctions.Utility_DisplayArrayInTable(Fertiliser_SourceData.Fertiliser_Products_Data4(),FertiliserProducts[[#Headers],[Company]], 91)</f>
        <v/>
      </c>
      <c r="AA205" s="146" t="str" cm="1">
        <f t="array" ref="AA205">Common_InputFunctions.Utility_DisplayArrayInTable(Fertiliser_SourceData.Fertiliser_Products_Data4(),FertiliserProducts[[#Headers],[Company]], 91)</f>
        <v/>
      </c>
      <c r="AB205" s="146" t="str" cm="1">
        <f t="array" ref="AB205">Common_InputFunctions.Utility_DisplayArrayInTable(Fertiliser_SourceData.Fertiliser_Products_Data4(),FertiliserProducts[[#Headers],[Company]], 91)</f>
        <v/>
      </c>
      <c r="AC205" s="146" t="str" cm="1">
        <f t="array" ref="AC205">Common_InputFunctions.Utility_DisplayArrayInTable(Fertiliser_SourceData.Fertiliser_Products_Data4(),FertiliserProducts[[#Headers],[Company]], 91)</f>
        <v/>
      </c>
      <c r="AD205" s="146" t="str" cm="1">
        <f t="array" ref="AD205">Common_InputFunctions.Utility_DisplayArrayInTable(Fertiliser_SourceData.Fertiliser_Products_Data4(),FertiliserProducts[[#Headers],[Company]], 91)</f>
        <v/>
      </c>
      <c r="AE205" s="146" t="str" cm="1">
        <f t="array" ref="AE205">Common_InputFunctions.Utility_DisplayArrayInTable(Fertiliser_SourceData.Fertiliser_Products_Data4(),FertiliserProducts[[#Headers],[Company]], 91)</f>
        <v/>
      </c>
      <c r="AF205" s="146" t="str" cm="1">
        <f t="array" ref="AF205">Common_InputFunctions.Utility_DisplayArrayInTable(Fertiliser_SourceData.Fertiliser_Products_Data4(),FertiliserProducts[[#Headers],[Company]], 91)</f>
        <v/>
      </c>
      <c r="AG205" s="146" t="str" cm="1">
        <f t="array" ref="AG205">Common_InputFunctions.Utility_DisplayArrayInTable(Fertiliser_SourceData.Fertiliser_Products_Data4(),FertiliserProducts[[#Headers],[Company]], 91)</f>
        <v/>
      </c>
      <c r="AH205" s="146" t="str" cm="1">
        <f t="array" ref="AH205">Common_InputFunctions.Utility_DisplayArrayInTable(Fertiliser_SourceData.Fertiliser_Products_Data4(),FertiliserProducts[[#Headers],[Company]], 91)</f>
        <v/>
      </c>
    </row>
    <row r="206" spans="4:34" ht="20.100000000000001" customHeight="1" x14ac:dyDescent="0.2">
      <c r="D206" s="146" t="str" cm="1">
        <f t="array" ref="D206">Common_InputFunctions.Utility_DisplayArrayInTable(Fertiliser_SourceData.Fertiliser_Products_Data4(),FertiliserProducts[[#Headers],[Company]], 91)</f>
        <v>Wengfu Australia</v>
      </c>
      <c r="E206" s="146" t="str" cm="1">
        <f t="array" ref="E206">Common_InputFunctions.Utility_DisplayArrayInTable(Fertiliser_SourceData.Fertiliser_Products_Data4(),FertiliserProducts[[#Headers],[Company]], 91)</f>
        <v>Wengfu 5-15-0-6 Fast Start Legume</v>
      </c>
      <c r="F206" s="146" t="str" cm="1">
        <f t="array" ref="F206">Common_InputFunctions.Utility_DisplayArrayInTable(Fertiliser_SourceData.Fertiliser_Products_Data4(),FertiliserProducts[[#Headers],[Company]], 91)</f>
        <v>kg</v>
      </c>
      <c r="G206" s="146" cm="1">
        <f t="array" ref="G206">Common_InputFunctions.Utility_DisplayArrayInTable(Fertiliser_SourceData.Fertiliser_Products_Data4(),FertiliserProducts[[#Headers],[Company]], 91)</f>
        <v>1</v>
      </c>
      <c r="H206" s="146" t="str" cm="1">
        <f t="array" ref="H206">Common_InputFunctions.Utility_DisplayArrayInTable(Fertiliser_SourceData.Fertiliser_Products_Data4(),FertiliserProducts[[#Headers],[Company]], 91)</f>
        <v/>
      </c>
      <c r="I206" s="146" t="str" cm="1">
        <f t="array" ref="I206">Common_InputFunctions.Utility_DisplayArrayInTable(Fertiliser_SourceData.Fertiliser_Products_Data4(),FertiliserProducts[[#Headers],[Company]], 91)</f>
        <v/>
      </c>
      <c r="J206" s="146" t="str" cm="1">
        <f t="array" ref="J206">Common_InputFunctions.Utility_DisplayArrayInTable(Fertiliser_SourceData.Fertiliser_Products_Data4(),FertiliserProducts[[#Headers],[Company]], 91)</f>
        <v/>
      </c>
      <c r="K206" s="146" cm="1">
        <f t="array" ref="K206">Common_InputFunctions.Utility_DisplayArrayInTable(Fertiliser_SourceData.Fertiliser_Products_Data4(),FertiliserProducts[[#Headers],[Company]], 91)</f>
        <v>5</v>
      </c>
      <c r="L206" s="146" cm="1">
        <f t="array" ref="L206">Common_InputFunctions.Utility_DisplayArrayInTable(Fertiliser_SourceData.Fertiliser_Products_Data4(),FertiliserProducts[[#Headers],[Company]], 91)</f>
        <v>15.4</v>
      </c>
      <c r="M206" s="146" cm="1">
        <f t="array" ref="M206">Common_InputFunctions.Utility_DisplayArrayInTable(Fertiliser_SourceData.Fertiliser_Products_Data4(),FertiliserProducts[[#Headers],[Company]], 91)</f>
        <v>0</v>
      </c>
      <c r="N206" s="146" cm="1">
        <f t="array" ref="N206">Common_InputFunctions.Utility_DisplayArrayInTable(Fertiliser_SourceData.Fertiliser_Products_Data4(),FertiliserProducts[[#Headers],[Company]], 91)</f>
        <v>6.3</v>
      </c>
      <c r="O206" s="146" t="str" cm="1">
        <f t="array" ref="O206">Common_InputFunctions.Utility_DisplayArrayInTable(Fertiliser_SourceData.Fertiliser_Products_Data4(),FertiliserProducts[[#Headers],[Company]], 91)</f>
        <v>Nitrogen - Generic</v>
      </c>
      <c r="P206" s="146" cm="1">
        <f t="array" ref="P206">Common_InputFunctions.Utility_DisplayArrayInTable(Fertiliser_SourceData.Fertiliser_Products_Data4(),FertiliserProducts[[#Headers],[Company]], 91)</f>
        <v>0.05</v>
      </c>
      <c r="Q206" s="146" t="str" cm="1">
        <f t="array" ref="Q206">Common_InputFunctions.Utility_DisplayArrayInTable(Fertiliser_SourceData.Fertiliser_Products_Data4(),FertiliserProducts[[#Headers],[Company]], 91)</f>
        <v>Phosphorus - Generic</v>
      </c>
      <c r="R206" s="146" cm="1">
        <f t="array" ref="R206">Common_InputFunctions.Utility_DisplayArrayInTable(Fertiliser_SourceData.Fertiliser_Products_Data4(),FertiliserProducts[[#Headers],[Company]], 91)</f>
        <v>0.154</v>
      </c>
      <c r="S206" s="146" t="str" cm="1">
        <f t="array" ref="S206">Common_InputFunctions.Utility_DisplayArrayInTable(Fertiliser_SourceData.Fertiliser_Products_Data4(),FertiliserProducts[[#Headers],[Company]], 91)</f>
        <v>Sulfur - Generic</v>
      </c>
      <c r="T206" s="146" cm="1">
        <f t="array" ref="T206">Common_InputFunctions.Utility_DisplayArrayInTable(Fertiliser_SourceData.Fertiliser_Products_Data4(),FertiliserProducts[[#Headers],[Company]], 91)</f>
        <v>6.3E-2</v>
      </c>
      <c r="U206" s="146" t="str" cm="1">
        <f t="array" ref="U206">Common_InputFunctions.Utility_DisplayArrayInTable(Fertiliser_SourceData.Fertiliser_Products_Data4(),FertiliserProducts[[#Headers],[Company]], 91)</f>
        <v/>
      </c>
      <c r="V206" s="146" t="str" cm="1">
        <f t="array" ref="V206">Common_InputFunctions.Utility_DisplayArrayInTable(Fertiliser_SourceData.Fertiliser_Products_Data4(),FertiliserProducts[[#Headers],[Company]], 91)</f>
        <v/>
      </c>
      <c r="W206" s="146" t="str" cm="1">
        <f t="array" ref="W206">Common_InputFunctions.Utility_DisplayArrayInTable(Fertiliser_SourceData.Fertiliser_Products_Data4(),FertiliserProducts[[#Headers],[Company]], 91)</f>
        <v/>
      </c>
      <c r="X206" s="146" t="str" cm="1">
        <f t="array" ref="X206">Common_InputFunctions.Utility_DisplayArrayInTable(Fertiliser_SourceData.Fertiliser_Products_Data4(),FertiliserProducts[[#Headers],[Company]], 91)</f>
        <v/>
      </c>
      <c r="Y206" s="146" t="str" cm="1">
        <f t="array" ref="Y206">Common_InputFunctions.Utility_DisplayArrayInTable(Fertiliser_SourceData.Fertiliser_Products_Data4(),FertiliserProducts[[#Headers],[Company]], 91)</f>
        <v/>
      </c>
      <c r="Z206" s="146" t="str" cm="1">
        <f t="array" ref="Z206">Common_InputFunctions.Utility_DisplayArrayInTable(Fertiliser_SourceData.Fertiliser_Products_Data4(),FertiliserProducts[[#Headers],[Company]], 91)</f>
        <v/>
      </c>
      <c r="AA206" s="146" t="str" cm="1">
        <f t="array" ref="AA206">Common_InputFunctions.Utility_DisplayArrayInTable(Fertiliser_SourceData.Fertiliser_Products_Data4(),FertiliserProducts[[#Headers],[Company]], 91)</f>
        <v/>
      </c>
      <c r="AB206" s="146" t="str" cm="1">
        <f t="array" ref="AB206">Common_InputFunctions.Utility_DisplayArrayInTable(Fertiliser_SourceData.Fertiliser_Products_Data4(),FertiliserProducts[[#Headers],[Company]], 91)</f>
        <v/>
      </c>
      <c r="AC206" s="146" t="str" cm="1">
        <f t="array" ref="AC206">Common_InputFunctions.Utility_DisplayArrayInTable(Fertiliser_SourceData.Fertiliser_Products_Data4(),FertiliserProducts[[#Headers],[Company]], 91)</f>
        <v/>
      </c>
      <c r="AD206" s="146" t="str" cm="1">
        <f t="array" ref="AD206">Common_InputFunctions.Utility_DisplayArrayInTable(Fertiliser_SourceData.Fertiliser_Products_Data4(),FertiliserProducts[[#Headers],[Company]], 91)</f>
        <v/>
      </c>
      <c r="AE206" s="146" t="str" cm="1">
        <f t="array" ref="AE206">Common_InputFunctions.Utility_DisplayArrayInTable(Fertiliser_SourceData.Fertiliser_Products_Data4(),FertiliserProducts[[#Headers],[Company]], 91)</f>
        <v/>
      </c>
      <c r="AF206" s="146" t="str" cm="1">
        <f t="array" ref="AF206">Common_InputFunctions.Utility_DisplayArrayInTable(Fertiliser_SourceData.Fertiliser_Products_Data4(),FertiliserProducts[[#Headers],[Company]], 91)</f>
        <v/>
      </c>
      <c r="AG206" s="146" t="str" cm="1">
        <f t="array" ref="AG206">Common_InputFunctions.Utility_DisplayArrayInTable(Fertiliser_SourceData.Fertiliser_Products_Data4(),FertiliserProducts[[#Headers],[Company]], 91)</f>
        <v/>
      </c>
      <c r="AH206" s="146" t="str" cm="1">
        <f t="array" ref="AH206">Common_InputFunctions.Utility_DisplayArrayInTable(Fertiliser_SourceData.Fertiliser_Products_Data4(),FertiliserProducts[[#Headers],[Company]], 91)</f>
        <v/>
      </c>
    </row>
    <row r="207" spans="4:34" ht="20.100000000000001" customHeight="1" x14ac:dyDescent="0.2">
      <c r="D207" s="146" t="str" cm="1">
        <f t="array" ref="D207">Common_InputFunctions.Utility_DisplayArrayInTable(Fertiliser_SourceData.Fertiliser_Products_Data4(),FertiliserProducts[[#Headers],[Company]], 91)</f>
        <v>Wengfu Australia</v>
      </c>
      <c r="E207" s="146" t="str" cm="1">
        <f t="array" ref="E207">Common_InputFunctions.Utility_DisplayArrayInTable(Fertiliser_SourceData.Fertiliser_Products_Data4(),FertiliserProducts[[#Headers],[Company]], 91)</f>
        <v>Wengfu 9-20-0-10 PrimeZinc</v>
      </c>
      <c r="F207" s="146" t="str" cm="1">
        <f t="array" ref="F207">Common_InputFunctions.Utility_DisplayArrayInTable(Fertiliser_SourceData.Fertiliser_Products_Data4(),FertiliserProducts[[#Headers],[Company]], 91)</f>
        <v>kg</v>
      </c>
      <c r="G207" s="146" cm="1">
        <f t="array" ref="G207">Common_InputFunctions.Utility_DisplayArrayInTable(Fertiliser_SourceData.Fertiliser_Products_Data4(),FertiliserProducts[[#Headers],[Company]], 91)</f>
        <v>1</v>
      </c>
      <c r="H207" s="146" t="str" cm="1">
        <f t="array" ref="H207">Common_InputFunctions.Utility_DisplayArrayInTable(Fertiliser_SourceData.Fertiliser_Products_Data4(),FertiliserProducts[[#Headers],[Company]], 91)</f>
        <v/>
      </c>
      <c r="I207" s="146" t="str" cm="1">
        <f t="array" ref="I207">Common_InputFunctions.Utility_DisplayArrayInTable(Fertiliser_SourceData.Fertiliser_Products_Data4(),FertiliserProducts[[#Headers],[Company]], 91)</f>
        <v/>
      </c>
      <c r="J207" s="146" t="str" cm="1">
        <f t="array" ref="J207">Common_InputFunctions.Utility_DisplayArrayInTable(Fertiliser_SourceData.Fertiliser_Products_Data4(),FertiliserProducts[[#Headers],[Company]], 91)</f>
        <v/>
      </c>
      <c r="K207" s="146" cm="1">
        <f t="array" ref="K207">Common_InputFunctions.Utility_DisplayArrayInTable(Fertiliser_SourceData.Fertiliser_Products_Data4(),FertiliserProducts[[#Headers],[Company]], 91)</f>
        <v>9</v>
      </c>
      <c r="L207" s="146" cm="1">
        <f t="array" ref="L207">Common_InputFunctions.Utility_DisplayArrayInTable(Fertiliser_SourceData.Fertiliser_Products_Data4(),FertiliserProducts[[#Headers],[Company]], 91)</f>
        <v>19.8</v>
      </c>
      <c r="M207" s="146" cm="1">
        <f t="array" ref="M207">Common_InputFunctions.Utility_DisplayArrayInTable(Fertiliser_SourceData.Fertiliser_Products_Data4(),FertiliserProducts[[#Headers],[Company]], 91)</f>
        <v>0</v>
      </c>
      <c r="N207" s="146" cm="1">
        <f t="array" ref="N207">Common_InputFunctions.Utility_DisplayArrayInTable(Fertiliser_SourceData.Fertiliser_Products_Data4(),FertiliserProducts[[#Headers],[Company]], 91)</f>
        <v>10.4</v>
      </c>
      <c r="O207" s="146" t="str" cm="1">
        <f t="array" ref="O207">Common_InputFunctions.Utility_DisplayArrayInTable(Fertiliser_SourceData.Fertiliser_Products_Data4(),FertiliserProducts[[#Headers],[Company]], 91)</f>
        <v>Nitrogen - Generic</v>
      </c>
      <c r="P207" s="146" cm="1">
        <f t="array" ref="P207">Common_InputFunctions.Utility_DisplayArrayInTable(Fertiliser_SourceData.Fertiliser_Products_Data4(),FertiliserProducts[[#Headers],[Company]], 91)</f>
        <v>0.09</v>
      </c>
      <c r="Q207" s="146" t="str" cm="1">
        <f t="array" ref="Q207">Common_InputFunctions.Utility_DisplayArrayInTable(Fertiliser_SourceData.Fertiliser_Products_Data4(),FertiliserProducts[[#Headers],[Company]], 91)</f>
        <v>Phosphorus - Generic</v>
      </c>
      <c r="R207" s="146" cm="1">
        <f t="array" ref="R207">Common_InputFunctions.Utility_DisplayArrayInTable(Fertiliser_SourceData.Fertiliser_Products_Data4(),FertiliserProducts[[#Headers],[Company]], 91)</f>
        <v>0.19800000000000001</v>
      </c>
      <c r="S207" s="146" t="str" cm="1">
        <f t="array" ref="S207">Common_InputFunctions.Utility_DisplayArrayInTable(Fertiliser_SourceData.Fertiliser_Products_Data4(),FertiliserProducts[[#Headers],[Company]], 91)</f>
        <v>Sulfur - Generic</v>
      </c>
      <c r="T207" s="146" cm="1">
        <f t="array" ref="T207">Common_InputFunctions.Utility_DisplayArrayInTable(Fertiliser_SourceData.Fertiliser_Products_Data4(),FertiliserProducts[[#Headers],[Company]], 91)</f>
        <v>0.104</v>
      </c>
      <c r="U207" s="146" t="str" cm="1">
        <f t="array" ref="U207">Common_InputFunctions.Utility_DisplayArrayInTable(Fertiliser_SourceData.Fertiliser_Products_Data4(),FertiliserProducts[[#Headers],[Company]], 91)</f>
        <v>Zinc</v>
      </c>
      <c r="V207" s="146" cm="1">
        <f t="array" ref="V207">Common_InputFunctions.Utility_DisplayArrayInTable(Fertiliser_SourceData.Fertiliser_Products_Data4(),FertiliserProducts[[#Headers],[Company]], 91)</f>
        <v>8.9999999999999993E-3</v>
      </c>
      <c r="W207" s="146" t="str" cm="1">
        <f t="array" ref="W207">Common_InputFunctions.Utility_DisplayArrayInTable(Fertiliser_SourceData.Fertiliser_Products_Data4(),FertiliserProducts[[#Headers],[Company]], 91)</f>
        <v/>
      </c>
      <c r="X207" s="146" t="str" cm="1">
        <f t="array" ref="X207">Common_InputFunctions.Utility_DisplayArrayInTable(Fertiliser_SourceData.Fertiliser_Products_Data4(),FertiliserProducts[[#Headers],[Company]], 91)</f>
        <v/>
      </c>
      <c r="Y207" s="146" t="str" cm="1">
        <f t="array" ref="Y207">Common_InputFunctions.Utility_DisplayArrayInTable(Fertiliser_SourceData.Fertiliser_Products_Data4(),FertiliserProducts[[#Headers],[Company]], 91)</f>
        <v/>
      </c>
      <c r="Z207" s="146" t="str" cm="1">
        <f t="array" ref="Z207">Common_InputFunctions.Utility_DisplayArrayInTable(Fertiliser_SourceData.Fertiliser_Products_Data4(),FertiliserProducts[[#Headers],[Company]], 91)</f>
        <v/>
      </c>
      <c r="AA207" s="146" t="str" cm="1">
        <f t="array" ref="AA207">Common_InputFunctions.Utility_DisplayArrayInTable(Fertiliser_SourceData.Fertiliser_Products_Data4(),FertiliserProducts[[#Headers],[Company]], 91)</f>
        <v/>
      </c>
      <c r="AB207" s="146" t="str" cm="1">
        <f t="array" ref="AB207">Common_InputFunctions.Utility_DisplayArrayInTable(Fertiliser_SourceData.Fertiliser_Products_Data4(),FertiliserProducts[[#Headers],[Company]], 91)</f>
        <v/>
      </c>
      <c r="AC207" s="146" t="str" cm="1">
        <f t="array" ref="AC207">Common_InputFunctions.Utility_DisplayArrayInTable(Fertiliser_SourceData.Fertiliser_Products_Data4(),FertiliserProducts[[#Headers],[Company]], 91)</f>
        <v/>
      </c>
      <c r="AD207" s="146" t="str" cm="1">
        <f t="array" ref="AD207">Common_InputFunctions.Utility_DisplayArrayInTable(Fertiliser_SourceData.Fertiliser_Products_Data4(),FertiliserProducts[[#Headers],[Company]], 91)</f>
        <v/>
      </c>
      <c r="AE207" s="146" t="str" cm="1">
        <f t="array" ref="AE207">Common_InputFunctions.Utility_DisplayArrayInTable(Fertiliser_SourceData.Fertiliser_Products_Data4(),FertiliserProducts[[#Headers],[Company]], 91)</f>
        <v/>
      </c>
      <c r="AF207" s="146" t="str" cm="1">
        <f t="array" ref="AF207">Common_InputFunctions.Utility_DisplayArrayInTable(Fertiliser_SourceData.Fertiliser_Products_Data4(),FertiliserProducts[[#Headers],[Company]], 91)</f>
        <v/>
      </c>
      <c r="AG207" s="146" t="str" cm="1">
        <f t="array" ref="AG207">Common_InputFunctions.Utility_DisplayArrayInTable(Fertiliser_SourceData.Fertiliser_Products_Data4(),FertiliserProducts[[#Headers],[Company]], 91)</f>
        <v/>
      </c>
      <c r="AH207" s="146" t="str" cm="1">
        <f t="array" ref="AH207">Common_InputFunctions.Utility_DisplayArrayInTable(Fertiliser_SourceData.Fertiliser_Products_Data4(),FertiliserProducts[[#Headers],[Company]], 91)</f>
        <v/>
      </c>
    </row>
    <row r="208" spans="4:34" ht="20.100000000000001" customHeight="1" x14ac:dyDescent="0.2">
      <c r="D208" s="146" t="str" cm="1">
        <f t="array" ref="D208">Common_InputFunctions.Utility_DisplayArrayInTable(Fertiliser_SourceData.Fertiliser_Products_Data4(),FertiliserProducts[[#Headers],[Company]], 91)</f>
        <v>Wengfu Australia</v>
      </c>
      <c r="E208" s="146" t="str" cm="1">
        <f t="array" ref="E208">Common_InputFunctions.Utility_DisplayArrayInTable(Fertiliser_SourceData.Fertiliser_Products_Data4(),FertiliserProducts[[#Headers],[Company]], 91)</f>
        <v>Wengfu 12-18-0-6 PrimeZinc</v>
      </c>
      <c r="F208" s="146" t="str" cm="1">
        <f t="array" ref="F208">Common_InputFunctions.Utility_DisplayArrayInTable(Fertiliser_SourceData.Fertiliser_Products_Data4(),FertiliserProducts[[#Headers],[Company]], 91)</f>
        <v>kg</v>
      </c>
      <c r="G208" s="146" cm="1">
        <f t="array" ref="G208">Common_InputFunctions.Utility_DisplayArrayInTable(Fertiliser_SourceData.Fertiliser_Products_Data4(),FertiliserProducts[[#Headers],[Company]], 91)</f>
        <v>1</v>
      </c>
      <c r="H208" s="146" t="str" cm="1">
        <f t="array" ref="H208">Common_InputFunctions.Utility_DisplayArrayInTable(Fertiliser_SourceData.Fertiliser_Products_Data4(),FertiliserProducts[[#Headers],[Company]], 91)</f>
        <v/>
      </c>
      <c r="I208" s="146" t="str" cm="1">
        <f t="array" ref="I208">Common_InputFunctions.Utility_DisplayArrayInTable(Fertiliser_SourceData.Fertiliser_Products_Data4(),FertiliserProducts[[#Headers],[Company]], 91)</f>
        <v/>
      </c>
      <c r="J208" s="146" t="str" cm="1">
        <f t="array" ref="J208">Common_InputFunctions.Utility_DisplayArrayInTable(Fertiliser_SourceData.Fertiliser_Products_Data4(),FertiliserProducts[[#Headers],[Company]], 91)</f>
        <v/>
      </c>
      <c r="K208" s="146" cm="1">
        <f t="array" ref="K208">Common_InputFunctions.Utility_DisplayArrayInTable(Fertiliser_SourceData.Fertiliser_Products_Data4(),FertiliserProducts[[#Headers],[Company]], 91)</f>
        <v>11.9</v>
      </c>
      <c r="L208" s="146" cm="1">
        <f t="array" ref="L208">Common_InputFunctions.Utility_DisplayArrayInTable(Fertiliser_SourceData.Fertiliser_Products_Data4(),FertiliserProducts[[#Headers],[Company]], 91)</f>
        <v>17.600000000000001</v>
      </c>
      <c r="M208" s="146" cm="1">
        <f t="array" ref="M208">Common_InputFunctions.Utility_DisplayArrayInTable(Fertiliser_SourceData.Fertiliser_Products_Data4(),FertiliserProducts[[#Headers],[Company]], 91)</f>
        <v>0</v>
      </c>
      <c r="N208" s="146" cm="1">
        <f t="array" ref="N208">Common_InputFunctions.Utility_DisplayArrayInTable(Fertiliser_SourceData.Fertiliser_Products_Data4(),FertiliserProducts[[#Headers],[Company]], 91)</f>
        <v>5.9</v>
      </c>
      <c r="O208" s="146" t="str" cm="1">
        <f t="array" ref="O208">Common_InputFunctions.Utility_DisplayArrayInTable(Fertiliser_SourceData.Fertiliser_Products_Data4(),FertiliserProducts[[#Headers],[Company]], 91)</f>
        <v>Nitrogen - Generic</v>
      </c>
      <c r="P208" s="146" cm="1">
        <f t="array" ref="P208">Common_InputFunctions.Utility_DisplayArrayInTable(Fertiliser_SourceData.Fertiliser_Products_Data4(),FertiliserProducts[[#Headers],[Company]], 91)</f>
        <v>0.11899999999999999</v>
      </c>
      <c r="Q208" s="146" t="str" cm="1">
        <f t="array" ref="Q208">Common_InputFunctions.Utility_DisplayArrayInTable(Fertiliser_SourceData.Fertiliser_Products_Data4(),FertiliserProducts[[#Headers],[Company]], 91)</f>
        <v>Phosphorus - Generic</v>
      </c>
      <c r="R208" s="146" cm="1">
        <f t="array" ref="R208">Common_InputFunctions.Utility_DisplayArrayInTable(Fertiliser_SourceData.Fertiliser_Products_Data4(),FertiliserProducts[[#Headers],[Company]], 91)</f>
        <v>0.17599999999999999</v>
      </c>
      <c r="S208" s="146" t="str" cm="1">
        <f t="array" ref="S208">Common_InputFunctions.Utility_DisplayArrayInTable(Fertiliser_SourceData.Fertiliser_Products_Data4(),FertiliserProducts[[#Headers],[Company]], 91)</f>
        <v>Sulfur - Generic</v>
      </c>
      <c r="T208" s="146" cm="1">
        <f t="array" ref="T208">Common_InputFunctions.Utility_DisplayArrayInTable(Fertiliser_SourceData.Fertiliser_Products_Data4(),FertiliserProducts[[#Headers],[Company]], 91)</f>
        <v>5.8999999999999997E-2</v>
      </c>
      <c r="U208" s="146" t="str" cm="1">
        <f t="array" ref="U208">Common_InputFunctions.Utility_DisplayArrayInTable(Fertiliser_SourceData.Fertiliser_Products_Data4(),FertiliserProducts[[#Headers],[Company]], 91)</f>
        <v>Zinc</v>
      </c>
      <c r="V208" s="146" cm="1">
        <f t="array" ref="V208">Common_InputFunctions.Utility_DisplayArrayInTable(Fertiliser_SourceData.Fertiliser_Products_Data4(),FertiliserProducts[[#Headers],[Company]], 91)</f>
        <v>8.0000000000000002E-3</v>
      </c>
      <c r="W208" s="146" t="str" cm="1">
        <f t="array" ref="W208">Common_InputFunctions.Utility_DisplayArrayInTable(Fertiliser_SourceData.Fertiliser_Products_Data4(),FertiliserProducts[[#Headers],[Company]], 91)</f>
        <v/>
      </c>
      <c r="X208" s="146" t="str" cm="1">
        <f t="array" ref="X208">Common_InputFunctions.Utility_DisplayArrayInTable(Fertiliser_SourceData.Fertiliser_Products_Data4(),FertiliserProducts[[#Headers],[Company]], 91)</f>
        <v/>
      </c>
      <c r="Y208" s="146" t="str" cm="1">
        <f t="array" ref="Y208">Common_InputFunctions.Utility_DisplayArrayInTable(Fertiliser_SourceData.Fertiliser_Products_Data4(),FertiliserProducts[[#Headers],[Company]], 91)</f>
        <v/>
      </c>
      <c r="Z208" s="146" t="str" cm="1">
        <f t="array" ref="Z208">Common_InputFunctions.Utility_DisplayArrayInTable(Fertiliser_SourceData.Fertiliser_Products_Data4(),FertiliserProducts[[#Headers],[Company]], 91)</f>
        <v/>
      </c>
      <c r="AA208" s="146" t="str" cm="1">
        <f t="array" ref="AA208">Common_InputFunctions.Utility_DisplayArrayInTable(Fertiliser_SourceData.Fertiliser_Products_Data4(),FertiliserProducts[[#Headers],[Company]], 91)</f>
        <v/>
      </c>
      <c r="AB208" s="146" t="str" cm="1">
        <f t="array" ref="AB208">Common_InputFunctions.Utility_DisplayArrayInTable(Fertiliser_SourceData.Fertiliser_Products_Data4(),FertiliserProducts[[#Headers],[Company]], 91)</f>
        <v/>
      </c>
      <c r="AC208" s="146" t="str" cm="1">
        <f t="array" ref="AC208">Common_InputFunctions.Utility_DisplayArrayInTable(Fertiliser_SourceData.Fertiliser_Products_Data4(),FertiliserProducts[[#Headers],[Company]], 91)</f>
        <v/>
      </c>
      <c r="AD208" s="146" t="str" cm="1">
        <f t="array" ref="AD208">Common_InputFunctions.Utility_DisplayArrayInTable(Fertiliser_SourceData.Fertiliser_Products_Data4(),FertiliserProducts[[#Headers],[Company]], 91)</f>
        <v/>
      </c>
      <c r="AE208" s="146" t="str" cm="1">
        <f t="array" ref="AE208">Common_InputFunctions.Utility_DisplayArrayInTable(Fertiliser_SourceData.Fertiliser_Products_Data4(),FertiliserProducts[[#Headers],[Company]], 91)</f>
        <v/>
      </c>
      <c r="AF208" s="146" t="str" cm="1">
        <f t="array" ref="AF208">Common_InputFunctions.Utility_DisplayArrayInTable(Fertiliser_SourceData.Fertiliser_Products_Data4(),FertiliserProducts[[#Headers],[Company]], 91)</f>
        <v/>
      </c>
      <c r="AG208" s="146" t="str" cm="1">
        <f t="array" ref="AG208">Common_InputFunctions.Utility_DisplayArrayInTable(Fertiliser_SourceData.Fertiliser_Products_Data4(),FertiliserProducts[[#Headers],[Company]], 91)</f>
        <v/>
      </c>
      <c r="AH208" s="146" t="str" cm="1">
        <f t="array" ref="AH208">Common_InputFunctions.Utility_DisplayArrayInTable(Fertiliser_SourceData.Fertiliser_Products_Data4(),FertiliserProducts[[#Headers],[Company]], 91)</f>
        <v/>
      </c>
    </row>
    <row r="209" spans="1:34" ht="20.100000000000001" customHeight="1" x14ac:dyDescent="0.2">
      <c r="D209" s="146" t="str" cm="1">
        <f t="array" ref="D209">Common_InputFunctions.Utility_DisplayArrayInTable(Fertiliser_SourceData.Fertiliser_Products_Data4(),FertiliserProducts[[#Headers],[Company]], 91)</f>
        <v>Wengfu Australia</v>
      </c>
      <c r="E209" s="146" t="str" cm="1">
        <f t="array" ref="E209">Common_InputFunctions.Utility_DisplayArrayInTable(Fertiliser_SourceData.Fertiliser_Products_Data4(),FertiliserProducts[[#Headers],[Company]], 91)</f>
        <v>Wengfu 14-13-0-11 PrimeZinc</v>
      </c>
      <c r="F209" s="146" t="str" cm="1">
        <f t="array" ref="F209">Common_InputFunctions.Utility_DisplayArrayInTable(Fertiliser_SourceData.Fertiliser_Products_Data4(),FertiliserProducts[[#Headers],[Company]], 91)</f>
        <v>kg</v>
      </c>
      <c r="G209" s="146" cm="1">
        <f t="array" ref="G209">Common_InputFunctions.Utility_DisplayArrayInTable(Fertiliser_SourceData.Fertiliser_Products_Data4(),FertiliserProducts[[#Headers],[Company]], 91)</f>
        <v>1</v>
      </c>
      <c r="H209" s="146" t="str" cm="1">
        <f t="array" ref="H209">Common_InputFunctions.Utility_DisplayArrayInTable(Fertiliser_SourceData.Fertiliser_Products_Data4(),FertiliserProducts[[#Headers],[Company]], 91)</f>
        <v/>
      </c>
      <c r="I209" s="146" t="str" cm="1">
        <f t="array" ref="I209">Common_InputFunctions.Utility_DisplayArrayInTable(Fertiliser_SourceData.Fertiliser_Products_Data4(),FertiliserProducts[[#Headers],[Company]], 91)</f>
        <v/>
      </c>
      <c r="J209" s="146" t="str" cm="1">
        <f t="array" ref="J209">Common_InputFunctions.Utility_DisplayArrayInTable(Fertiliser_SourceData.Fertiliser_Products_Data4(),FertiliserProducts[[#Headers],[Company]], 91)</f>
        <v/>
      </c>
      <c r="K209" s="146" cm="1">
        <f t="array" ref="K209">Common_InputFunctions.Utility_DisplayArrayInTable(Fertiliser_SourceData.Fertiliser_Products_Data4(),FertiliserProducts[[#Headers],[Company]], 91)</f>
        <v>14.1</v>
      </c>
      <c r="L209" s="146" cm="1">
        <f t="array" ref="L209">Common_InputFunctions.Utility_DisplayArrayInTable(Fertiliser_SourceData.Fertiliser_Products_Data4(),FertiliserProducts[[#Headers],[Company]], 91)</f>
        <v>12.8</v>
      </c>
      <c r="M209" s="146" cm="1">
        <f t="array" ref="M209">Common_InputFunctions.Utility_DisplayArrayInTable(Fertiliser_SourceData.Fertiliser_Products_Data4(),FertiliserProducts[[#Headers],[Company]], 91)</f>
        <v>0</v>
      </c>
      <c r="N209" s="146" cm="1">
        <f t="array" ref="N209">Common_InputFunctions.Utility_DisplayArrayInTable(Fertiliser_SourceData.Fertiliser_Products_Data4(),FertiliserProducts[[#Headers],[Company]], 91)</f>
        <v>10.7</v>
      </c>
      <c r="O209" s="146" t="str" cm="1">
        <f t="array" ref="O209">Common_InputFunctions.Utility_DisplayArrayInTable(Fertiliser_SourceData.Fertiliser_Products_Data4(),FertiliserProducts[[#Headers],[Company]], 91)</f>
        <v>Nitrogen - Generic</v>
      </c>
      <c r="P209" s="146" cm="1">
        <f t="array" ref="P209">Common_InputFunctions.Utility_DisplayArrayInTable(Fertiliser_SourceData.Fertiliser_Products_Data4(),FertiliserProducts[[#Headers],[Company]], 91)</f>
        <v>0.14099999999999999</v>
      </c>
      <c r="Q209" s="146" t="str" cm="1">
        <f t="array" ref="Q209">Common_InputFunctions.Utility_DisplayArrayInTable(Fertiliser_SourceData.Fertiliser_Products_Data4(),FertiliserProducts[[#Headers],[Company]], 91)</f>
        <v>Phosphorus - Generic</v>
      </c>
      <c r="R209" s="146" cm="1">
        <f t="array" ref="R209">Common_InputFunctions.Utility_DisplayArrayInTable(Fertiliser_SourceData.Fertiliser_Products_Data4(),FertiliserProducts[[#Headers],[Company]], 91)</f>
        <v>0.128</v>
      </c>
      <c r="S209" s="146" t="str" cm="1">
        <f t="array" ref="S209">Common_InputFunctions.Utility_DisplayArrayInTable(Fertiliser_SourceData.Fertiliser_Products_Data4(),FertiliserProducts[[#Headers],[Company]], 91)</f>
        <v>Sulfur - Generic</v>
      </c>
      <c r="T209" s="146" cm="1">
        <f t="array" ref="T209">Common_InputFunctions.Utility_DisplayArrayInTable(Fertiliser_SourceData.Fertiliser_Products_Data4(),FertiliserProducts[[#Headers],[Company]], 91)</f>
        <v>0.107</v>
      </c>
      <c r="U209" s="146" t="str" cm="1">
        <f t="array" ref="U209">Common_InputFunctions.Utility_DisplayArrayInTable(Fertiliser_SourceData.Fertiliser_Products_Data4(),FertiliserProducts[[#Headers],[Company]], 91)</f>
        <v>Zinc</v>
      </c>
      <c r="V209" s="146" cm="1">
        <f t="array" ref="V209">Common_InputFunctions.Utility_DisplayArrayInTable(Fertiliser_SourceData.Fertiliser_Products_Data4(),FertiliserProducts[[#Headers],[Company]], 91)</f>
        <v>6.0000000000000001E-3</v>
      </c>
      <c r="W209" s="146" t="str" cm="1">
        <f t="array" ref="W209">Common_InputFunctions.Utility_DisplayArrayInTable(Fertiliser_SourceData.Fertiliser_Products_Data4(),FertiliserProducts[[#Headers],[Company]], 91)</f>
        <v/>
      </c>
      <c r="X209" s="146" t="str" cm="1">
        <f t="array" ref="X209">Common_InputFunctions.Utility_DisplayArrayInTable(Fertiliser_SourceData.Fertiliser_Products_Data4(),FertiliserProducts[[#Headers],[Company]], 91)</f>
        <v/>
      </c>
      <c r="Y209" s="146" t="str" cm="1">
        <f t="array" ref="Y209">Common_InputFunctions.Utility_DisplayArrayInTable(Fertiliser_SourceData.Fertiliser_Products_Data4(),FertiliserProducts[[#Headers],[Company]], 91)</f>
        <v/>
      </c>
      <c r="Z209" s="146" t="str" cm="1">
        <f t="array" ref="Z209">Common_InputFunctions.Utility_DisplayArrayInTable(Fertiliser_SourceData.Fertiliser_Products_Data4(),FertiliserProducts[[#Headers],[Company]], 91)</f>
        <v/>
      </c>
      <c r="AA209" s="146" t="str" cm="1">
        <f t="array" ref="AA209">Common_InputFunctions.Utility_DisplayArrayInTable(Fertiliser_SourceData.Fertiliser_Products_Data4(),FertiliserProducts[[#Headers],[Company]], 91)</f>
        <v/>
      </c>
      <c r="AB209" s="146" t="str" cm="1">
        <f t="array" ref="AB209">Common_InputFunctions.Utility_DisplayArrayInTable(Fertiliser_SourceData.Fertiliser_Products_Data4(),FertiliserProducts[[#Headers],[Company]], 91)</f>
        <v/>
      </c>
      <c r="AC209" s="146" t="str" cm="1">
        <f t="array" ref="AC209">Common_InputFunctions.Utility_DisplayArrayInTable(Fertiliser_SourceData.Fertiliser_Products_Data4(),FertiliserProducts[[#Headers],[Company]], 91)</f>
        <v/>
      </c>
      <c r="AD209" s="146" t="str" cm="1">
        <f t="array" ref="AD209">Common_InputFunctions.Utility_DisplayArrayInTable(Fertiliser_SourceData.Fertiliser_Products_Data4(),FertiliserProducts[[#Headers],[Company]], 91)</f>
        <v/>
      </c>
      <c r="AE209" s="146" t="str" cm="1">
        <f t="array" ref="AE209">Common_InputFunctions.Utility_DisplayArrayInTable(Fertiliser_SourceData.Fertiliser_Products_Data4(),FertiliserProducts[[#Headers],[Company]], 91)</f>
        <v/>
      </c>
      <c r="AF209" s="146" t="str" cm="1">
        <f t="array" ref="AF209">Common_InputFunctions.Utility_DisplayArrayInTable(Fertiliser_SourceData.Fertiliser_Products_Data4(),FertiliserProducts[[#Headers],[Company]], 91)</f>
        <v/>
      </c>
      <c r="AG209" s="146" t="str" cm="1">
        <f t="array" ref="AG209">Common_InputFunctions.Utility_DisplayArrayInTable(Fertiliser_SourceData.Fertiliser_Products_Data4(),FertiliserProducts[[#Headers],[Company]], 91)</f>
        <v/>
      </c>
      <c r="AH209" s="146" t="str" cm="1">
        <f t="array" ref="AH209">Common_InputFunctions.Utility_DisplayArrayInTable(Fertiliser_SourceData.Fertiliser_Products_Data4(),FertiliserProducts[[#Headers],[Company]], 91)</f>
        <v/>
      </c>
    </row>
    <row r="210" spans="1:34" ht="20.100000000000001" customHeight="1" x14ac:dyDescent="0.2">
      <c r="D210" s="146" t="str" cm="1">
        <f t="array" ref="D210">Common_InputFunctions.Utility_DisplayArrayInTable(Fertiliser_SourceData.Fertiliser_Products_Data5(),FertiliserProducts[[#Headers],[Company]], 121)</f>
        <v>Wengfu Australia</v>
      </c>
      <c r="E210" s="146" t="str" cm="1">
        <f t="array" ref="E210">Common_InputFunctions.Utility_DisplayArrayInTable(Fertiliser_SourceData.Fertiliser_Products_Data5(),FertiliserProducts[[#Headers],[Company]], 121)</f>
        <v>Wengfu 19-13-0-7 PrimeZinc</v>
      </c>
      <c r="F210" s="146" t="str" cm="1">
        <f t="array" ref="F210">Common_InputFunctions.Utility_DisplayArrayInTable(Fertiliser_SourceData.Fertiliser_Products_Data5(),FertiliserProducts[[#Headers],[Company]], 121)</f>
        <v>kg</v>
      </c>
      <c r="G210" s="146" cm="1">
        <f t="array" ref="G210">Common_InputFunctions.Utility_DisplayArrayInTable(Fertiliser_SourceData.Fertiliser_Products_Data5(),FertiliserProducts[[#Headers],[Company]], 121)</f>
        <v>1</v>
      </c>
      <c r="H210" s="146" t="str" cm="1">
        <f t="array" ref="H210">Common_InputFunctions.Utility_DisplayArrayInTable(Fertiliser_SourceData.Fertiliser_Products_Data5(),FertiliserProducts[[#Headers],[Company]], 121)</f>
        <v/>
      </c>
      <c r="I210" s="146" t="str" cm="1">
        <f t="array" ref="I210">Common_InputFunctions.Utility_DisplayArrayInTable(Fertiliser_SourceData.Fertiliser_Products_Data5(),FertiliserProducts[[#Headers],[Company]], 121)</f>
        <v/>
      </c>
      <c r="J210" s="146" t="str" cm="1">
        <f t="array" ref="J210">Common_InputFunctions.Utility_DisplayArrayInTable(Fertiliser_SourceData.Fertiliser_Products_Data5(),FertiliserProducts[[#Headers],[Company]], 121)</f>
        <v/>
      </c>
      <c r="K210" s="146" cm="1">
        <f t="array" ref="K210">Common_InputFunctions.Utility_DisplayArrayInTable(Fertiliser_SourceData.Fertiliser_Products_Data5(),FertiliserProducts[[#Headers],[Company]], 121)</f>
        <v>18.600000000000001</v>
      </c>
      <c r="L210" s="146" cm="1">
        <f t="array" ref="L210">Common_InputFunctions.Utility_DisplayArrayInTable(Fertiliser_SourceData.Fertiliser_Products_Data5(),FertiliserProducts[[#Headers],[Company]], 121)</f>
        <v>12.7</v>
      </c>
      <c r="M210" s="146" cm="1">
        <f t="array" ref="M210">Common_InputFunctions.Utility_DisplayArrayInTable(Fertiliser_SourceData.Fertiliser_Products_Data5(),FertiliserProducts[[#Headers],[Company]], 121)</f>
        <v>0</v>
      </c>
      <c r="N210" s="146" cm="1">
        <f t="array" ref="N210">Common_InputFunctions.Utility_DisplayArrayInTable(Fertiliser_SourceData.Fertiliser_Products_Data5(),FertiliserProducts[[#Headers],[Company]], 121)</f>
        <v>6.8</v>
      </c>
      <c r="O210" s="146" t="str" cm="1">
        <f t="array" ref="O210">Common_InputFunctions.Utility_DisplayArrayInTable(Fertiliser_SourceData.Fertiliser_Products_Data5(),FertiliserProducts[[#Headers],[Company]], 121)</f>
        <v>Nitrogen - Generic</v>
      </c>
      <c r="P210" s="146" cm="1">
        <f t="array" ref="P210">Common_InputFunctions.Utility_DisplayArrayInTable(Fertiliser_SourceData.Fertiliser_Products_Data5(),FertiliserProducts[[#Headers],[Company]], 121)</f>
        <v>0.186</v>
      </c>
      <c r="Q210" s="146" t="str" cm="1">
        <f t="array" ref="Q210">Common_InputFunctions.Utility_DisplayArrayInTable(Fertiliser_SourceData.Fertiliser_Products_Data5(),FertiliserProducts[[#Headers],[Company]], 121)</f>
        <v>Phosphorus - Generic</v>
      </c>
      <c r="R210" s="146" cm="1">
        <f t="array" ref="R210">Common_InputFunctions.Utility_DisplayArrayInTable(Fertiliser_SourceData.Fertiliser_Products_Data5(),FertiliserProducts[[#Headers],[Company]], 121)</f>
        <v>0.127</v>
      </c>
      <c r="S210" s="146" t="str" cm="1">
        <f t="array" ref="S210">Common_InputFunctions.Utility_DisplayArrayInTable(Fertiliser_SourceData.Fertiliser_Products_Data5(),FertiliserProducts[[#Headers],[Company]], 121)</f>
        <v>Sulfur - Generic</v>
      </c>
      <c r="T210" s="146" cm="1">
        <f t="array" ref="T210">Common_InputFunctions.Utility_DisplayArrayInTable(Fertiliser_SourceData.Fertiliser_Products_Data5(),FertiliserProducts[[#Headers],[Company]], 121)</f>
        <v>6.8000000000000005E-2</v>
      </c>
      <c r="U210" s="146" t="str" cm="1">
        <f t="array" ref="U210">Common_InputFunctions.Utility_DisplayArrayInTable(Fertiliser_SourceData.Fertiliser_Products_Data5(),FertiliserProducts[[#Headers],[Company]], 121)</f>
        <v>Zinc</v>
      </c>
      <c r="V210" s="146" cm="1">
        <f t="array" ref="V210">Common_InputFunctions.Utility_DisplayArrayInTable(Fertiliser_SourceData.Fertiliser_Products_Data5(),FertiliserProducts[[#Headers],[Company]], 121)</f>
        <v>6.0000000000000001E-3</v>
      </c>
      <c r="W210" s="146" t="str" cm="1">
        <f t="array" ref="W210">Common_InputFunctions.Utility_DisplayArrayInTable(Fertiliser_SourceData.Fertiliser_Products_Data5(),FertiliserProducts[[#Headers],[Company]], 121)</f>
        <v/>
      </c>
      <c r="X210" s="146" t="str" cm="1">
        <f t="array" ref="X210">Common_InputFunctions.Utility_DisplayArrayInTable(Fertiliser_SourceData.Fertiliser_Products_Data5(),FertiliserProducts[[#Headers],[Company]], 121)</f>
        <v/>
      </c>
      <c r="Y210" s="146" t="str" cm="1">
        <f t="array" ref="Y210">Common_InputFunctions.Utility_DisplayArrayInTable(Fertiliser_SourceData.Fertiliser_Products_Data5(),FertiliserProducts[[#Headers],[Company]], 121)</f>
        <v/>
      </c>
      <c r="Z210" s="146" t="str" cm="1">
        <f t="array" ref="Z210">Common_InputFunctions.Utility_DisplayArrayInTable(Fertiliser_SourceData.Fertiliser_Products_Data5(),FertiliserProducts[[#Headers],[Company]], 121)</f>
        <v/>
      </c>
      <c r="AA210" s="146" t="str" cm="1">
        <f t="array" ref="AA210">Common_InputFunctions.Utility_DisplayArrayInTable(Fertiliser_SourceData.Fertiliser_Products_Data5(),FertiliserProducts[[#Headers],[Company]], 121)</f>
        <v/>
      </c>
      <c r="AB210" s="146" t="str" cm="1">
        <f t="array" ref="AB210">Common_InputFunctions.Utility_DisplayArrayInTable(Fertiliser_SourceData.Fertiliser_Products_Data5(),FertiliserProducts[[#Headers],[Company]], 121)</f>
        <v/>
      </c>
      <c r="AC210" s="146" t="str" cm="1">
        <f t="array" ref="AC210">Common_InputFunctions.Utility_DisplayArrayInTable(Fertiliser_SourceData.Fertiliser_Products_Data5(),FertiliserProducts[[#Headers],[Company]], 121)</f>
        <v/>
      </c>
      <c r="AD210" s="146" t="str" cm="1">
        <f t="array" ref="AD210">Common_InputFunctions.Utility_DisplayArrayInTable(Fertiliser_SourceData.Fertiliser_Products_Data5(),FertiliserProducts[[#Headers],[Company]], 121)</f>
        <v/>
      </c>
      <c r="AE210" s="146" t="str" cm="1">
        <f t="array" ref="AE210">Common_InputFunctions.Utility_DisplayArrayInTable(Fertiliser_SourceData.Fertiliser_Products_Data5(),FertiliserProducts[[#Headers],[Company]], 121)</f>
        <v/>
      </c>
      <c r="AF210" s="146" t="str" cm="1">
        <f t="array" ref="AF210">Common_InputFunctions.Utility_DisplayArrayInTable(Fertiliser_SourceData.Fertiliser_Products_Data5(),FertiliserProducts[[#Headers],[Company]], 121)</f>
        <v/>
      </c>
      <c r="AG210" s="146" t="str" cm="1">
        <f t="array" ref="AG210">Common_InputFunctions.Utility_DisplayArrayInTable(Fertiliser_SourceData.Fertiliser_Products_Data5(),FertiliserProducts[[#Headers],[Company]], 121)</f>
        <v/>
      </c>
      <c r="AH210" s="146" t="str" cm="1">
        <f t="array" ref="AH210">Common_InputFunctions.Utility_DisplayArrayInTable(Fertiliser_SourceData.Fertiliser_Products_Data5(),FertiliserProducts[[#Headers],[Company]], 121)</f>
        <v/>
      </c>
    </row>
    <row r="211" spans="1:34" ht="20.100000000000001" customHeight="1" x14ac:dyDescent="0.2">
      <c r="D211" s="146" t="str" cm="1">
        <f t="array" ref="D211">Common_InputFunctions.Utility_DisplayArrayInTable(Fertiliser_SourceData.Fertiliser_Products_Data5(),FertiliserProducts[[#Headers],[Company]], 121)</f>
        <v>Wengfu Australia</v>
      </c>
      <c r="E211" s="146" t="str" cm="1">
        <f t="array" ref="E211">Common_InputFunctions.Utility_DisplayArrayInTable(Fertiliser_SourceData.Fertiliser_Products_Data5(),FertiliserProducts[[#Headers],[Company]], 121)</f>
        <v>Wengfu Booster K</v>
      </c>
      <c r="F211" s="146" t="str" cm="1">
        <f t="array" ref="F211">Common_InputFunctions.Utility_DisplayArrayInTable(Fertiliser_SourceData.Fertiliser_Products_Data5(),FertiliserProducts[[#Headers],[Company]], 121)</f>
        <v>kg</v>
      </c>
      <c r="G211" s="146" cm="1">
        <f t="array" ref="G211">Common_InputFunctions.Utility_DisplayArrayInTable(Fertiliser_SourceData.Fertiliser_Products_Data5(),FertiliserProducts[[#Headers],[Company]], 121)</f>
        <v>1</v>
      </c>
      <c r="H211" s="146" t="str" cm="1">
        <f t="array" ref="H211">Common_InputFunctions.Utility_DisplayArrayInTable(Fertiliser_SourceData.Fertiliser_Products_Data5(),FertiliserProducts[[#Headers],[Company]], 121)</f>
        <v/>
      </c>
      <c r="I211" s="146" t="str" cm="1">
        <f t="array" ref="I211">Common_InputFunctions.Utility_DisplayArrayInTable(Fertiliser_SourceData.Fertiliser_Products_Data5(),FertiliserProducts[[#Headers],[Company]], 121)</f>
        <v/>
      </c>
      <c r="J211" s="146" t="str" cm="1">
        <f t="array" ref="J211">Common_InputFunctions.Utility_DisplayArrayInTable(Fertiliser_SourceData.Fertiliser_Products_Data5(),FertiliserProducts[[#Headers],[Company]], 121)</f>
        <v/>
      </c>
      <c r="K211" s="146" cm="1">
        <f t="array" ref="K211">Common_InputFunctions.Utility_DisplayArrayInTable(Fertiliser_SourceData.Fertiliser_Products_Data5(),FertiliserProducts[[#Headers],[Company]], 121)</f>
        <v>32</v>
      </c>
      <c r="L211" s="146" cm="1">
        <f t="array" ref="L211">Common_InputFunctions.Utility_DisplayArrayInTable(Fertiliser_SourceData.Fertiliser_Products_Data5(),FertiliserProducts[[#Headers],[Company]], 121)</f>
        <v>0</v>
      </c>
      <c r="M211" s="146" cm="1">
        <f t="array" ref="M211">Common_InputFunctions.Utility_DisplayArrayInTable(Fertiliser_SourceData.Fertiliser_Products_Data5(),FertiliserProducts[[#Headers],[Company]], 121)</f>
        <v>11</v>
      </c>
      <c r="N211" s="146" cm="1">
        <f t="array" ref="N211">Common_InputFunctions.Utility_DisplayArrayInTable(Fertiliser_SourceData.Fertiliser_Products_Data5(),FertiliserProducts[[#Headers],[Company]], 121)</f>
        <v>3</v>
      </c>
      <c r="O211" s="146" t="str" cm="1">
        <f t="array" ref="O211">Common_InputFunctions.Utility_DisplayArrayInTable(Fertiliser_SourceData.Fertiliser_Products_Data5(),FertiliserProducts[[#Headers],[Company]], 121)</f>
        <v>Nitrogen - Generic</v>
      </c>
      <c r="P211" s="146" cm="1">
        <f t="array" ref="P211">Common_InputFunctions.Utility_DisplayArrayInTable(Fertiliser_SourceData.Fertiliser_Products_Data5(),FertiliserProducts[[#Headers],[Company]], 121)</f>
        <v>0.32</v>
      </c>
      <c r="Q211" s="146" t="str" cm="1">
        <f t="array" ref="Q211">Common_InputFunctions.Utility_DisplayArrayInTable(Fertiliser_SourceData.Fertiliser_Products_Data5(),FertiliserProducts[[#Headers],[Company]], 121)</f>
        <v>Potassium - Generic</v>
      </c>
      <c r="R211" s="146" cm="1">
        <f t="array" ref="R211">Common_InputFunctions.Utility_DisplayArrayInTable(Fertiliser_SourceData.Fertiliser_Products_Data5(),FertiliserProducts[[#Headers],[Company]], 121)</f>
        <v>0.11</v>
      </c>
      <c r="S211" s="146" t="str" cm="1">
        <f t="array" ref="S211">Common_InputFunctions.Utility_DisplayArrayInTable(Fertiliser_SourceData.Fertiliser_Products_Data5(),FertiliserProducts[[#Headers],[Company]], 121)</f>
        <v>Sulfur - Generic</v>
      </c>
      <c r="T211" s="146" cm="1">
        <f t="array" ref="T211">Common_InputFunctions.Utility_DisplayArrayInTable(Fertiliser_SourceData.Fertiliser_Products_Data5(),FertiliserProducts[[#Headers],[Company]], 121)</f>
        <v>0.03</v>
      </c>
      <c r="U211" s="146" t="str" cm="1">
        <f t="array" ref="U211">Common_InputFunctions.Utility_DisplayArrayInTable(Fertiliser_SourceData.Fertiliser_Products_Data5(),FertiliserProducts[[#Headers],[Company]], 121)</f>
        <v/>
      </c>
      <c r="V211" s="146" t="str" cm="1">
        <f t="array" ref="V211">Common_InputFunctions.Utility_DisplayArrayInTable(Fertiliser_SourceData.Fertiliser_Products_Data5(),FertiliserProducts[[#Headers],[Company]], 121)</f>
        <v/>
      </c>
      <c r="W211" s="146" t="str" cm="1">
        <f t="array" ref="W211">Common_InputFunctions.Utility_DisplayArrayInTable(Fertiliser_SourceData.Fertiliser_Products_Data5(),FertiliserProducts[[#Headers],[Company]], 121)</f>
        <v/>
      </c>
      <c r="X211" s="146" t="str" cm="1">
        <f t="array" ref="X211">Common_InputFunctions.Utility_DisplayArrayInTable(Fertiliser_SourceData.Fertiliser_Products_Data5(),FertiliserProducts[[#Headers],[Company]], 121)</f>
        <v/>
      </c>
      <c r="Y211" s="146" t="str" cm="1">
        <f t="array" ref="Y211">Common_InputFunctions.Utility_DisplayArrayInTable(Fertiliser_SourceData.Fertiliser_Products_Data5(),FertiliserProducts[[#Headers],[Company]], 121)</f>
        <v/>
      </c>
      <c r="Z211" s="146" t="str" cm="1">
        <f t="array" ref="Z211">Common_InputFunctions.Utility_DisplayArrayInTable(Fertiliser_SourceData.Fertiliser_Products_Data5(),FertiliserProducts[[#Headers],[Company]], 121)</f>
        <v/>
      </c>
      <c r="AA211" s="146" t="str" cm="1">
        <f t="array" ref="AA211">Common_InputFunctions.Utility_DisplayArrayInTable(Fertiliser_SourceData.Fertiliser_Products_Data5(),FertiliserProducts[[#Headers],[Company]], 121)</f>
        <v/>
      </c>
      <c r="AB211" s="146" t="str" cm="1">
        <f t="array" ref="AB211">Common_InputFunctions.Utility_DisplayArrayInTable(Fertiliser_SourceData.Fertiliser_Products_Data5(),FertiliserProducts[[#Headers],[Company]], 121)</f>
        <v/>
      </c>
      <c r="AC211" s="146" t="str" cm="1">
        <f t="array" ref="AC211">Common_InputFunctions.Utility_DisplayArrayInTable(Fertiliser_SourceData.Fertiliser_Products_Data5(),FertiliserProducts[[#Headers],[Company]], 121)</f>
        <v/>
      </c>
      <c r="AD211" s="146" t="str" cm="1">
        <f t="array" ref="AD211">Common_InputFunctions.Utility_DisplayArrayInTable(Fertiliser_SourceData.Fertiliser_Products_Data5(),FertiliserProducts[[#Headers],[Company]], 121)</f>
        <v/>
      </c>
      <c r="AE211" s="146" t="str" cm="1">
        <f t="array" ref="AE211">Common_InputFunctions.Utility_DisplayArrayInTable(Fertiliser_SourceData.Fertiliser_Products_Data5(),FertiliserProducts[[#Headers],[Company]], 121)</f>
        <v/>
      </c>
      <c r="AF211" s="146" t="str" cm="1">
        <f t="array" ref="AF211">Common_InputFunctions.Utility_DisplayArrayInTable(Fertiliser_SourceData.Fertiliser_Products_Data5(),FertiliserProducts[[#Headers],[Company]], 121)</f>
        <v/>
      </c>
      <c r="AG211" s="146" t="str" cm="1">
        <f t="array" ref="AG211">Common_InputFunctions.Utility_DisplayArrayInTable(Fertiliser_SourceData.Fertiliser_Products_Data5(),FertiliserProducts[[#Headers],[Company]], 121)</f>
        <v/>
      </c>
      <c r="AH211" s="146" t="str" cm="1">
        <f t="array" ref="AH211">Common_InputFunctions.Utility_DisplayArrayInTable(Fertiliser_SourceData.Fertiliser_Products_Data5(),FertiliserProducts[[#Headers],[Company]], 121)</f>
        <v/>
      </c>
    </row>
    <row r="212" spans="1:34" ht="20.100000000000001" customHeight="1" x14ac:dyDescent="0.2">
      <c r="D212" s="146" t="str" cm="1">
        <f t="array" ref="D212">Common_InputFunctions.Utility_DisplayArrayInTable(Fertiliser_SourceData.Fertiliser_Products_Data5(),FertiliserProducts[[#Headers],[Company]], 121)</f>
        <v>Wengfu Australia</v>
      </c>
      <c r="E212" s="146" t="str" cm="1">
        <f t="array" ref="E212">Common_InputFunctions.Utility_DisplayArrayInTable(Fertiliser_SourceData.Fertiliser_Products_Data5(),FertiliserProducts[[#Headers],[Company]], 121)</f>
        <v>Wengfu Booster Rich 1</v>
      </c>
      <c r="F212" s="146" t="str" cm="1">
        <f t="array" ref="F212">Common_InputFunctions.Utility_DisplayArrayInTable(Fertiliser_SourceData.Fertiliser_Products_Data5(),FertiliserProducts[[#Headers],[Company]], 121)</f>
        <v>kg</v>
      </c>
      <c r="G212" s="146" cm="1">
        <f t="array" ref="G212">Common_InputFunctions.Utility_DisplayArrayInTable(Fertiliser_SourceData.Fertiliser_Products_Data5(),FertiliserProducts[[#Headers],[Company]], 121)</f>
        <v>1</v>
      </c>
      <c r="H212" s="146" t="str" cm="1">
        <f t="array" ref="H212">Common_InputFunctions.Utility_DisplayArrayInTable(Fertiliser_SourceData.Fertiliser_Products_Data5(),FertiliserProducts[[#Headers],[Company]], 121)</f>
        <v/>
      </c>
      <c r="I212" s="146" t="str" cm="1">
        <f t="array" ref="I212">Common_InputFunctions.Utility_DisplayArrayInTable(Fertiliser_SourceData.Fertiliser_Products_Data5(),FertiliserProducts[[#Headers],[Company]], 121)</f>
        <v/>
      </c>
      <c r="J212" s="146" t="str" cm="1">
        <f t="array" ref="J212">Common_InputFunctions.Utility_DisplayArrayInTable(Fertiliser_SourceData.Fertiliser_Products_Data5(),FertiliserProducts[[#Headers],[Company]], 121)</f>
        <v/>
      </c>
      <c r="K212" s="146" cm="1">
        <f t="array" ref="K212">Common_InputFunctions.Utility_DisplayArrayInTable(Fertiliser_SourceData.Fertiliser_Products_Data5(),FertiliserProducts[[#Headers],[Company]], 121)</f>
        <v>31</v>
      </c>
      <c r="L212" s="146" cm="1">
        <f t="array" ref="L212">Common_InputFunctions.Utility_DisplayArrayInTable(Fertiliser_SourceData.Fertiliser_Products_Data5(),FertiliserProducts[[#Headers],[Company]], 121)</f>
        <v>6</v>
      </c>
      <c r="M212" s="146" cm="1">
        <f t="array" ref="M212">Common_InputFunctions.Utility_DisplayArrayInTable(Fertiliser_SourceData.Fertiliser_Products_Data5(),FertiliserProducts[[#Headers],[Company]], 121)</f>
        <v>0</v>
      </c>
      <c r="N212" s="146" cm="1">
        <f t="array" ref="N212">Common_InputFunctions.Utility_DisplayArrayInTable(Fertiliser_SourceData.Fertiliser_Products_Data5(),FertiliserProducts[[#Headers],[Company]], 121)</f>
        <v>6</v>
      </c>
      <c r="O212" s="146" t="str" cm="1">
        <f t="array" ref="O212">Common_InputFunctions.Utility_DisplayArrayInTable(Fertiliser_SourceData.Fertiliser_Products_Data5(),FertiliserProducts[[#Headers],[Company]], 121)</f>
        <v>Nitrogen - Generic</v>
      </c>
      <c r="P212" s="146" cm="1">
        <f t="array" ref="P212">Common_InputFunctions.Utility_DisplayArrayInTable(Fertiliser_SourceData.Fertiliser_Products_Data5(),FertiliserProducts[[#Headers],[Company]], 121)</f>
        <v>0.31</v>
      </c>
      <c r="Q212" s="146" t="str" cm="1">
        <f t="array" ref="Q212">Common_InputFunctions.Utility_DisplayArrayInTable(Fertiliser_SourceData.Fertiliser_Products_Data5(),FertiliserProducts[[#Headers],[Company]], 121)</f>
        <v>Phosphorus - Generic</v>
      </c>
      <c r="R212" s="146" cm="1">
        <f t="array" ref="R212">Common_InputFunctions.Utility_DisplayArrayInTable(Fertiliser_SourceData.Fertiliser_Products_Data5(),FertiliserProducts[[#Headers],[Company]], 121)</f>
        <v>0.06</v>
      </c>
      <c r="S212" s="146" t="str" cm="1">
        <f t="array" ref="S212">Common_InputFunctions.Utility_DisplayArrayInTable(Fertiliser_SourceData.Fertiliser_Products_Data5(),FertiliserProducts[[#Headers],[Company]], 121)</f>
        <v>Sulfur - Generic</v>
      </c>
      <c r="T212" s="146" cm="1">
        <f t="array" ref="T212">Common_InputFunctions.Utility_DisplayArrayInTable(Fertiliser_SourceData.Fertiliser_Products_Data5(),FertiliserProducts[[#Headers],[Company]], 121)</f>
        <v>0.06</v>
      </c>
      <c r="U212" s="146" t="str" cm="1">
        <f t="array" ref="U212">Common_InputFunctions.Utility_DisplayArrayInTable(Fertiliser_SourceData.Fertiliser_Products_Data5(),FertiliserProducts[[#Headers],[Company]], 121)</f>
        <v/>
      </c>
      <c r="V212" s="146" t="str" cm="1">
        <f t="array" ref="V212">Common_InputFunctions.Utility_DisplayArrayInTable(Fertiliser_SourceData.Fertiliser_Products_Data5(),FertiliserProducts[[#Headers],[Company]], 121)</f>
        <v/>
      </c>
      <c r="W212" s="146" t="str" cm="1">
        <f t="array" ref="W212">Common_InputFunctions.Utility_DisplayArrayInTable(Fertiliser_SourceData.Fertiliser_Products_Data5(),FertiliserProducts[[#Headers],[Company]], 121)</f>
        <v/>
      </c>
      <c r="X212" s="146" t="str" cm="1">
        <f t="array" ref="X212">Common_InputFunctions.Utility_DisplayArrayInTable(Fertiliser_SourceData.Fertiliser_Products_Data5(),FertiliserProducts[[#Headers],[Company]], 121)</f>
        <v/>
      </c>
      <c r="Y212" s="146" t="str" cm="1">
        <f t="array" ref="Y212">Common_InputFunctions.Utility_DisplayArrayInTable(Fertiliser_SourceData.Fertiliser_Products_Data5(),FertiliserProducts[[#Headers],[Company]], 121)</f>
        <v/>
      </c>
      <c r="Z212" s="146" t="str" cm="1">
        <f t="array" ref="Z212">Common_InputFunctions.Utility_DisplayArrayInTable(Fertiliser_SourceData.Fertiliser_Products_Data5(),FertiliserProducts[[#Headers],[Company]], 121)</f>
        <v/>
      </c>
      <c r="AA212" s="146" t="str" cm="1">
        <f t="array" ref="AA212">Common_InputFunctions.Utility_DisplayArrayInTable(Fertiliser_SourceData.Fertiliser_Products_Data5(),FertiliserProducts[[#Headers],[Company]], 121)</f>
        <v/>
      </c>
      <c r="AB212" s="146" t="str" cm="1">
        <f t="array" ref="AB212">Common_InputFunctions.Utility_DisplayArrayInTable(Fertiliser_SourceData.Fertiliser_Products_Data5(),FertiliserProducts[[#Headers],[Company]], 121)</f>
        <v/>
      </c>
      <c r="AC212" s="146" t="str" cm="1">
        <f t="array" ref="AC212">Common_InputFunctions.Utility_DisplayArrayInTable(Fertiliser_SourceData.Fertiliser_Products_Data5(),FertiliserProducts[[#Headers],[Company]], 121)</f>
        <v/>
      </c>
      <c r="AD212" s="146" t="str" cm="1">
        <f t="array" ref="AD212">Common_InputFunctions.Utility_DisplayArrayInTable(Fertiliser_SourceData.Fertiliser_Products_Data5(),FertiliserProducts[[#Headers],[Company]], 121)</f>
        <v/>
      </c>
      <c r="AE212" s="146" t="str" cm="1">
        <f t="array" ref="AE212">Common_InputFunctions.Utility_DisplayArrayInTable(Fertiliser_SourceData.Fertiliser_Products_Data5(),FertiliserProducts[[#Headers],[Company]], 121)</f>
        <v/>
      </c>
      <c r="AF212" s="146" t="str" cm="1">
        <f t="array" ref="AF212">Common_InputFunctions.Utility_DisplayArrayInTable(Fertiliser_SourceData.Fertiliser_Products_Data5(),FertiliserProducts[[#Headers],[Company]], 121)</f>
        <v/>
      </c>
      <c r="AG212" s="146" t="str" cm="1">
        <f t="array" ref="AG212">Common_InputFunctions.Utility_DisplayArrayInTable(Fertiliser_SourceData.Fertiliser_Products_Data5(),FertiliserProducts[[#Headers],[Company]], 121)</f>
        <v/>
      </c>
      <c r="AH212" s="146" t="str" cm="1">
        <f t="array" ref="AH212">Common_InputFunctions.Utility_DisplayArrayInTable(Fertiliser_SourceData.Fertiliser_Products_Data5(),FertiliserProducts[[#Headers],[Company]], 121)</f>
        <v/>
      </c>
    </row>
    <row r="213" spans="1:34" ht="20.100000000000001" customHeight="1" x14ac:dyDescent="0.2">
      <c r="D213" s="146" t="str" cm="1">
        <f t="array" ref="D213">Common_InputFunctions.Utility_DisplayArrayInTable(Fertiliser_SourceData.Fertiliser_Products_Data5(),FertiliserProducts[[#Headers],[Company]], 121)</f>
        <v>Wengfu Australia</v>
      </c>
      <c r="E213" s="146" t="str" cm="1">
        <f t="array" ref="E213">Common_InputFunctions.Utility_DisplayArrayInTable(Fertiliser_SourceData.Fertiliser_Products_Data5(),FertiliserProducts[[#Headers],[Company]], 121)</f>
        <v>Wengfu Booster Grass DAP</v>
      </c>
      <c r="F213" s="146" t="str" cm="1">
        <f t="array" ref="F213">Common_InputFunctions.Utility_DisplayArrayInTable(Fertiliser_SourceData.Fertiliser_Products_Data5(),FertiliserProducts[[#Headers],[Company]], 121)</f>
        <v>kg</v>
      </c>
      <c r="G213" s="146" cm="1">
        <f t="array" ref="G213">Common_InputFunctions.Utility_DisplayArrayInTable(Fertiliser_SourceData.Fertiliser_Products_Data5(),FertiliserProducts[[#Headers],[Company]], 121)</f>
        <v>1</v>
      </c>
      <c r="H213" s="146" t="str" cm="1">
        <f t="array" ref="H213">Common_InputFunctions.Utility_DisplayArrayInTable(Fertiliser_SourceData.Fertiliser_Products_Data5(),FertiliserProducts[[#Headers],[Company]], 121)</f>
        <v/>
      </c>
      <c r="I213" s="146" t="str" cm="1">
        <f t="array" ref="I213">Common_InputFunctions.Utility_DisplayArrayInTable(Fertiliser_SourceData.Fertiliser_Products_Data5(),FertiliserProducts[[#Headers],[Company]], 121)</f>
        <v/>
      </c>
      <c r="J213" s="146" t="str" cm="1">
        <f t="array" ref="J213">Common_InputFunctions.Utility_DisplayArrayInTable(Fertiliser_SourceData.Fertiliser_Products_Data5(),FertiliserProducts[[#Headers],[Company]], 121)</f>
        <v/>
      </c>
      <c r="K213" s="146" cm="1">
        <f t="array" ref="K213">Common_InputFunctions.Utility_DisplayArrayInTable(Fertiliser_SourceData.Fertiliser_Products_Data5(),FertiliserProducts[[#Headers],[Company]], 121)</f>
        <v>21</v>
      </c>
      <c r="L213" s="146" cm="1">
        <f t="array" ref="L213">Common_InputFunctions.Utility_DisplayArrayInTable(Fertiliser_SourceData.Fertiliser_Products_Data5(),FertiliserProducts[[#Headers],[Company]], 121)</f>
        <v>4</v>
      </c>
      <c r="M213" s="146" cm="1">
        <f t="array" ref="M213">Common_InputFunctions.Utility_DisplayArrayInTable(Fertiliser_SourceData.Fertiliser_Products_Data5(),FertiliserProducts[[#Headers],[Company]], 121)</f>
        <v>8</v>
      </c>
      <c r="N213" s="146" cm="1">
        <f t="array" ref="N213">Common_InputFunctions.Utility_DisplayArrayInTable(Fertiliser_SourceData.Fertiliser_Products_Data5(),FertiliserProducts[[#Headers],[Company]], 121)</f>
        <v>7</v>
      </c>
      <c r="O213" s="146" t="str" cm="1">
        <f t="array" ref="O213">Common_InputFunctions.Utility_DisplayArrayInTable(Fertiliser_SourceData.Fertiliser_Products_Data5(),FertiliserProducts[[#Headers],[Company]], 121)</f>
        <v>Nitrogen - Generic</v>
      </c>
      <c r="P213" s="146" cm="1">
        <f t="array" ref="P213">Common_InputFunctions.Utility_DisplayArrayInTable(Fertiliser_SourceData.Fertiliser_Products_Data5(),FertiliserProducts[[#Headers],[Company]], 121)</f>
        <v>0.21</v>
      </c>
      <c r="Q213" s="146" t="str" cm="1">
        <f t="array" ref="Q213">Common_InputFunctions.Utility_DisplayArrayInTable(Fertiliser_SourceData.Fertiliser_Products_Data5(),FertiliserProducts[[#Headers],[Company]], 121)</f>
        <v>Phosphorus - Generic</v>
      </c>
      <c r="R213" s="146" cm="1">
        <f t="array" ref="R213">Common_InputFunctions.Utility_DisplayArrayInTable(Fertiliser_SourceData.Fertiliser_Products_Data5(),FertiliserProducts[[#Headers],[Company]], 121)</f>
        <v>0.04</v>
      </c>
      <c r="S213" s="146" t="str" cm="1">
        <f t="array" ref="S213">Common_InputFunctions.Utility_DisplayArrayInTable(Fertiliser_SourceData.Fertiliser_Products_Data5(),FertiliserProducts[[#Headers],[Company]], 121)</f>
        <v>Potassium - Generic</v>
      </c>
      <c r="T213" s="146" cm="1">
        <f t="array" ref="T213">Common_InputFunctions.Utility_DisplayArrayInTable(Fertiliser_SourceData.Fertiliser_Products_Data5(),FertiliserProducts[[#Headers],[Company]], 121)</f>
        <v>0.08</v>
      </c>
      <c r="U213" s="146" t="str" cm="1">
        <f t="array" ref="U213">Common_InputFunctions.Utility_DisplayArrayInTable(Fertiliser_SourceData.Fertiliser_Products_Data5(),FertiliserProducts[[#Headers],[Company]], 121)</f>
        <v>Sulfur - Generic</v>
      </c>
      <c r="V213" s="146" cm="1">
        <f t="array" ref="V213">Common_InputFunctions.Utility_DisplayArrayInTable(Fertiliser_SourceData.Fertiliser_Products_Data5(),FertiliserProducts[[#Headers],[Company]], 121)</f>
        <v>7.0000000000000007E-2</v>
      </c>
      <c r="W213" s="146" t="str" cm="1">
        <f t="array" ref="W213">Common_InputFunctions.Utility_DisplayArrayInTable(Fertiliser_SourceData.Fertiliser_Products_Data5(),FertiliserProducts[[#Headers],[Company]], 121)</f>
        <v/>
      </c>
      <c r="X213" s="146" t="str" cm="1">
        <f t="array" ref="X213">Common_InputFunctions.Utility_DisplayArrayInTable(Fertiliser_SourceData.Fertiliser_Products_Data5(),FertiliserProducts[[#Headers],[Company]], 121)</f>
        <v/>
      </c>
      <c r="Y213" s="146" t="str" cm="1">
        <f t="array" ref="Y213">Common_InputFunctions.Utility_DisplayArrayInTable(Fertiliser_SourceData.Fertiliser_Products_Data5(),FertiliserProducts[[#Headers],[Company]], 121)</f>
        <v/>
      </c>
      <c r="Z213" s="146" t="str" cm="1">
        <f t="array" ref="Z213">Common_InputFunctions.Utility_DisplayArrayInTable(Fertiliser_SourceData.Fertiliser_Products_Data5(),FertiliserProducts[[#Headers],[Company]], 121)</f>
        <v/>
      </c>
      <c r="AA213" s="146" t="str" cm="1">
        <f t="array" ref="AA213">Common_InputFunctions.Utility_DisplayArrayInTable(Fertiliser_SourceData.Fertiliser_Products_Data5(),FertiliserProducts[[#Headers],[Company]], 121)</f>
        <v/>
      </c>
      <c r="AB213" s="146" t="str" cm="1">
        <f t="array" ref="AB213">Common_InputFunctions.Utility_DisplayArrayInTable(Fertiliser_SourceData.Fertiliser_Products_Data5(),FertiliserProducts[[#Headers],[Company]], 121)</f>
        <v/>
      </c>
      <c r="AC213" s="146" t="str" cm="1">
        <f t="array" ref="AC213">Common_InputFunctions.Utility_DisplayArrayInTable(Fertiliser_SourceData.Fertiliser_Products_Data5(),FertiliserProducts[[#Headers],[Company]], 121)</f>
        <v/>
      </c>
      <c r="AD213" s="146" t="str" cm="1">
        <f t="array" ref="AD213">Common_InputFunctions.Utility_DisplayArrayInTable(Fertiliser_SourceData.Fertiliser_Products_Data5(),FertiliserProducts[[#Headers],[Company]], 121)</f>
        <v/>
      </c>
      <c r="AE213" s="146" t="str" cm="1">
        <f t="array" ref="AE213">Common_InputFunctions.Utility_DisplayArrayInTable(Fertiliser_SourceData.Fertiliser_Products_Data5(),FertiliserProducts[[#Headers],[Company]], 121)</f>
        <v/>
      </c>
      <c r="AF213" s="146" t="str" cm="1">
        <f t="array" ref="AF213">Common_InputFunctions.Utility_DisplayArrayInTable(Fertiliser_SourceData.Fertiliser_Products_Data5(),FertiliserProducts[[#Headers],[Company]], 121)</f>
        <v/>
      </c>
      <c r="AG213" s="146" t="str" cm="1">
        <f t="array" ref="AG213">Common_InputFunctions.Utility_DisplayArrayInTable(Fertiliser_SourceData.Fertiliser_Products_Data5(),FertiliserProducts[[#Headers],[Company]], 121)</f>
        <v/>
      </c>
      <c r="AH213" s="146" t="str" cm="1">
        <f t="array" ref="AH213">Common_InputFunctions.Utility_DisplayArrayInTable(Fertiliser_SourceData.Fertiliser_Products_Data5(),FertiliserProducts[[#Headers],[Company]], 121)</f>
        <v/>
      </c>
    </row>
    <row r="214" spans="1:34" ht="20.100000000000001" customHeight="1" x14ac:dyDescent="0.2">
      <c r="D214" s="146" t="str" cm="1">
        <f t="array" ref="D214">Common_InputFunctions.Utility_DisplayArrayInTable(Fertiliser_SourceData.Fertiliser_Products_Data5(),FertiliserProducts[[#Headers],[Company]], 121)</f>
        <v>Wengfu Australia</v>
      </c>
      <c r="E214" s="146" t="str" cm="1">
        <f t="array" ref="E214">Common_InputFunctions.Utility_DisplayArrayInTable(Fertiliser_SourceData.Fertiliser_Products_Data5(),FertiliserProducts[[#Headers],[Company]], 121)</f>
        <v>Wengfu Aftergraze</v>
      </c>
      <c r="F214" s="146" t="str" cm="1">
        <f t="array" ref="F214">Common_InputFunctions.Utility_DisplayArrayInTable(Fertiliser_SourceData.Fertiliser_Products_Data5(),FertiliserProducts[[#Headers],[Company]], 121)</f>
        <v>kg</v>
      </c>
      <c r="G214" s="146" cm="1">
        <f t="array" ref="G214">Common_InputFunctions.Utility_DisplayArrayInTable(Fertiliser_SourceData.Fertiliser_Products_Data5(),FertiliserProducts[[#Headers],[Company]], 121)</f>
        <v>1</v>
      </c>
      <c r="H214" s="146" t="str" cm="1">
        <f t="array" ref="H214">Common_InputFunctions.Utility_DisplayArrayInTable(Fertiliser_SourceData.Fertiliser_Products_Data5(),FertiliserProducts[[#Headers],[Company]], 121)</f>
        <v/>
      </c>
      <c r="I214" s="146" t="str" cm="1">
        <f t="array" ref="I214">Common_InputFunctions.Utility_DisplayArrayInTable(Fertiliser_SourceData.Fertiliser_Products_Data5(),FertiliserProducts[[#Headers],[Company]], 121)</f>
        <v/>
      </c>
      <c r="J214" s="146" t="str" cm="1">
        <f t="array" ref="J214">Common_InputFunctions.Utility_DisplayArrayInTable(Fertiliser_SourceData.Fertiliser_Products_Data5(),FertiliserProducts[[#Headers],[Company]], 121)</f>
        <v/>
      </c>
      <c r="K214" s="146" cm="1">
        <f t="array" ref="K214">Common_InputFunctions.Utility_DisplayArrayInTable(Fertiliser_SourceData.Fertiliser_Products_Data5(),FertiliserProducts[[#Headers],[Company]], 121)</f>
        <v>23</v>
      </c>
      <c r="L214" s="146" cm="1">
        <f t="array" ref="L214">Common_InputFunctions.Utility_DisplayArrayInTable(Fertiliser_SourceData.Fertiliser_Products_Data5(),FertiliserProducts[[#Headers],[Company]], 121)</f>
        <v>0</v>
      </c>
      <c r="M214" s="146" cm="1">
        <f t="array" ref="M214">Common_InputFunctions.Utility_DisplayArrayInTable(Fertiliser_SourceData.Fertiliser_Products_Data5(),FertiliserProducts[[#Headers],[Company]], 121)</f>
        <v>25</v>
      </c>
      <c r="N214" s="146" cm="1">
        <f t="array" ref="N214">Common_InputFunctions.Utility_DisplayArrayInTable(Fertiliser_SourceData.Fertiliser_Products_Data5(),FertiliserProducts[[#Headers],[Company]], 121)</f>
        <v>0</v>
      </c>
      <c r="O214" s="146" t="str" cm="1">
        <f t="array" ref="O214">Common_InputFunctions.Utility_DisplayArrayInTable(Fertiliser_SourceData.Fertiliser_Products_Data5(),FertiliserProducts[[#Headers],[Company]], 121)</f>
        <v>Nitrogen - Generic</v>
      </c>
      <c r="P214" s="146" cm="1">
        <f t="array" ref="P214">Common_InputFunctions.Utility_DisplayArrayInTable(Fertiliser_SourceData.Fertiliser_Products_Data5(),FertiliserProducts[[#Headers],[Company]], 121)</f>
        <v>0.23</v>
      </c>
      <c r="Q214" s="146" t="str" cm="1">
        <f t="array" ref="Q214">Common_InputFunctions.Utility_DisplayArrayInTable(Fertiliser_SourceData.Fertiliser_Products_Data5(),FertiliserProducts[[#Headers],[Company]], 121)</f>
        <v>Potassium - Generic</v>
      </c>
      <c r="R214" s="146" cm="1">
        <f t="array" ref="R214">Common_InputFunctions.Utility_DisplayArrayInTable(Fertiliser_SourceData.Fertiliser_Products_Data5(),FertiliserProducts[[#Headers],[Company]], 121)</f>
        <v>0.25</v>
      </c>
      <c r="S214" s="146" t="str" cm="1">
        <f t="array" ref="S214">Common_InputFunctions.Utility_DisplayArrayInTable(Fertiliser_SourceData.Fertiliser_Products_Data5(),FertiliserProducts[[#Headers],[Company]], 121)</f>
        <v/>
      </c>
      <c r="T214" s="146" t="str" cm="1">
        <f t="array" ref="T214">Common_InputFunctions.Utility_DisplayArrayInTable(Fertiliser_SourceData.Fertiliser_Products_Data5(),FertiliserProducts[[#Headers],[Company]], 121)</f>
        <v/>
      </c>
      <c r="U214" s="146" t="str" cm="1">
        <f t="array" ref="U214">Common_InputFunctions.Utility_DisplayArrayInTable(Fertiliser_SourceData.Fertiliser_Products_Data5(),FertiliserProducts[[#Headers],[Company]], 121)</f>
        <v/>
      </c>
      <c r="V214" s="146" t="str" cm="1">
        <f t="array" ref="V214">Common_InputFunctions.Utility_DisplayArrayInTable(Fertiliser_SourceData.Fertiliser_Products_Data5(),FertiliserProducts[[#Headers],[Company]], 121)</f>
        <v/>
      </c>
      <c r="W214" s="146" t="str" cm="1">
        <f t="array" ref="W214">Common_InputFunctions.Utility_DisplayArrayInTable(Fertiliser_SourceData.Fertiliser_Products_Data5(),FertiliserProducts[[#Headers],[Company]], 121)</f>
        <v/>
      </c>
      <c r="X214" s="146" t="str" cm="1">
        <f t="array" ref="X214">Common_InputFunctions.Utility_DisplayArrayInTable(Fertiliser_SourceData.Fertiliser_Products_Data5(),FertiliserProducts[[#Headers],[Company]], 121)</f>
        <v/>
      </c>
      <c r="Y214" s="146" t="str" cm="1">
        <f t="array" ref="Y214">Common_InputFunctions.Utility_DisplayArrayInTable(Fertiliser_SourceData.Fertiliser_Products_Data5(),FertiliserProducts[[#Headers],[Company]], 121)</f>
        <v/>
      </c>
      <c r="Z214" s="146" t="str" cm="1">
        <f t="array" ref="Z214">Common_InputFunctions.Utility_DisplayArrayInTable(Fertiliser_SourceData.Fertiliser_Products_Data5(),FertiliserProducts[[#Headers],[Company]], 121)</f>
        <v/>
      </c>
      <c r="AA214" s="146" t="str" cm="1">
        <f t="array" ref="AA214">Common_InputFunctions.Utility_DisplayArrayInTable(Fertiliser_SourceData.Fertiliser_Products_Data5(),FertiliserProducts[[#Headers],[Company]], 121)</f>
        <v/>
      </c>
      <c r="AB214" s="146" t="str" cm="1">
        <f t="array" ref="AB214">Common_InputFunctions.Utility_DisplayArrayInTable(Fertiliser_SourceData.Fertiliser_Products_Data5(),FertiliserProducts[[#Headers],[Company]], 121)</f>
        <v/>
      </c>
      <c r="AC214" s="146" t="str" cm="1">
        <f t="array" ref="AC214">Common_InputFunctions.Utility_DisplayArrayInTable(Fertiliser_SourceData.Fertiliser_Products_Data5(),FertiliserProducts[[#Headers],[Company]], 121)</f>
        <v/>
      </c>
      <c r="AD214" s="146" t="str" cm="1">
        <f t="array" ref="AD214">Common_InputFunctions.Utility_DisplayArrayInTable(Fertiliser_SourceData.Fertiliser_Products_Data5(),FertiliserProducts[[#Headers],[Company]], 121)</f>
        <v/>
      </c>
      <c r="AE214" s="146" t="str" cm="1">
        <f t="array" ref="AE214">Common_InputFunctions.Utility_DisplayArrayInTable(Fertiliser_SourceData.Fertiliser_Products_Data5(),FertiliserProducts[[#Headers],[Company]], 121)</f>
        <v/>
      </c>
      <c r="AF214" s="146" t="str" cm="1">
        <f t="array" ref="AF214">Common_InputFunctions.Utility_DisplayArrayInTable(Fertiliser_SourceData.Fertiliser_Products_Data5(),FertiliserProducts[[#Headers],[Company]], 121)</f>
        <v/>
      </c>
      <c r="AG214" s="146" t="str" cm="1">
        <f t="array" ref="AG214">Common_InputFunctions.Utility_DisplayArrayInTable(Fertiliser_SourceData.Fertiliser_Products_Data5(),FertiliserProducts[[#Headers],[Company]], 121)</f>
        <v/>
      </c>
      <c r="AH214" s="146" t="str" cm="1">
        <f t="array" ref="AH214">Common_InputFunctions.Utility_DisplayArrayInTable(Fertiliser_SourceData.Fertiliser_Products_Data5(),FertiliserProducts[[#Headers],[Company]], 121)</f>
        <v/>
      </c>
    </row>
    <row r="215" spans="1:34" ht="20.100000000000001" customHeight="1" x14ac:dyDescent="0.2">
      <c r="D215" s="146" t="str" cm="1">
        <f t="array" ref="D215">Common_InputFunctions.Utility_DisplayArrayInTable(Fertiliser_SourceData.Fertiliser_Products_Data5(),FertiliserProducts[[#Headers],[Company]], 121)</f>
        <v>Wengfu Australia</v>
      </c>
      <c r="E215" s="146" t="str" cm="1">
        <f t="array" ref="E215">Common_InputFunctions.Utility_DisplayArrayInTable(Fertiliser_SourceData.Fertiliser_Products_Data5(),FertiliserProducts[[#Headers],[Company]], 121)</f>
        <v>Wengfu Sidedress</v>
      </c>
      <c r="F215" s="146" t="str" cm="1">
        <f t="array" ref="F215">Common_InputFunctions.Utility_DisplayArrayInTable(Fertiliser_SourceData.Fertiliser_Products_Data5(),FertiliserProducts[[#Headers],[Company]], 121)</f>
        <v>kg</v>
      </c>
      <c r="G215" s="146" cm="1">
        <f t="array" ref="G215">Common_InputFunctions.Utility_DisplayArrayInTable(Fertiliser_SourceData.Fertiliser_Products_Data5(),FertiliserProducts[[#Headers],[Company]], 121)</f>
        <v>1</v>
      </c>
      <c r="H215" s="146" t="str" cm="1">
        <f t="array" ref="H215">Common_InputFunctions.Utility_DisplayArrayInTable(Fertiliser_SourceData.Fertiliser_Products_Data5(),FertiliserProducts[[#Headers],[Company]], 121)</f>
        <v/>
      </c>
      <c r="I215" s="146" t="str" cm="1">
        <f t="array" ref="I215">Common_InputFunctions.Utility_DisplayArrayInTable(Fertiliser_SourceData.Fertiliser_Products_Data5(),FertiliserProducts[[#Headers],[Company]], 121)</f>
        <v/>
      </c>
      <c r="J215" s="146" t="str" cm="1">
        <f t="array" ref="J215">Common_InputFunctions.Utility_DisplayArrayInTable(Fertiliser_SourceData.Fertiliser_Products_Data5(),FertiliserProducts[[#Headers],[Company]], 121)</f>
        <v/>
      </c>
      <c r="K215" s="146" cm="1">
        <f t="array" ref="K215">Common_InputFunctions.Utility_DisplayArrayInTable(Fertiliser_SourceData.Fertiliser_Products_Data5(),FertiliserProducts[[#Headers],[Company]], 121)</f>
        <v>25</v>
      </c>
      <c r="L215" s="146" cm="1">
        <f t="array" ref="L215">Common_InputFunctions.Utility_DisplayArrayInTable(Fertiliser_SourceData.Fertiliser_Products_Data5(),FertiliserProducts[[#Headers],[Company]], 121)</f>
        <v>4</v>
      </c>
      <c r="M215" s="146" cm="1">
        <f t="array" ref="M215">Common_InputFunctions.Utility_DisplayArrayInTable(Fertiliser_SourceData.Fertiliser_Products_Data5(),FertiliserProducts[[#Headers],[Company]], 121)</f>
        <v>13</v>
      </c>
      <c r="N215" s="146" cm="1">
        <f t="array" ref="N215">Common_InputFunctions.Utility_DisplayArrayInTable(Fertiliser_SourceData.Fertiliser_Products_Data5(),FertiliserProducts[[#Headers],[Company]], 121)</f>
        <v>4</v>
      </c>
      <c r="O215" s="146" t="str" cm="1">
        <f t="array" ref="O215">Common_InputFunctions.Utility_DisplayArrayInTable(Fertiliser_SourceData.Fertiliser_Products_Data5(),FertiliserProducts[[#Headers],[Company]], 121)</f>
        <v>Nitrogen - Generic</v>
      </c>
      <c r="P215" s="146" cm="1">
        <f t="array" ref="P215">Common_InputFunctions.Utility_DisplayArrayInTable(Fertiliser_SourceData.Fertiliser_Products_Data5(),FertiliserProducts[[#Headers],[Company]], 121)</f>
        <v>0.25</v>
      </c>
      <c r="Q215" s="146" t="str" cm="1">
        <f t="array" ref="Q215">Common_InputFunctions.Utility_DisplayArrayInTable(Fertiliser_SourceData.Fertiliser_Products_Data5(),FertiliserProducts[[#Headers],[Company]], 121)</f>
        <v>Phosphorus - Generic</v>
      </c>
      <c r="R215" s="146" cm="1">
        <f t="array" ref="R215">Common_InputFunctions.Utility_DisplayArrayInTable(Fertiliser_SourceData.Fertiliser_Products_Data5(),FertiliserProducts[[#Headers],[Company]], 121)</f>
        <v>0.04</v>
      </c>
      <c r="S215" s="146" t="str" cm="1">
        <f t="array" ref="S215">Common_InputFunctions.Utility_DisplayArrayInTable(Fertiliser_SourceData.Fertiliser_Products_Data5(),FertiliserProducts[[#Headers],[Company]], 121)</f>
        <v>Potassium - Generic</v>
      </c>
      <c r="T215" s="146" cm="1">
        <f t="array" ref="T215">Common_InputFunctions.Utility_DisplayArrayInTable(Fertiliser_SourceData.Fertiliser_Products_Data5(),FertiliserProducts[[#Headers],[Company]], 121)</f>
        <v>0.13</v>
      </c>
      <c r="U215" s="146" t="str" cm="1">
        <f t="array" ref="U215">Common_InputFunctions.Utility_DisplayArrayInTable(Fertiliser_SourceData.Fertiliser_Products_Data5(),FertiliserProducts[[#Headers],[Company]], 121)</f>
        <v>Sulfur - Generic</v>
      </c>
      <c r="V215" s="146" cm="1">
        <f t="array" ref="V215">Common_InputFunctions.Utility_DisplayArrayInTable(Fertiliser_SourceData.Fertiliser_Products_Data5(),FertiliserProducts[[#Headers],[Company]], 121)</f>
        <v>0.04</v>
      </c>
      <c r="W215" s="146" t="str" cm="1">
        <f t="array" ref="W215">Common_InputFunctions.Utility_DisplayArrayInTable(Fertiliser_SourceData.Fertiliser_Products_Data5(),FertiliserProducts[[#Headers],[Company]], 121)</f>
        <v/>
      </c>
      <c r="X215" s="146" t="str" cm="1">
        <f t="array" ref="X215">Common_InputFunctions.Utility_DisplayArrayInTable(Fertiliser_SourceData.Fertiliser_Products_Data5(),FertiliserProducts[[#Headers],[Company]], 121)</f>
        <v/>
      </c>
      <c r="Y215" s="146" t="str" cm="1">
        <f t="array" ref="Y215">Common_InputFunctions.Utility_DisplayArrayInTable(Fertiliser_SourceData.Fertiliser_Products_Data5(),FertiliserProducts[[#Headers],[Company]], 121)</f>
        <v/>
      </c>
      <c r="Z215" s="146" t="str" cm="1">
        <f t="array" ref="Z215">Common_InputFunctions.Utility_DisplayArrayInTable(Fertiliser_SourceData.Fertiliser_Products_Data5(),FertiliserProducts[[#Headers],[Company]], 121)</f>
        <v/>
      </c>
      <c r="AA215" s="146" t="str" cm="1">
        <f t="array" ref="AA215">Common_InputFunctions.Utility_DisplayArrayInTable(Fertiliser_SourceData.Fertiliser_Products_Data5(),FertiliserProducts[[#Headers],[Company]], 121)</f>
        <v/>
      </c>
      <c r="AB215" s="146" t="str" cm="1">
        <f t="array" ref="AB215">Common_InputFunctions.Utility_DisplayArrayInTable(Fertiliser_SourceData.Fertiliser_Products_Data5(),FertiliserProducts[[#Headers],[Company]], 121)</f>
        <v/>
      </c>
      <c r="AC215" s="146" t="str" cm="1">
        <f t="array" ref="AC215">Common_InputFunctions.Utility_DisplayArrayInTable(Fertiliser_SourceData.Fertiliser_Products_Data5(),FertiliserProducts[[#Headers],[Company]], 121)</f>
        <v/>
      </c>
      <c r="AD215" s="146" t="str" cm="1">
        <f t="array" ref="AD215">Common_InputFunctions.Utility_DisplayArrayInTable(Fertiliser_SourceData.Fertiliser_Products_Data5(),FertiliserProducts[[#Headers],[Company]], 121)</f>
        <v/>
      </c>
      <c r="AE215" s="146" t="str" cm="1">
        <f t="array" ref="AE215">Common_InputFunctions.Utility_DisplayArrayInTable(Fertiliser_SourceData.Fertiliser_Products_Data5(),FertiliserProducts[[#Headers],[Company]], 121)</f>
        <v/>
      </c>
      <c r="AF215" s="146" t="str" cm="1">
        <f t="array" ref="AF215">Common_InputFunctions.Utility_DisplayArrayInTable(Fertiliser_SourceData.Fertiliser_Products_Data5(),FertiliserProducts[[#Headers],[Company]], 121)</f>
        <v/>
      </c>
      <c r="AG215" s="146" t="str" cm="1">
        <f t="array" ref="AG215">Common_InputFunctions.Utility_DisplayArrayInTable(Fertiliser_SourceData.Fertiliser_Products_Data5(),FertiliserProducts[[#Headers],[Company]], 121)</f>
        <v/>
      </c>
      <c r="AH215" s="146" t="str" cm="1">
        <f t="array" ref="AH215">Common_InputFunctions.Utility_DisplayArrayInTable(Fertiliser_SourceData.Fertiliser_Products_Data5(),FertiliserProducts[[#Headers],[Company]], 121)</f>
        <v/>
      </c>
    </row>
    <row r="216" spans="1:34" ht="20.100000000000001" customHeight="1" x14ac:dyDescent="0.2">
      <c r="A216" s="79" t="str">
        <f>HYPERLINK("#A1", "▲ Back to top")</f>
        <v>▲ Back to top</v>
      </c>
      <c r="D216" s="146" t="str" cm="1">
        <f t="array" ref="D216">Common_InputFunctions.Utility_DisplayArrayInTable(Fertiliser_SourceData.Fertiliser_Products_Data5(),FertiliserProducts[[#Headers],[Company]], 121)</f>
        <v>Wengfu Australia</v>
      </c>
      <c r="E216" s="146" t="str" cm="1">
        <f t="array" ref="E216">Common_InputFunctions.Utility_DisplayArrayInTable(Fertiliser_SourceData.Fertiliser_Products_Data5(),FertiliserProducts[[#Headers],[Company]], 121)</f>
        <v>Wengfu Pasture Booster</v>
      </c>
      <c r="F216" s="146" t="str" cm="1">
        <f t="array" ref="F216">Common_InputFunctions.Utility_DisplayArrayInTable(Fertiliser_SourceData.Fertiliser_Products_Data5(),FertiliserProducts[[#Headers],[Company]], 121)</f>
        <v>kg</v>
      </c>
      <c r="G216" s="146" cm="1">
        <f t="array" ref="G216">Common_InputFunctions.Utility_DisplayArrayInTable(Fertiliser_SourceData.Fertiliser_Products_Data5(),FertiliserProducts[[#Headers],[Company]], 121)</f>
        <v>1</v>
      </c>
      <c r="H216" s="146" t="str" cm="1">
        <f t="array" ref="H216">Common_InputFunctions.Utility_DisplayArrayInTable(Fertiliser_SourceData.Fertiliser_Products_Data5(),FertiliserProducts[[#Headers],[Company]], 121)</f>
        <v/>
      </c>
      <c r="I216" s="146" t="str" cm="1">
        <f t="array" ref="I216">Common_InputFunctions.Utility_DisplayArrayInTable(Fertiliser_SourceData.Fertiliser_Products_Data5(),FertiliserProducts[[#Headers],[Company]], 121)</f>
        <v/>
      </c>
      <c r="J216" s="146" t="str" cm="1">
        <f t="array" ref="J216">Common_InputFunctions.Utility_DisplayArrayInTable(Fertiliser_SourceData.Fertiliser_Products_Data5(),FertiliserProducts[[#Headers],[Company]], 121)</f>
        <v/>
      </c>
      <c r="K216" s="146" cm="1">
        <f t="array" ref="K216">Common_InputFunctions.Utility_DisplayArrayInTable(Fertiliser_SourceData.Fertiliser_Products_Data5(),FertiliserProducts[[#Headers],[Company]], 121)</f>
        <v>13</v>
      </c>
      <c r="L216" s="146" cm="1">
        <f t="array" ref="L216">Common_InputFunctions.Utility_DisplayArrayInTable(Fertiliser_SourceData.Fertiliser_Products_Data5(),FertiliserProducts[[#Headers],[Company]], 121)</f>
        <v>5</v>
      </c>
      <c r="M216" s="146" cm="1">
        <f t="array" ref="M216">Common_InputFunctions.Utility_DisplayArrayInTable(Fertiliser_SourceData.Fertiliser_Products_Data5(),FertiliserProducts[[#Headers],[Company]], 121)</f>
        <v>24</v>
      </c>
      <c r="N216" s="146" cm="1">
        <f t="array" ref="N216">Common_InputFunctions.Utility_DisplayArrayInTable(Fertiliser_SourceData.Fertiliser_Products_Data5(),FertiliserProducts[[#Headers],[Company]], 121)</f>
        <v>5</v>
      </c>
      <c r="O216" s="146" t="str" cm="1">
        <f t="array" ref="O216">Common_InputFunctions.Utility_DisplayArrayInTable(Fertiliser_SourceData.Fertiliser_Products_Data5(),FertiliserProducts[[#Headers],[Company]], 121)</f>
        <v>Nitrogen - Generic</v>
      </c>
      <c r="P216" s="146" cm="1">
        <f t="array" ref="P216">Common_InputFunctions.Utility_DisplayArrayInTable(Fertiliser_SourceData.Fertiliser_Products_Data5(),FertiliserProducts[[#Headers],[Company]], 121)</f>
        <v>0.13</v>
      </c>
      <c r="Q216" s="146" t="str" cm="1">
        <f t="array" ref="Q216">Common_InputFunctions.Utility_DisplayArrayInTable(Fertiliser_SourceData.Fertiliser_Products_Data5(),FertiliserProducts[[#Headers],[Company]], 121)</f>
        <v>Phosphorus - Generic</v>
      </c>
      <c r="R216" s="146" cm="1">
        <f t="array" ref="R216">Common_InputFunctions.Utility_DisplayArrayInTable(Fertiliser_SourceData.Fertiliser_Products_Data5(),FertiliserProducts[[#Headers],[Company]], 121)</f>
        <v>0.05</v>
      </c>
      <c r="S216" s="146" t="str" cm="1">
        <f t="array" ref="S216">Common_InputFunctions.Utility_DisplayArrayInTable(Fertiliser_SourceData.Fertiliser_Products_Data5(),FertiliserProducts[[#Headers],[Company]], 121)</f>
        <v>Potassium - Generic</v>
      </c>
      <c r="T216" s="146" cm="1">
        <f t="array" ref="T216">Common_InputFunctions.Utility_DisplayArrayInTable(Fertiliser_SourceData.Fertiliser_Products_Data5(),FertiliserProducts[[#Headers],[Company]], 121)</f>
        <v>0.24</v>
      </c>
      <c r="U216" s="146" t="str" cm="1">
        <f t="array" ref="U216">Common_InputFunctions.Utility_DisplayArrayInTable(Fertiliser_SourceData.Fertiliser_Products_Data5(),FertiliserProducts[[#Headers],[Company]], 121)</f>
        <v>Sulfur - Generic</v>
      </c>
      <c r="V216" s="146" cm="1">
        <f t="array" ref="V216">Common_InputFunctions.Utility_DisplayArrayInTable(Fertiliser_SourceData.Fertiliser_Products_Data5(),FertiliserProducts[[#Headers],[Company]], 121)</f>
        <v>0.05</v>
      </c>
      <c r="W216" s="146" t="str" cm="1">
        <f t="array" ref="W216">Common_InputFunctions.Utility_DisplayArrayInTable(Fertiliser_SourceData.Fertiliser_Products_Data5(),FertiliserProducts[[#Headers],[Company]], 121)</f>
        <v/>
      </c>
      <c r="X216" s="146" t="str" cm="1">
        <f t="array" ref="X216">Common_InputFunctions.Utility_DisplayArrayInTable(Fertiliser_SourceData.Fertiliser_Products_Data5(),FertiliserProducts[[#Headers],[Company]], 121)</f>
        <v/>
      </c>
      <c r="Y216" s="146" t="str" cm="1">
        <f t="array" ref="Y216">Common_InputFunctions.Utility_DisplayArrayInTable(Fertiliser_SourceData.Fertiliser_Products_Data5(),FertiliserProducts[[#Headers],[Company]], 121)</f>
        <v/>
      </c>
      <c r="Z216" s="146" t="str" cm="1">
        <f t="array" ref="Z216">Common_InputFunctions.Utility_DisplayArrayInTable(Fertiliser_SourceData.Fertiliser_Products_Data5(),FertiliserProducts[[#Headers],[Company]], 121)</f>
        <v/>
      </c>
      <c r="AA216" s="146" t="str" cm="1">
        <f t="array" ref="AA216">Common_InputFunctions.Utility_DisplayArrayInTable(Fertiliser_SourceData.Fertiliser_Products_Data5(),FertiliserProducts[[#Headers],[Company]], 121)</f>
        <v/>
      </c>
      <c r="AB216" s="146" t="str" cm="1">
        <f t="array" ref="AB216">Common_InputFunctions.Utility_DisplayArrayInTable(Fertiliser_SourceData.Fertiliser_Products_Data5(),FertiliserProducts[[#Headers],[Company]], 121)</f>
        <v/>
      </c>
      <c r="AC216" s="146" t="str" cm="1">
        <f t="array" ref="AC216">Common_InputFunctions.Utility_DisplayArrayInTable(Fertiliser_SourceData.Fertiliser_Products_Data5(),FertiliserProducts[[#Headers],[Company]], 121)</f>
        <v/>
      </c>
      <c r="AD216" s="146" t="str" cm="1">
        <f t="array" ref="AD216">Common_InputFunctions.Utility_DisplayArrayInTable(Fertiliser_SourceData.Fertiliser_Products_Data5(),FertiliserProducts[[#Headers],[Company]], 121)</f>
        <v/>
      </c>
      <c r="AE216" s="146" t="str" cm="1">
        <f t="array" ref="AE216">Common_InputFunctions.Utility_DisplayArrayInTable(Fertiliser_SourceData.Fertiliser_Products_Data5(),FertiliserProducts[[#Headers],[Company]], 121)</f>
        <v/>
      </c>
      <c r="AF216" s="146" t="str" cm="1">
        <f t="array" ref="AF216">Common_InputFunctions.Utility_DisplayArrayInTable(Fertiliser_SourceData.Fertiliser_Products_Data5(),FertiliserProducts[[#Headers],[Company]], 121)</f>
        <v/>
      </c>
      <c r="AG216" s="146" t="str" cm="1">
        <f t="array" ref="AG216">Common_InputFunctions.Utility_DisplayArrayInTable(Fertiliser_SourceData.Fertiliser_Products_Data5(),FertiliserProducts[[#Headers],[Company]], 121)</f>
        <v/>
      </c>
      <c r="AH216" s="146" t="str" cm="1">
        <f t="array" ref="AH216">Common_InputFunctions.Utility_DisplayArrayInTable(Fertiliser_SourceData.Fertiliser_Products_Data5(),FertiliserProducts[[#Headers],[Company]], 121)</f>
        <v/>
      </c>
    </row>
    <row r="217" spans="1:34" ht="20.100000000000001" customHeight="1" x14ac:dyDescent="0.2">
      <c r="D217" s="146" t="str" cm="1">
        <f t="array" ref="D217">Common_InputFunctions.Utility_DisplayArrayInTable(Fertiliser_SourceData.Fertiliser_Products_Data5(),FertiliserProducts[[#Headers],[Company]], 121)</f>
        <v>Wengfu Australia</v>
      </c>
      <c r="E217" s="146" t="str" cm="1">
        <f t="array" ref="E217">Common_InputFunctions.Utility_DisplayArrayInTable(Fertiliser_SourceData.Fertiliser_Products_Data5(),FertiliserProducts[[#Headers],[Company]], 121)</f>
        <v>Wengfu DAP Hay Booster</v>
      </c>
      <c r="F217" s="146" t="str" cm="1">
        <f t="array" ref="F217">Common_InputFunctions.Utility_DisplayArrayInTable(Fertiliser_SourceData.Fertiliser_Products_Data5(),FertiliserProducts[[#Headers],[Company]], 121)</f>
        <v>kg</v>
      </c>
      <c r="G217" s="146" cm="1">
        <f t="array" ref="G217">Common_InputFunctions.Utility_DisplayArrayInTable(Fertiliser_SourceData.Fertiliser_Products_Data5(),FertiliserProducts[[#Headers],[Company]], 121)</f>
        <v>1</v>
      </c>
      <c r="H217" s="146" t="str" cm="1">
        <f t="array" ref="H217">Common_InputFunctions.Utility_DisplayArrayInTable(Fertiliser_SourceData.Fertiliser_Products_Data5(),FertiliserProducts[[#Headers],[Company]], 121)</f>
        <v/>
      </c>
      <c r="I217" s="146" t="str" cm="1">
        <f t="array" ref="I217">Common_InputFunctions.Utility_DisplayArrayInTable(Fertiliser_SourceData.Fertiliser_Products_Data5(),FertiliserProducts[[#Headers],[Company]], 121)</f>
        <v/>
      </c>
      <c r="J217" s="146" t="str" cm="1">
        <f t="array" ref="J217">Common_InputFunctions.Utility_DisplayArrayInTable(Fertiliser_SourceData.Fertiliser_Products_Data5(),FertiliserProducts[[#Headers],[Company]], 121)</f>
        <v/>
      </c>
      <c r="K217" s="146" cm="1">
        <f t="array" ref="K217">Common_InputFunctions.Utility_DisplayArrayInTable(Fertiliser_SourceData.Fertiliser_Products_Data5(),FertiliserProducts[[#Headers],[Company]], 121)</f>
        <v>11</v>
      </c>
      <c r="L217" s="146" cm="1">
        <f t="array" ref="L217">Common_InputFunctions.Utility_DisplayArrayInTable(Fertiliser_SourceData.Fertiliser_Products_Data5(),FertiliserProducts[[#Headers],[Company]], 121)</f>
        <v>5</v>
      </c>
      <c r="M217" s="146" cm="1">
        <f t="array" ref="M217">Common_InputFunctions.Utility_DisplayArrayInTable(Fertiliser_SourceData.Fertiliser_Products_Data5(),FertiliserProducts[[#Headers],[Company]], 121)</f>
        <v>24</v>
      </c>
      <c r="N217" s="146" cm="1">
        <f t="array" ref="N217">Common_InputFunctions.Utility_DisplayArrayInTable(Fertiliser_SourceData.Fertiliser_Products_Data5(),FertiliserProducts[[#Headers],[Company]], 121)</f>
        <v>4</v>
      </c>
      <c r="O217" s="146" t="str" cm="1">
        <f t="array" ref="O217">Common_InputFunctions.Utility_DisplayArrayInTable(Fertiliser_SourceData.Fertiliser_Products_Data5(),FertiliserProducts[[#Headers],[Company]], 121)</f>
        <v>Nitrogen - Generic</v>
      </c>
      <c r="P217" s="146" cm="1">
        <f t="array" ref="P217">Common_InputFunctions.Utility_DisplayArrayInTable(Fertiliser_SourceData.Fertiliser_Products_Data5(),FertiliserProducts[[#Headers],[Company]], 121)</f>
        <v>0.11</v>
      </c>
      <c r="Q217" s="146" t="str" cm="1">
        <f t="array" ref="Q217">Common_InputFunctions.Utility_DisplayArrayInTable(Fertiliser_SourceData.Fertiliser_Products_Data5(),FertiliserProducts[[#Headers],[Company]], 121)</f>
        <v>Phosphorus - Generic</v>
      </c>
      <c r="R217" s="146" cm="1">
        <f t="array" ref="R217">Common_InputFunctions.Utility_DisplayArrayInTable(Fertiliser_SourceData.Fertiliser_Products_Data5(),FertiliserProducts[[#Headers],[Company]], 121)</f>
        <v>0.05</v>
      </c>
      <c r="S217" s="146" t="str" cm="1">
        <f t="array" ref="S217">Common_InputFunctions.Utility_DisplayArrayInTable(Fertiliser_SourceData.Fertiliser_Products_Data5(),FertiliserProducts[[#Headers],[Company]], 121)</f>
        <v>Potassium - Generic</v>
      </c>
      <c r="T217" s="146" cm="1">
        <f t="array" ref="T217">Common_InputFunctions.Utility_DisplayArrayInTable(Fertiliser_SourceData.Fertiliser_Products_Data5(),FertiliserProducts[[#Headers],[Company]], 121)</f>
        <v>0.24</v>
      </c>
      <c r="U217" s="146" t="str" cm="1">
        <f t="array" ref="U217">Common_InputFunctions.Utility_DisplayArrayInTable(Fertiliser_SourceData.Fertiliser_Products_Data5(),FertiliserProducts[[#Headers],[Company]], 121)</f>
        <v>Sulfur - Generic</v>
      </c>
      <c r="V217" s="146" cm="1">
        <f t="array" ref="V217">Common_InputFunctions.Utility_DisplayArrayInTable(Fertiliser_SourceData.Fertiliser_Products_Data5(),FertiliserProducts[[#Headers],[Company]], 121)</f>
        <v>0.04</v>
      </c>
      <c r="W217" s="146" t="str" cm="1">
        <f t="array" ref="W217">Common_InputFunctions.Utility_DisplayArrayInTable(Fertiliser_SourceData.Fertiliser_Products_Data5(),FertiliserProducts[[#Headers],[Company]], 121)</f>
        <v/>
      </c>
      <c r="X217" s="146" t="str" cm="1">
        <f t="array" ref="X217">Common_InputFunctions.Utility_DisplayArrayInTable(Fertiliser_SourceData.Fertiliser_Products_Data5(),FertiliserProducts[[#Headers],[Company]], 121)</f>
        <v/>
      </c>
      <c r="Y217" s="146" t="str" cm="1">
        <f t="array" ref="Y217">Common_InputFunctions.Utility_DisplayArrayInTable(Fertiliser_SourceData.Fertiliser_Products_Data5(),FertiliserProducts[[#Headers],[Company]], 121)</f>
        <v/>
      </c>
      <c r="Z217" s="146" t="str" cm="1">
        <f t="array" ref="Z217">Common_InputFunctions.Utility_DisplayArrayInTable(Fertiliser_SourceData.Fertiliser_Products_Data5(),FertiliserProducts[[#Headers],[Company]], 121)</f>
        <v/>
      </c>
      <c r="AA217" s="146" t="str" cm="1">
        <f t="array" ref="AA217">Common_InputFunctions.Utility_DisplayArrayInTable(Fertiliser_SourceData.Fertiliser_Products_Data5(),FertiliserProducts[[#Headers],[Company]], 121)</f>
        <v/>
      </c>
      <c r="AB217" s="146" t="str" cm="1">
        <f t="array" ref="AB217">Common_InputFunctions.Utility_DisplayArrayInTable(Fertiliser_SourceData.Fertiliser_Products_Data5(),FertiliserProducts[[#Headers],[Company]], 121)</f>
        <v/>
      </c>
      <c r="AC217" s="146" t="str" cm="1">
        <f t="array" ref="AC217">Common_InputFunctions.Utility_DisplayArrayInTable(Fertiliser_SourceData.Fertiliser_Products_Data5(),FertiliserProducts[[#Headers],[Company]], 121)</f>
        <v/>
      </c>
      <c r="AD217" s="146" t="str" cm="1">
        <f t="array" ref="AD217">Common_InputFunctions.Utility_DisplayArrayInTable(Fertiliser_SourceData.Fertiliser_Products_Data5(),FertiliserProducts[[#Headers],[Company]], 121)</f>
        <v/>
      </c>
      <c r="AE217" s="146" t="str" cm="1">
        <f t="array" ref="AE217">Common_InputFunctions.Utility_DisplayArrayInTable(Fertiliser_SourceData.Fertiliser_Products_Data5(),FertiliserProducts[[#Headers],[Company]], 121)</f>
        <v/>
      </c>
      <c r="AF217" s="146" t="str" cm="1">
        <f t="array" ref="AF217">Common_InputFunctions.Utility_DisplayArrayInTable(Fertiliser_SourceData.Fertiliser_Products_Data5(),FertiliserProducts[[#Headers],[Company]], 121)</f>
        <v/>
      </c>
      <c r="AG217" s="146" t="str" cm="1">
        <f t="array" ref="AG217">Common_InputFunctions.Utility_DisplayArrayInTable(Fertiliser_SourceData.Fertiliser_Products_Data5(),FertiliserProducts[[#Headers],[Company]], 121)</f>
        <v/>
      </c>
      <c r="AH217" s="146" t="str" cm="1">
        <f t="array" ref="AH217">Common_InputFunctions.Utility_DisplayArrayInTable(Fertiliser_SourceData.Fertiliser_Products_Data5(),FertiliserProducts[[#Headers],[Company]], 121)</f>
        <v/>
      </c>
    </row>
    <row r="218" spans="1:34" ht="20.100000000000001" customHeight="1" x14ac:dyDescent="0.2">
      <c r="D218" s="146" t="str" cm="1">
        <f t="array" ref="D218">Common_InputFunctions.Utility_DisplayArrayInTable(Fertiliser_SourceData.Fertiliser_Products_Data5(),FertiliserProducts[[#Headers],[Company]], 121)</f>
        <v>Wengfu Australia</v>
      </c>
      <c r="E218" s="146" t="str" cm="1">
        <f t="array" ref="E218">Common_InputFunctions.Utility_DisplayArrayInTable(Fertiliser_SourceData.Fertiliser_Products_Data5(),FertiliserProducts[[#Headers],[Company]], 121)</f>
        <v>Wengfu MAP Hay Booster</v>
      </c>
      <c r="F218" s="146" t="str" cm="1">
        <f t="array" ref="F218">Common_InputFunctions.Utility_DisplayArrayInTable(Fertiliser_SourceData.Fertiliser_Products_Data5(),FertiliserProducts[[#Headers],[Company]], 121)</f>
        <v>kg</v>
      </c>
      <c r="G218" s="146" cm="1">
        <f t="array" ref="G218">Common_InputFunctions.Utility_DisplayArrayInTable(Fertiliser_SourceData.Fertiliser_Products_Data5(),FertiliserProducts[[#Headers],[Company]], 121)</f>
        <v>1</v>
      </c>
      <c r="H218" s="146" t="str" cm="1">
        <f t="array" ref="H218">Common_InputFunctions.Utility_DisplayArrayInTable(Fertiliser_SourceData.Fertiliser_Products_Data5(),FertiliserProducts[[#Headers],[Company]], 121)</f>
        <v/>
      </c>
      <c r="I218" s="146" t="str" cm="1">
        <f t="array" ref="I218">Common_InputFunctions.Utility_DisplayArrayInTable(Fertiliser_SourceData.Fertiliser_Products_Data5(),FertiliserProducts[[#Headers],[Company]], 121)</f>
        <v/>
      </c>
      <c r="J218" s="146" t="str" cm="1">
        <f t="array" ref="J218">Common_InputFunctions.Utility_DisplayArrayInTable(Fertiliser_SourceData.Fertiliser_Products_Data5(),FertiliserProducts[[#Headers],[Company]], 121)</f>
        <v/>
      </c>
      <c r="K218" s="146" cm="1">
        <f t="array" ref="K218">Common_InputFunctions.Utility_DisplayArrayInTable(Fertiliser_SourceData.Fertiliser_Products_Data5(),FertiliserProducts[[#Headers],[Company]], 121)</f>
        <v>11</v>
      </c>
      <c r="L218" s="146" cm="1">
        <f t="array" ref="L218">Common_InputFunctions.Utility_DisplayArrayInTable(Fertiliser_SourceData.Fertiliser_Products_Data5(),FertiliserProducts[[#Headers],[Company]], 121)</f>
        <v>8</v>
      </c>
      <c r="M218" s="146" cm="1">
        <f t="array" ref="M218">Common_InputFunctions.Utility_DisplayArrayInTable(Fertiliser_SourceData.Fertiliser_Products_Data5(),FertiliserProducts[[#Headers],[Company]], 121)</f>
        <v>20</v>
      </c>
      <c r="N218" s="146" cm="1">
        <f t="array" ref="N218">Common_InputFunctions.Utility_DisplayArrayInTable(Fertiliser_SourceData.Fertiliser_Products_Data5(),FertiliserProducts[[#Headers],[Company]], 121)</f>
        <v>6</v>
      </c>
      <c r="O218" s="146" t="str" cm="1">
        <f t="array" ref="O218">Common_InputFunctions.Utility_DisplayArrayInTable(Fertiliser_SourceData.Fertiliser_Products_Data5(),FertiliserProducts[[#Headers],[Company]], 121)</f>
        <v>Nitrogen - Generic</v>
      </c>
      <c r="P218" s="146" cm="1">
        <f t="array" ref="P218">Common_InputFunctions.Utility_DisplayArrayInTable(Fertiliser_SourceData.Fertiliser_Products_Data5(),FertiliserProducts[[#Headers],[Company]], 121)</f>
        <v>0.11</v>
      </c>
      <c r="Q218" s="146" t="str" cm="1">
        <f t="array" ref="Q218">Common_InputFunctions.Utility_DisplayArrayInTable(Fertiliser_SourceData.Fertiliser_Products_Data5(),FertiliserProducts[[#Headers],[Company]], 121)</f>
        <v>Phosphorus - Generic</v>
      </c>
      <c r="R218" s="146" cm="1">
        <f t="array" ref="R218">Common_InputFunctions.Utility_DisplayArrayInTable(Fertiliser_SourceData.Fertiliser_Products_Data5(),FertiliserProducts[[#Headers],[Company]], 121)</f>
        <v>0.08</v>
      </c>
      <c r="S218" s="146" t="str" cm="1">
        <f t="array" ref="S218">Common_InputFunctions.Utility_DisplayArrayInTable(Fertiliser_SourceData.Fertiliser_Products_Data5(),FertiliserProducts[[#Headers],[Company]], 121)</f>
        <v>Potassium - Generic</v>
      </c>
      <c r="T218" s="146" cm="1">
        <f t="array" ref="T218">Common_InputFunctions.Utility_DisplayArrayInTable(Fertiliser_SourceData.Fertiliser_Products_Data5(),FertiliserProducts[[#Headers],[Company]], 121)</f>
        <v>0.2</v>
      </c>
      <c r="U218" s="146" t="str" cm="1">
        <f t="array" ref="U218">Common_InputFunctions.Utility_DisplayArrayInTable(Fertiliser_SourceData.Fertiliser_Products_Data5(),FertiliserProducts[[#Headers],[Company]], 121)</f>
        <v>Sulfur - Generic</v>
      </c>
      <c r="V218" s="146" cm="1">
        <f t="array" ref="V218">Common_InputFunctions.Utility_DisplayArrayInTable(Fertiliser_SourceData.Fertiliser_Products_Data5(),FertiliserProducts[[#Headers],[Company]], 121)</f>
        <v>0.06</v>
      </c>
      <c r="W218" s="146" t="str" cm="1">
        <f t="array" ref="W218">Common_InputFunctions.Utility_DisplayArrayInTable(Fertiliser_SourceData.Fertiliser_Products_Data5(),FertiliserProducts[[#Headers],[Company]], 121)</f>
        <v/>
      </c>
      <c r="X218" s="146" t="str" cm="1">
        <f t="array" ref="X218">Common_InputFunctions.Utility_DisplayArrayInTable(Fertiliser_SourceData.Fertiliser_Products_Data5(),FertiliserProducts[[#Headers],[Company]], 121)</f>
        <v/>
      </c>
      <c r="Y218" s="146" t="str" cm="1">
        <f t="array" ref="Y218">Common_InputFunctions.Utility_DisplayArrayInTable(Fertiliser_SourceData.Fertiliser_Products_Data5(),FertiliserProducts[[#Headers],[Company]], 121)</f>
        <v/>
      </c>
      <c r="Z218" s="146" t="str" cm="1">
        <f t="array" ref="Z218">Common_InputFunctions.Utility_DisplayArrayInTable(Fertiliser_SourceData.Fertiliser_Products_Data5(),FertiliserProducts[[#Headers],[Company]], 121)</f>
        <v/>
      </c>
      <c r="AA218" s="146" t="str" cm="1">
        <f t="array" ref="AA218">Common_InputFunctions.Utility_DisplayArrayInTable(Fertiliser_SourceData.Fertiliser_Products_Data5(),FertiliserProducts[[#Headers],[Company]], 121)</f>
        <v/>
      </c>
      <c r="AB218" s="146" t="str" cm="1">
        <f t="array" ref="AB218">Common_InputFunctions.Utility_DisplayArrayInTable(Fertiliser_SourceData.Fertiliser_Products_Data5(),FertiliserProducts[[#Headers],[Company]], 121)</f>
        <v/>
      </c>
      <c r="AC218" s="146" t="str" cm="1">
        <f t="array" ref="AC218">Common_InputFunctions.Utility_DisplayArrayInTable(Fertiliser_SourceData.Fertiliser_Products_Data5(),FertiliserProducts[[#Headers],[Company]], 121)</f>
        <v/>
      </c>
      <c r="AD218" s="146" t="str" cm="1">
        <f t="array" ref="AD218">Common_InputFunctions.Utility_DisplayArrayInTable(Fertiliser_SourceData.Fertiliser_Products_Data5(),FertiliserProducts[[#Headers],[Company]], 121)</f>
        <v/>
      </c>
      <c r="AE218" s="146" t="str" cm="1">
        <f t="array" ref="AE218">Common_InputFunctions.Utility_DisplayArrayInTable(Fertiliser_SourceData.Fertiliser_Products_Data5(),FertiliserProducts[[#Headers],[Company]], 121)</f>
        <v/>
      </c>
      <c r="AF218" s="146" t="str" cm="1">
        <f t="array" ref="AF218">Common_InputFunctions.Utility_DisplayArrayInTable(Fertiliser_SourceData.Fertiliser_Products_Data5(),FertiliserProducts[[#Headers],[Company]], 121)</f>
        <v/>
      </c>
      <c r="AG218" s="146" t="str" cm="1">
        <f t="array" ref="AG218">Common_InputFunctions.Utility_DisplayArrayInTable(Fertiliser_SourceData.Fertiliser_Products_Data5(),FertiliserProducts[[#Headers],[Company]], 121)</f>
        <v/>
      </c>
      <c r="AH218" s="146" t="str" cm="1">
        <f t="array" ref="AH218">Common_InputFunctions.Utility_DisplayArrayInTable(Fertiliser_SourceData.Fertiliser_Products_Data5(),FertiliserProducts[[#Headers],[Company]], 121)</f>
        <v/>
      </c>
    </row>
    <row r="219" spans="1:34" ht="20.100000000000001" customHeight="1" x14ac:dyDescent="0.2">
      <c r="D219" s="146" t="str" cm="1">
        <f t="array" ref="D219">Common_InputFunctions.Utility_DisplayArrayInTable(Fertiliser_SourceData.Fertiliser_Products_Data5(),FertiliserProducts[[#Headers],[Company]], 121)</f>
        <v>Wengfu Australia</v>
      </c>
      <c r="E219" s="146" t="str" cm="1">
        <f t="array" ref="E219">Common_InputFunctions.Utility_DisplayArrayInTable(Fertiliser_SourceData.Fertiliser_Products_Data5(),FertiliserProducts[[#Headers],[Company]], 121)</f>
        <v>Wengfu Fodder Booster</v>
      </c>
      <c r="F219" s="146" t="str" cm="1">
        <f t="array" ref="F219">Common_InputFunctions.Utility_DisplayArrayInTable(Fertiliser_SourceData.Fertiliser_Products_Data5(),FertiliserProducts[[#Headers],[Company]], 121)</f>
        <v>kg</v>
      </c>
      <c r="G219" s="146" cm="1">
        <f t="array" ref="G219">Common_InputFunctions.Utility_DisplayArrayInTable(Fertiliser_SourceData.Fertiliser_Products_Data5(),FertiliserProducts[[#Headers],[Company]], 121)</f>
        <v>1</v>
      </c>
      <c r="H219" s="146" t="str" cm="1">
        <f t="array" ref="H219">Common_InputFunctions.Utility_DisplayArrayInTable(Fertiliser_SourceData.Fertiliser_Products_Data5(),FertiliserProducts[[#Headers],[Company]], 121)</f>
        <v/>
      </c>
      <c r="I219" s="146" t="str" cm="1">
        <f t="array" ref="I219">Common_InputFunctions.Utility_DisplayArrayInTable(Fertiliser_SourceData.Fertiliser_Products_Data5(),FertiliserProducts[[#Headers],[Company]], 121)</f>
        <v/>
      </c>
      <c r="J219" s="146" t="str" cm="1">
        <f t="array" ref="J219">Common_InputFunctions.Utility_DisplayArrayInTable(Fertiliser_SourceData.Fertiliser_Products_Data5(),FertiliserProducts[[#Headers],[Company]], 121)</f>
        <v/>
      </c>
      <c r="K219" s="146" cm="1">
        <f t="array" ref="K219">Common_InputFunctions.Utility_DisplayArrayInTable(Fertiliser_SourceData.Fertiliser_Products_Data5(),FertiliserProducts[[#Headers],[Company]], 121)</f>
        <v>9</v>
      </c>
      <c r="L219" s="146" cm="1">
        <f t="array" ref="L219">Common_InputFunctions.Utility_DisplayArrayInTable(Fertiliser_SourceData.Fertiliser_Products_Data5(),FertiliserProducts[[#Headers],[Company]], 121)</f>
        <v>4</v>
      </c>
      <c r="M219" s="146" cm="1">
        <f t="array" ref="M219">Common_InputFunctions.Utility_DisplayArrayInTable(Fertiliser_SourceData.Fertiliser_Products_Data5(),FertiliserProducts[[#Headers],[Company]], 121)</f>
        <v>5</v>
      </c>
      <c r="N219" s="146" cm="1">
        <f t="array" ref="N219">Common_InputFunctions.Utility_DisplayArrayInTable(Fertiliser_SourceData.Fertiliser_Products_Data5(),FertiliserProducts[[#Headers],[Company]], 121)</f>
        <v>15</v>
      </c>
      <c r="O219" s="146" t="str" cm="1">
        <f t="array" ref="O219">Common_InputFunctions.Utility_DisplayArrayInTable(Fertiliser_SourceData.Fertiliser_Products_Data5(),FertiliserProducts[[#Headers],[Company]], 121)</f>
        <v>Nitrogen - Generic</v>
      </c>
      <c r="P219" s="146" cm="1">
        <f t="array" ref="P219">Common_InputFunctions.Utility_DisplayArrayInTable(Fertiliser_SourceData.Fertiliser_Products_Data5(),FertiliserProducts[[#Headers],[Company]], 121)</f>
        <v>0.09</v>
      </c>
      <c r="Q219" s="146" t="str" cm="1">
        <f t="array" ref="Q219">Common_InputFunctions.Utility_DisplayArrayInTable(Fertiliser_SourceData.Fertiliser_Products_Data5(),FertiliserProducts[[#Headers],[Company]], 121)</f>
        <v>Phosphorus - Generic</v>
      </c>
      <c r="R219" s="146" cm="1">
        <f t="array" ref="R219">Common_InputFunctions.Utility_DisplayArrayInTable(Fertiliser_SourceData.Fertiliser_Products_Data5(),FertiliserProducts[[#Headers],[Company]], 121)</f>
        <v>0.04</v>
      </c>
      <c r="S219" s="146" t="str" cm="1">
        <f t="array" ref="S219">Common_InputFunctions.Utility_DisplayArrayInTable(Fertiliser_SourceData.Fertiliser_Products_Data5(),FertiliserProducts[[#Headers],[Company]], 121)</f>
        <v>Potassium - Generic</v>
      </c>
      <c r="T219" s="146" cm="1">
        <f t="array" ref="T219">Common_InputFunctions.Utility_DisplayArrayInTable(Fertiliser_SourceData.Fertiliser_Products_Data5(),FertiliserProducts[[#Headers],[Company]], 121)</f>
        <v>0.05</v>
      </c>
      <c r="U219" s="146" t="str" cm="1">
        <f t="array" ref="U219">Common_InputFunctions.Utility_DisplayArrayInTable(Fertiliser_SourceData.Fertiliser_Products_Data5(),FertiliserProducts[[#Headers],[Company]], 121)</f>
        <v>Sulfur - Generic</v>
      </c>
      <c r="V219" s="146" cm="1">
        <f t="array" ref="V219">Common_InputFunctions.Utility_DisplayArrayInTable(Fertiliser_SourceData.Fertiliser_Products_Data5(),FertiliserProducts[[#Headers],[Company]], 121)</f>
        <v>0.15</v>
      </c>
      <c r="W219" s="146" t="str" cm="1">
        <f t="array" ref="W219">Common_InputFunctions.Utility_DisplayArrayInTable(Fertiliser_SourceData.Fertiliser_Products_Data5(),FertiliserProducts[[#Headers],[Company]], 121)</f>
        <v/>
      </c>
      <c r="X219" s="146" t="str" cm="1">
        <f t="array" ref="X219">Common_InputFunctions.Utility_DisplayArrayInTable(Fertiliser_SourceData.Fertiliser_Products_Data5(),FertiliserProducts[[#Headers],[Company]], 121)</f>
        <v/>
      </c>
      <c r="Y219" s="146" t="str" cm="1">
        <f t="array" ref="Y219">Common_InputFunctions.Utility_DisplayArrayInTable(Fertiliser_SourceData.Fertiliser_Products_Data5(),FertiliserProducts[[#Headers],[Company]], 121)</f>
        <v/>
      </c>
      <c r="Z219" s="146" t="str" cm="1">
        <f t="array" ref="Z219">Common_InputFunctions.Utility_DisplayArrayInTable(Fertiliser_SourceData.Fertiliser_Products_Data5(),FertiliserProducts[[#Headers],[Company]], 121)</f>
        <v/>
      </c>
      <c r="AA219" s="146" t="str" cm="1">
        <f t="array" ref="AA219">Common_InputFunctions.Utility_DisplayArrayInTable(Fertiliser_SourceData.Fertiliser_Products_Data5(),FertiliserProducts[[#Headers],[Company]], 121)</f>
        <v/>
      </c>
      <c r="AB219" s="146" t="str" cm="1">
        <f t="array" ref="AB219">Common_InputFunctions.Utility_DisplayArrayInTable(Fertiliser_SourceData.Fertiliser_Products_Data5(),FertiliserProducts[[#Headers],[Company]], 121)</f>
        <v/>
      </c>
      <c r="AC219" s="146" t="str" cm="1">
        <f t="array" ref="AC219">Common_InputFunctions.Utility_DisplayArrayInTable(Fertiliser_SourceData.Fertiliser_Products_Data5(),FertiliserProducts[[#Headers],[Company]], 121)</f>
        <v/>
      </c>
      <c r="AD219" s="146" t="str" cm="1">
        <f t="array" ref="AD219">Common_InputFunctions.Utility_DisplayArrayInTable(Fertiliser_SourceData.Fertiliser_Products_Data5(),FertiliserProducts[[#Headers],[Company]], 121)</f>
        <v/>
      </c>
      <c r="AE219" s="146" t="str" cm="1">
        <f t="array" ref="AE219">Common_InputFunctions.Utility_DisplayArrayInTable(Fertiliser_SourceData.Fertiliser_Products_Data5(),FertiliserProducts[[#Headers],[Company]], 121)</f>
        <v/>
      </c>
      <c r="AF219" s="146" t="str" cm="1">
        <f t="array" ref="AF219">Common_InputFunctions.Utility_DisplayArrayInTable(Fertiliser_SourceData.Fertiliser_Products_Data5(),FertiliserProducts[[#Headers],[Company]], 121)</f>
        <v/>
      </c>
      <c r="AG219" s="146" t="str" cm="1">
        <f t="array" ref="AG219">Common_InputFunctions.Utility_DisplayArrayInTable(Fertiliser_SourceData.Fertiliser_Products_Data5(),FertiliserProducts[[#Headers],[Company]], 121)</f>
        <v/>
      </c>
      <c r="AH219" s="146" t="str" cm="1">
        <f t="array" ref="AH219">Common_InputFunctions.Utility_DisplayArrayInTable(Fertiliser_SourceData.Fertiliser_Products_Data5(),FertiliserProducts[[#Headers],[Company]], 121)</f>
        <v/>
      </c>
    </row>
    <row r="220" spans="1:34" ht="20.100000000000001" customHeight="1" x14ac:dyDescent="0.2">
      <c r="D220" s="146" t="str" cm="1">
        <f t="array" ref="D220">Common_InputFunctions.Utility_DisplayArrayInTable(Fertiliser_SourceData.Fertiliser_Products_Data5(),FertiliserProducts[[#Headers],[Company]], 121)</f>
        <v>CSBP</v>
      </c>
      <c r="E220" s="146" t="str" cm="1">
        <f t="array" ref="E220">Common_InputFunctions.Utility_DisplayArrayInTable(Fertiliser_SourceData.Fertiliser_Products_Data5(),FertiliserProducts[[#Headers],[Company]], 121)</f>
        <v>K-Till Extra</v>
      </c>
      <c r="F220" s="146" t="str" cm="1">
        <f t="array" ref="F220">Common_InputFunctions.Utility_DisplayArrayInTable(Fertiliser_SourceData.Fertiliser_Products_Data5(),FertiliserProducts[[#Headers],[Company]], 121)</f>
        <v>kg</v>
      </c>
      <c r="G220" s="146" cm="1">
        <f t="array" ref="G220">Common_InputFunctions.Utility_DisplayArrayInTable(Fertiliser_SourceData.Fertiliser_Products_Data5(),FertiliserProducts[[#Headers],[Company]], 121)</f>
        <v>1</v>
      </c>
      <c r="H220" s="146" t="str" cm="1">
        <f t="array" ref="H220">Common_InputFunctions.Utility_DisplayArrayInTable(Fertiliser_SourceData.Fertiliser_Products_Data5(),FertiliserProducts[[#Headers],[Company]], 121)</f>
        <v/>
      </c>
      <c r="I220" s="146" t="str" cm="1">
        <f t="array" ref="I220">Common_InputFunctions.Utility_DisplayArrayInTable(Fertiliser_SourceData.Fertiliser_Products_Data5(),FertiliserProducts[[#Headers],[Company]], 121)</f>
        <v/>
      </c>
      <c r="J220" s="146" t="str" cm="1">
        <f t="array" ref="J220">Common_InputFunctions.Utility_DisplayArrayInTable(Fertiliser_SourceData.Fertiliser_Products_Data5(),FertiliserProducts[[#Headers],[Company]], 121)</f>
        <v/>
      </c>
      <c r="K220" s="146" cm="1">
        <f t="array" ref="K220">Common_InputFunctions.Utility_DisplayArrayInTable(Fertiliser_SourceData.Fertiliser_Products_Data5(),FertiliserProducts[[#Headers],[Company]], 121)</f>
        <v>10.73</v>
      </c>
      <c r="L220" s="146" cm="1">
        <f t="array" ref="L220">Common_InputFunctions.Utility_DisplayArrayInTable(Fertiliser_SourceData.Fertiliser_Products_Data5(),FertiliserProducts[[#Headers],[Company]], 121)</f>
        <v>10.95</v>
      </c>
      <c r="M220" s="146" cm="1">
        <f t="array" ref="M220">Common_InputFunctions.Utility_DisplayArrayInTable(Fertiliser_SourceData.Fertiliser_Products_Data5(),FertiliserProducts[[#Headers],[Company]], 121)</f>
        <v>11.35</v>
      </c>
      <c r="N220" s="146" cm="1">
        <f t="array" ref="N220">Common_InputFunctions.Utility_DisplayArrayInTable(Fertiliser_SourceData.Fertiliser_Products_Data5(),FertiliserProducts[[#Headers],[Company]], 121)</f>
        <v>6.55</v>
      </c>
      <c r="O220" s="146" t="str" cm="1">
        <f t="array" ref="O220">Common_InputFunctions.Utility_DisplayArrayInTable(Fertiliser_SourceData.Fertiliser_Products_Data5(),FertiliserProducts[[#Headers],[Company]], 121)</f>
        <v>Monoammonium phosphate (MAP)</v>
      </c>
      <c r="P220" s="146" cm="1">
        <f t="array" ref="P220">Common_InputFunctions.Utility_DisplayArrayInTable(Fertiliser_SourceData.Fertiliser_Products_Data5(),FertiliserProducts[[#Headers],[Company]], 121)</f>
        <v>0.5</v>
      </c>
      <c r="Q220" s="146" t="str" cm="1">
        <f t="array" ref="Q220">Common_InputFunctions.Utility_DisplayArrayInTable(Fertiliser_SourceData.Fertiliser_Products_Data5(),FertiliserProducts[[#Headers],[Company]], 121)</f>
        <v>Sulphate of ammonia (SOA)</v>
      </c>
      <c r="R220" s="146" cm="1">
        <f t="array" ref="R220">Common_InputFunctions.Utility_DisplayArrayInTable(Fertiliser_SourceData.Fertiliser_Products_Data5(),FertiliserProducts[[#Headers],[Company]], 121)</f>
        <v>0.27300000000000002</v>
      </c>
      <c r="S220" s="146" t="str" cm="1">
        <f t="array" ref="S220">Common_InputFunctions.Utility_DisplayArrayInTable(Fertiliser_SourceData.Fertiliser_Products_Data5(),FertiliserProducts[[#Headers],[Company]], 121)</f>
        <v>Muriate of potash (MOP)</v>
      </c>
      <c r="T220" s="146" cm="1">
        <f t="array" ref="T220">Common_InputFunctions.Utility_DisplayArrayInTable(Fertiliser_SourceData.Fertiliser_Products_Data5(),FertiliserProducts[[#Headers],[Company]], 121)</f>
        <v>0.22700000000000001</v>
      </c>
      <c r="U220" s="146" t="str" cm="1">
        <f t="array" ref="U220">Common_InputFunctions.Utility_DisplayArrayInTable(Fertiliser_SourceData.Fertiliser_Products_Data5(),FertiliserProducts[[#Headers],[Company]], 121)</f>
        <v>Copper</v>
      </c>
      <c r="V220" s="146" t="str" cm="1">
        <f t="array" ref="V220">Common_InputFunctions.Utility_DisplayArrayInTable(Fertiliser_SourceData.Fertiliser_Products_Data5(),FertiliserProducts[[#Headers],[Company]], 121)</f>
        <v>No data</v>
      </c>
      <c r="W220" s="146" t="str" cm="1">
        <f t="array" ref="W220">Common_InputFunctions.Utility_DisplayArrayInTable(Fertiliser_SourceData.Fertiliser_Products_Data5(),FertiliserProducts[[#Headers],[Company]], 121)</f>
        <v>Zinc</v>
      </c>
      <c r="X220" s="146" t="str" cm="1">
        <f t="array" ref="X220">Common_InputFunctions.Utility_DisplayArrayInTable(Fertiliser_SourceData.Fertiliser_Products_Data5(),FertiliserProducts[[#Headers],[Company]], 121)</f>
        <v>No data</v>
      </c>
      <c r="Y220" s="146" t="str" cm="1">
        <f t="array" ref="Y220">Common_InputFunctions.Utility_DisplayArrayInTable(Fertiliser_SourceData.Fertiliser_Products_Data5(),FertiliserProducts[[#Headers],[Company]], 121)</f>
        <v/>
      </c>
      <c r="Z220" s="146" t="str" cm="1">
        <f t="array" ref="Z220">Common_InputFunctions.Utility_DisplayArrayInTable(Fertiliser_SourceData.Fertiliser_Products_Data5(),FertiliserProducts[[#Headers],[Company]], 121)</f>
        <v/>
      </c>
      <c r="AA220" s="146" t="str" cm="1">
        <f t="array" ref="AA220">Common_InputFunctions.Utility_DisplayArrayInTable(Fertiliser_SourceData.Fertiliser_Products_Data5(),FertiliserProducts[[#Headers],[Company]], 121)</f>
        <v/>
      </c>
      <c r="AB220" s="146" t="str" cm="1">
        <f t="array" ref="AB220">Common_InputFunctions.Utility_DisplayArrayInTable(Fertiliser_SourceData.Fertiliser_Products_Data5(),FertiliserProducts[[#Headers],[Company]], 121)</f>
        <v/>
      </c>
      <c r="AC220" s="146" t="str" cm="1">
        <f t="array" ref="AC220">Common_InputFunctions.Utility_DisplayArrayInTable(Fertiliser_SourceData.Fertiliser_Products_Data5(),FertiliserProducts[[#Headers],[Company]], 121)</f>
        <v/>
      </c>
      <c r="AD220" s="146" t="str" cm="1">
        <f t="array" ref="AD220">Common_InputFunctions.Utility_DisplayArrayInTable(Fertiliser_SourceData.Fertiliser_Products_Data5(),FertiliserProducts[[#Headers],[Company]], 121)</f>
        <v/>
      </c>
      <c r="AE220" s="146" t="str" cm="1">
        <f t="array" ref="AE220">Common_InputFunctions.Utility_DisplayArrayInTable(Fertiliser_SourceData.Fertiliser_Products_Data5(),FertiliserProducts[[#Headers],[Company]], 121)</f>
        <v/>
      </c>
      <c r="AF220" s="146" t="str" cm="1">
        <f t="array" ref="AF220">Common_InputFunctions.Utility_DisplayArrayInTable(Fertiliser_SourceData.Fertiliser_Products_Data5(),FertiliserProducts[[#Headers],[Company]], 121)</f>
        <v/>
      </c>
      <c r="AG220" s="146" t="str" cm="1">
        <f t="array" ref="AG220">Common_InputFunctions.Utility_DisplayArrayInTable(Fertiliser_SourceData.Fertiliser_Products_Data5(),FertiliserProducts[[#Headers],[Company]], 121)</f>
        <v/>
      </c>
      <c r="AH220" s="146" t="str" cm="1">
        <f t="array" ref="AH220">Common_InputFunctions.Utility_DisplayArrayInTable(Fertiliser_SourceData.Fertiliser_Products_Data5(),FertiliserProducts[[#Headers],[Company]], 121)</f>
        <v/>
      </c>
    </row>
    <row r="221" spans="1:34" ht="20.100000000000001" customHeight="1" x14ac:dyDescent="0.2">
      <c r="D221" s="146" t="str" cm="1">
        <f t="array" ref="D221">Common_InputFunctions.Utility_DisplayArrayInTable(Fertiliser_SourceData.Fertiliser_Products_Data5(),FertiliserProducts[[#Headers],[Company]], 121)</f>
        <v>CSBP</v>
      </c>
      <c r="E221" s="146" t="str" cm="1">
        <f t="array" ref="E221">Common_InputFunctions.Utility_DisplayArrayInTable(Fertiliser_SourceData.Fertiliser_Products_Data5(),FertiliserProducts[[#Headers],[Company]], 121)</f>
        <v>Agras Extra</v>
      </c>
      <c r="F221" s="146" t="str" cm="1">
        <f t="array" ref="F221">Common_InputFunctions.Utility_DisplayArrayInTable(Fertiliser_SourceData.Fertiliser_Products_Data5(),FertiliserProducts[[#Headers],[Company]], 121)</f>
        <v>kg</v>
      </c>
      <c r="G221" s="146" cm="1">
        <f t="array" ref="G221">Common_InputFunctions.Utility_DisplayArrayInTable(Fertiliser_SourceData.Fertiliser_Products_Data5(),FertiliserProducts[[#Headers],[Company]], 121)</f>
        <v>1</v>
      </c>
      <c r="H221" s="146" t="str" cm="1">
        <f t="array" ref="H221">Common_InputFunctions.Utility_DisplayArrayInTable(Fertiliser_SourceData.Fertiliser_Products_Data5(),FertiliserProducts[[#Headers],[Company]], 121)</f>
        <v/>
      </c>
      <c r="I221" s="146" t="str" cm="1">
        <f t="array" ref="I221">Common_InputFunctions.Utility_DisplayArrayInTable(Fertiliser_SourceData.Fertiliser_Products_Data5(),FertiliserProducts[[#Headers],[Company]], 121)</f>
        <v/>
      </c>
      <c r="J221" s="146" t="str" cm="1">
        <f t="array" ref="J221">Common_InputFunctions.Utility_DisplayArrayInTable(Fertiliser_SourceData.Fertiliser_Products_Data5(),FertiliserProducts[[#Headers],[Company]], 121)</f>
        <v/>
      </c>
      <c r="K221" s="146" cm="1">
        <f t="array" ref="K221">Common_InputFunctions.Utility_DisplayArrayInTable(Fertiliser_SourceData.Fertiliser_Products_Data5(),FertiliserProducts[[#Headers],[Company]], 121)</f>
        <v>16.95</v>
      </c>
      <c r="L221" s="146" cm="1">
        <f t="array" ref="L221">Common_InputFunctions.Utility_DisplayArrayInTable(Fertiliser_SourceData.Fertiliser_Products_Data5(),FertiliserProducts[[#Headers],[Company]], 121)</f>
        <v>8.06</v>
      </c>
      <c r="M221" s="146" t="str" cm="1">
        <f t="array" ref="M221">Common_InputFunctions.Utility_DisplayArrayInTable(Fertiliser_SourceData.Fertiliser_Products_Data5(),FertiliserProducts[[#Headers],[Company]], 121)</f>
        <v/>
      </c>
      <c r="N221" s="146" cm="1">
        <f t="array" ref="N221">Common_InputFunctions.Utility_DisplayArrayInTable(Fertiliser_SourceData.Fertiliser_Products_Data5(),FertiliserProducts[[#Headers],[Company]], 121)</f>
        <v>15.17</v>
      </c>
      <c r="O221" s="146" t="str" cm="1">
        <f t="array" ref="O221">Common_InputFunctions.Utility_DisplayArrayInTable(Fertiliser_SourceData.Fertiliser_Products_Data5(),FertiliserProducts[[#Headers],[Company]], 121)</f>
        <v>Sulphate of ammonia (SOA)</v>
      </c>
      <c r="P221" s="146" cm="1">
        <f t="array" ref="P221">Common_InputFunctions.Utility_DisplayArrayInTable(Fertiliser_SourceData.Fertiliser_Products_Data5(),FertiliserProducts[[#Headers],[Company]], 121)</f>
        <v>0.63200000000000001</v>
      </c>
      <c r="Q221" s="146" t="str" cm="1">
        <f t="array" ref="Q221">Common_InputFunctions.Utility_DisplayArrayInTable(Fertiliser_SourceData.Fertiliser_Products_Data5(),FertiliserProducts[[#Headers],[Company]], 121)</f>
        <v>Monoammonium phosphate (MAP)</v>
      </c>
      <c r="R221" s="146" cm="1">
        <f t="array" ref="R221">Common_InputFunctions.Utility_DisplayArrayInTable(Fertiliser_SourceData.Fertiliser_Products_Data5(),FertiliserProducts[[#Headers],[Company]], 121)</f>
        <v>0.36799999999999999</v>
      </c>
      <c r="S221" s="146" t="str" cm="1">
        <f t="array" ref="S221">Common_InputFunctions.Utility_DisplayArrayInTable(Fertiliser_SourceData.Fertiliser_Products_Data5(),FertiliserProducts[[#Headers],[Company]], 121)</f>
        <v>Zinc</v>
      </c>
      <c r="T221" s="146" t="str" cm="1">
        <f t="array" ref="T221">Common_InputFunctions.Utility_DisplayArrayInTable(Fertiliser_SourceData.Fertiliser_Products_Data5(),FertiliserProducts[[#Headers],[Company]], 121)</f>
        <v>No data</v>
      </c>
      <c r="U221" s="146" t="str" cm="1">
        <f t="array" ref="U221">Common_InputFunctions.Utility_DisplayArrayInTable(Fertiliser_SourceData.Fertiliser_Products_Data5(),FertiliserProducts[[#Headers],[Company]], 121)</f>
        <v>Copper</v>
      </c>
      <c r="V221" s="146" t="str" cm="1">
        <f t="array" ref="V221">Common_InputFunctions.Utility_DisplayArrayInTable(Fertiliser_SourceData.Fertiliser_Products_Data5(),FertiliserProducts[[#Headers],[Company]], 121)</f>
        <v>No data</v>
      </c>
      <c r="W221" s="146" t="str" cm="1">
        <f t="array" ref="W221">Common_InputFunctions.Utility_DisplayArrayInTable(Fertiliser_SourceData.Fertiliser_Products_Data5(),FertiliserProducts[[#Headers],[Company]], 121)</f>
        <v>Molybdenum</v>
      </c>
      <c r="X221" s="146" t="str" cm="1">
        <f t="array" ref="X221">Common_InputFunctions.Utility_DisplayArrayInTable(Fertiliser_SourceData.Fertiliser_Products_Data5(),FertiliserProducts[[#Headers],[Company]], 121)</f>
        <v>No data</v>
      </c>
      <c r="Y221" s="146" t="str" cm="1">
        <f t="array" ref="Y221">Common_InputFunctions.Utility_DisplayArrayInTable(Fertiliser_SourceData.Fertiliser_Products_Data5(),FertiliserProducts[[#Headers],[Company]], 121)</f>
        <v>Cobalt</v>
      </c>
      <c r="Z221" s="146" t="str" cm="1">
        <f t="array" ref="Z221">Common_InputFunctions.Utility_DisplayArrayInTable(Fertiliser_SourceData.Fertiliser_Products_Data5(),FertiliserProducts[[#Headers],[Company]], 121)</f>
        <v>No data</v>
      </c>
      <c r="AA221" s="146" t="str" cm="1">
        <f t="array" ref="AA221">Common_InputFunctions.Utility_DisplayArrayInTable(Fertiliser_SourceData.Fertiliser_Products_Data5(),FertiliserProducts[[#Headers],[Company]], 121)</f>
        <v/>
      </c>
      <c r="AB221" s="146" t="str" cm="1">
        <f t="array" ref="AB221">Common_InputFunctions.Utility_DisplayArrayInTable(Fertiliser_SourceData.Fertiliser_Products_Data5(),FertiliserProducts[[#Headers],[Company]], 121)</f>
        <v/>
      </c>
      <c r="AC221" s="146" t="str" cm="1">
        <f t="array" ref="AC221">Common_InputFunctions.Utility_DisplayArrayInTable(Fertiliser_SourceData.Fertiliser_Products_Data5(),FertiliserProducts[[#Headers],[Company]], 121)</f>
        <v/>
      </c>
      <c r="AD221" s="146" t="str" cm="1">
        <f t="array" ref="AD221">Common_InputFunctions.Utility_DisplayArrayInTable(Fertiliser_SourceData.Fertiliser_Products_Data5(),FertiliserProducts[[#Headers],[Company]], 121)</f>
        <v/>
      </c>
      <c r="AE221" s="146" t="str" cm="1">
        <f t="array" ref="AE221">Common_InputFunctions.Utility_DisplayArrayInTable(Fertiliser_SourceData.Fertiliser_Products_Data5(),FertiliserProducts[[#Headers],[Company]], 121)</f>
        <v/>
      </c>
      <c r="AF221" s="146" t="str" cm="1">
        <f t="array" ref="AF221">Common_InputFunctions.Utility_DisplayArrayInTable(Fertiliser_SourceData.Fertiliser_Products_Data5(),FertiliserProducts[[#Headers],[Company]], 121)</f>
        <v/>
      </c>
      <c r="AG221" s="146" t="str" cm="1">
        <f t="array" ref="AG221">Common_InputFunctions.Utility_DisplayArrayInTable(Fertiliser_SourceData.Fertiliser_Products_Data5(),FertiliserProducts[[#Headers],[Company]], 121)</f>
        <v/>
      </c>
      <c r="AH221" s="146" t="str" cm="1">
        <f t="array" ref="AH221">Common_InputFunctions.Utility_DisplayArrayInTable(Fertiliser_SourceData.Fertiliser_Products_Data5(),FertiliserProducts[[#Headers],[Company]], 121)</f>
        <v/>
      </c>
    </row>
    <row r="222" spans="1:34" ht="20.100000000000001" customHeight="1" x14ac:dyDescent="0.2">
      <c r="D222" s="146" t="str" cm="1">
        <f t="array" ref="D222">Common_InputFunctions.Utility_DisplayArrayInTable(Fertiliser_SourceData.Fertiliser_Products_Data5(),FertiliserProducts[[#Headers],[Company]], 121)</f>
        <v>CSBP</v>
      </c>
      <c r="E222" s="146" t="str" cm="1">
        <f t="array" ref="E222">Common_InputFunctions.Utility_DisplayArrayInTable(Fertiliser_SourceData.Fertiliser_Products_Data5(),FertiliserProducts[[#Headers],[Company]], 121)</f>
        <v>Super Copper Zinc Moly</v>
      </c>
      <c r="F222" s="146" t="str" cm="1">
        <f t="array" ref="F222">Common_InputFunctions.Utility_DisplayArrayInTable(Fertiliser_SourceData.Fertiliser_Products_Data5(),FertiliserProducts[[#Headers],[Company]], 121)</f>
        <v>kg</v>
      </c>
      <c r="G222" s="146" cm="1">
        <f t="array" ref="G222">Common_InputFunctions.Utility_DisplayArrayInTable(Fertiliser_SourceData.Fertiliser_Products_Data5(),FertiliserProducts[[#Headers],[Company]], 121)</f>
        <v>1</v>
      </c>
      <c r="H222" s="146" t="str" cm="1">
        <f t="array" ref="H222">Common_InputFunctions.Utility_DisplayArrayInTable(Fertiliser_SourceData.Fertiliser_Products_Data5(),FertiliserProducts[[#Headers],[Company]], 121)</f>
        <v/>
      </c>
      <c r="I222" s="146" t="str" cm="1">
        <f t="array" ref="I222">Common_InputFunctions.Utility_DisplayArrayInTable(Fertiliser_SourceData.Fertiliser_Products_Data5(),FertiliserProducts[[#Headers],[Company]], 121)</f>
        <v/>
      </c>
      <c r="J222" s="146" t="str" cm="1">
        <f t="array" ref="J222">Common_InputFunctions.Utility_DisplayArrayInTable(Fertiliser_SourceData.Fertiliser_Products_Data5(),FertiliserProducts[[#Headers],[Company]], 121)</f>
        <v/>
      </c>
      <c r="K222" s="146" t="str" cm="1">
        <f t="array" ref="K222">Common_InputFunctions.Utility_DisplayArrayInTable(Fertiliser_SourceData.Fertiliser_Products_Data5(),FertiliserProducts[[#Headers],[Company]], 121)</f>
        <v/>
      </c>
      <c r="L222" s="146" cm="1">
        <f t="array" ref="L222">Common_InputFunctions.Utility_DisplayArrayInTable(Fertiliser_SourceData.Fertiliser_Products_Data5(),FertiliserProducts[[#Headers],[Company]], 121)</f>
        <v>8.8000000000000007</v>
      </c>
      <c r="M222" s="146" t="str" cm="1">
        <f t="array" ref="M222">Common_InputFunctions.Utility_DisplayArrayInTable(Fertiliser_SourceData.Fertiliser_Products_Data5(),FertiliserProducts[[#Headers],[Company]], 121)</f>
        <v/>
      </c>
      <c r="N222" s="146" cm="1">
        <f t="array" ref="N222">Common_InputFunctions.Utility_DisplayArrayInTable(Fertiliser_SourceData.Fertiliser_Products_Data5(),FertiliserProducts[[#Headers],[Company]], 121)</f>
        <v>11</v>
      </c>
      <c r="O222" s="146" t="str" cm="1">
        <f t="array" ref="O222">Common_InputFunctions.Utility_DisplayArrayInTable(Fertiliser_SourceData.Fertiliser_Products_Data5(),FertiliserProducts[[#Headers],[Company]], 121)</f>
        <v>Single superphosphate (SSP)</v>
      </c>
      <c r="P222" s="146" cm="1">
        <f t="array" ref="P222">Common_InputFunctions.Utility_DisplayArrayInTable(Fertiliser_SourceData.Fertiliser_Products_Data5(),FertiliserProducts[[#Headers],[Company]], 121)</f>
        <v>1</v>
      </c>
      <c r="Q222" s="146" t="str" cm="1">
        <f t="array" ref="Q222">Common_InputFunctions.Utility_DisplayArrayInTable(Fertiliser_SourceData.Fertiliser_Products_Data5(),FertiliserProducts[[#Headers],[Company]], 121)</f>
        <v>Copper</v>
      </c>
      <c r="R222" s="146" cm="1">
        <f t="array" ref="R222">Common_InputFunctions.Utility_DisplayArrayInTable(Fertiliser_SourceData.Fertiliser_Products_Data5(),FertiliserProducts[[#Headers],[Company]], 121)</f>
        <v>6.0000000000000001E-3</v>
      </c>
      <c r="S222" s="146" t="str" cm="1">
        <f t="array" ref="S222">Common_InputFunctions.Utility_DisplayArrayInTable(Fertiliser_SourceData.Fertiliser_Products_Data5(),FertiliserProducts[[#Headers],[Company]], 121)</f>
        <v>Zinc</v>
      </c>
      <c r="T222" s="146" cm="1">
        <f t="array" ref="T222">Common_InputFunctions.Utility_DisplayArrayInTable(Fertiliser_SourceData.Fertiliser_Products_Data5(),FertiliserProducts[[#Headers],[Company]], 121)</f>
        <v>3.0000000000000001E-3</v>
      </c>
      <c r="U222" s="146" t="str" cm="1">
        <f t="array" ref="U222">Common_InputFunctions.Utility_DisplayArrayInTable(Fertiliser_SourceData.Fertiliser_Products_Data5(),FertiliserProducts[[#Headers],[Company]], 121)</f>
        <v>Molybdenum</v>
      </c>
      <c r="V222" s="146" cm="1">
        <f t="array" ref="V222">Common_InputFunctions.Utility_DisplayArrayInTable(Fertiliser_SourceData.Fertiliser_Products_Data5(),FertiliserProducts[[#Headers],[Company]], 121)</f>
        <v>5.9999999999999995E-4</v>
      </c>
      <c r="W222" s="146" t="str" cm="1">
        <f t="array" ref="W222">Common_InputFunctions.Utility_DisplayArrayInTable(Fertiliser_SourceData.Fertiliser_Products_Data5(),FertiliserProducts[[#Headers],[Company]], 121)</f>
        <v/>
      </c>
      <c r="X222" s="146" t="str" cm="1">
        <f t="array" ref="X222">Common_InputFunctions.Utility_DisplayArrayInTable(Fertiliser_SourceData.Fertiliser_Products_Data5(),FertiliserProducts[[#Headers],[Company]], 121)</f>
        <v/>
      </c>
      <c r="Y222" s="146" t="str" cm="1">
        <f t="array" ref="Y222">Common_InputFunctions.Utility_DisplayArrayInTable(Fertiliser_SourceData.Fertiliser_Products_Data5(),FertiliserProducts[[#Headers],[Company]], 121)</f>
        <v/>
      </c>
      <c r="Z222" s="146" t="str" cm="1">
        <f t="array" ref="Z222">Common_InputFunctions.Utility_DisplayArrayInTable(Fertiliser_SourceData.Fertiliser_Products_Data5(),FertiliserProducts[[#Headers],[Company]], 121)</f>
        <v/>
      </c>
      <c r="AA222" s="146" t="str" cm="1">
        <f t="array" ref="AA222">Common_InputFunctions.Utility_DisplayArrayInTable(Fertiliser_SourceData.Fertiliser_Products_Data5(),FertiliserProducts[[#Headers],[Company]], 121)</f>
        <v/>
      </c>
      <c r="AB222" s="146" t="str" cm="1">
        <f t="array" ref="AB222">Common_InputFunctions.Utility_DisplayArrayInTable(Fertiliser_SourceData.Fertiliser_Products_Data5(),FertiliserProducts[[#Headers],[Company]], 121)</f>
        <v/>
      </c>
      <c r="AC222" s="146" t="str" cm="1">
        <f t="array" ref="AC222">Common_InputFunctions.Utility_DisplayArrayInTable(Fertiliser_SourceData.Fertiliser_Products_Data5(),FertiliserProducts[[#Headers],[Company]], 121)</f>
        <v/>
      </c>
      <c r="AD222" s="146" t="str" cm="1">
        <f t="array" ref="AD222">Common_InputFunctions.Utility_DisplayArrayInTable(Fertiliser_SourceData.Fertiliser_Products_Data5(),FertiliserProducts[[#Headers],[Company]], 121)</f>
        <v/>
      </c>
      <c r="AE222" s="146" t="str" cm="1">
        <f t="array" ref="AE222">Common_InputFunctions.Utility_DisplayArrayInTable(Fertiliser_SourceData.Fertiliser_Products_Data5(),FertiliserProducts[[#Headers],[Company]], 121)</f>
        <v/>
      </c>
      <c r="AF222" s="146" t="str" cm="1">
        <f t="array" ref="AF222">Common_InputFunctions.Utility_DisplayArrayInTable(Fertiliser_SourceData.Fertiliser_Products_Data5(),FertiliserProducts[[#Headers],[Company]], 121)</f>
        <v/>
      </c>
      <c r="AG222" s="146" t="str" cm="1">
        <f t="array" ref="AG222">Common_InputFunctions.Utility_DisplayArrayInTable(Fertiliser_SourceData.Fertiliser_Products_Data5(),FertiliserProducts[[#Headers],[Company]], 121)</f>
        <v/>
      </c>
      <c r="AH222" s="146" t="str" cm="1">
        <f t="array" ref="AH222">Common_InputFunctions.Utility_DisplayArrayInTable(Fertiliser_SourceData.Fertiliser_Products_Data5(),FertiliserProducts[[#Headers],[Company]], 121)</f>
        <v/>
      </c>
    </row>
    <row r="223" spans="1:34" ht="20.100000000000001" customHeight="1" x14ac:dyDescent="0.2">
      <c r="D223" s="146" t="str" cm="1">
        <f t="array" ref="D223">Common_InputFunctions.Utility_DisplayArrayInTable(Fertiliser_SourceData.Fertiliser_Products_Data5(),FertiliserProducts[[#Headers],[Company]], 121)</f>
        <v>CSBP</v>
      </c>
      <c r="E223" s="146" t="str" cm="1">
        <f t="array" ref="E223">Common_InputFunctions.Utility_DisplayArrayInTable(Fertiliser_SourceData.Fertiliser_Products_Data5(),FertiliserProducts[[#Headers],[Company]], 121)</f>
        <v>Flexi-N</v>
      </c>
      <c r="F223" s="146" t="str" cm="1">
        <f t="array" ref="F223">Common_InputFunctions.Utility_DisplayArrayInTable(Fertiliser_SourceData.Fertiliser_Products_Data5(),FertiliserProducts[[#Headers],[Company]], 121)</f>
        <v>L</v>
      </c>
      <c r="G223" s="146" cm="1">
        <f t="array" ref="G223">Common_InputFunctions.Utility_DisplayArrayInTable(Fertiliser_SourceData.Fertiliser_Products_Data5(),FertiliserProducts[[#Headers],[Company]], 121)</f>
        <v>1.32</v>
      </c>
      <c r="H223" s="146" t="str" cm="1">
        <f t="array" ref="H223">Common_InputFunctions.Utility_DisplayArrayInTable(Fertiliser_SourceData.Fertiliser_Products_Data5(),FertiliserProducts[[#Headers],[Company]], 121)</f>
        <v/>
      </c>
      <c r="I223" s="146" t="str" cm="1">
        <f t="array" ref="I223">Common_InputFunctions.Utility_DisplayArrayInTable(Fertiliser_SourceData.Fertiliser_Products_Data5(),FertiliserProducts[[#Headers],[Company]], 121)</f>
        <v/>
      </c>
      <c r="J223" s="146" t="str" cm="1">
        <f t="array" ref="J223">Common_InputFunctions.Utility_DisplayArrayInTable(Fertiliser_SourceData.Fertiliser_Products_Data5(),FertiliserProducts[[#Headers],[Company]], 121)</f>
        <v/>
      </c>
      <c r="K223" s="146" cm="1">
        <f t="array" ref="K223">Common_InputFunctions.Utility_DisplayArrayInTable(Fertiliser_SourceData.Fertiliser_Products_Data5(),FertiliserProducts[[#Headers],[Company]], 121)</f>
        <v>32</v>
      </c>
      <c r="L223" s="146" t="str" cm="1">
        <f t="array" ref="L223">Common_InputFunctions.Utility_DisplayArrayInTable(Fertiliser_SourceData.Fertiliser_Products_Data5(),FertiliserProducts[[#Headers],[Company]], 121)</f>
        <v/>
      </c>
      <c r="M223" s="146" t="str" cm="1">
        <f t="array" ref="M223">Common_InputFunctions.Utility_DisplayArrayInTable(Fertiliser_SourceData.Fertiliser_Products_Data5(),FertiliserProducts[[#Headers],[Company]], 121)</f>
        <v/>
      </c>
      <c r="N223" s="146" t="str" cm="1">
        <f t="array" ref="N223">Common_InputFunctions.Utility_DisplayArrayInTable(Fertiliser_SourceData.Fertiliser_Products_Data5(),FertiliserProducts[[#Headers],[Company]], 121)</f>
        <v/>
      </c>
      <c r="O223" s="146" t="str" cm="1">
        <f t="array" ref="O223">Common_InputFunctions.Utility_DisplayArrayInTable(Fertiliser_SourceData.Fertiliser_Products_Data5(),FertiliserProducts[[#Headers],[Company]], 121)</f>
        <v>Urea-ammonium nitrate (UAN)</v>
      </c>
      <c r="P223" s="146" cm="1">
        <f t="array" ref="P223">Common_InputFunctions.Utility_DisplayArrayInTable(Fertiliser_SourceData.Fertiliser_Products_Data5(),FertiliserProducts[[#Headers],[Company]], 121)</f>
        <v>1</v>
      </c>
      <c r="Q223" s="146" t="str" cm="1">
        <f t="array" ref="Q223">Common_InputFunctions.Utility_DisplayArrayInTable(Fertiliser_SourceData.Fertiliser_Products_Data5(),FertiliserProducts[[#Headers],[Company]], 121)</f>
        <v/>
      </c>
      <c r="R223" s="146" t="str" cm="1">
        <f t="array" ref="R223">Common_InputFunctions.Utility_DisplayArrayInTable(Fertiliser_SourceData.Fertiliser_Products_Data5(),FertiliserProducts[[#Headers],[Company]], 121)</f>
        <v/>
      </c>
      <c r="S223" s="146" t="str" cm="1">
        <f t="array" ref="S223">Common_InputFunctions.Utility_DisplayArrayInTable(Fertiliser_SourceData.Fertiliser_Products_Data5(),FertiliserProducts[[#Headers],[Company]], 121)</f>
        <v/>
      </c>
      <c r="T223" s="146" t="str" cm="1">
        <f t="array" ref="T223">Common_InputFunctions.Utility_DisplayArrayInTable(Fertiliser_SourceData.Fertiliser_Products_Data5(),FertiliserProducts[[#Headers],[Company]], 121)</f>
        <v/>
      </c>
      <c r="U223" s="146" t="str" cm="1">
        <f t="array" ref="U223">Common_InputFunctions.Utility_DisplayArrayInTable(Fertiliser_SourceData.Fertiliser_Products_Data5(),FertiliserProducts[[#Headers],[Company]], 121)</f>
        <v/>
      </c>
      <c r="V223" s="146" t="str" cm="1">
        <f t="array" ref="V223">Common_InputFunctions.Utility_DisplayArrayInTable(Fertiliser_SourceData.Fertiliser_Products_Data5(),FertiliserProducts[[#Headers],[Company]], 121)</f>
        <v/>
      </c>
      <c r="W223" s="146" t="str" cm="1">
        <f t="array" ref="W223">Common_InputFunctions.Utility_DisplayArrayInTable(Fertiliser_SourceData.Fertiliser_Products_Data5(),FertiliserProducts[[#Headers],[Company]], 121)</f>
        <v/>
      </c>
      <c r="X223" s="146" t="str" cm="1">
        <f t="array" ref="X223">Common_InputFunctions.Utility_DisplayArrayInTable(Fertiliser_SourceData.Fertiliser_Products_Data5(),FertiliserProducts[[#Headers],[Company]], 121)</f>
        <v/>
      </c>
      <c r="Y223" s="146" t="str" cm="1">
        <f t="array" ref="Y223">Common_InputFunctions.Utility_DisplayArrayInTable(Fertiliser_SourceData.Fertiliser_Products_Data5(),FertiliserProducts[[#Headers],[Company]], 121)</f>
        <v/>
      </c>
      <c r="Z223" s="146" t="str" cm="1">
        <f t="array" ref="Z223">Common_InputFunctions.Utility_DisplayArrayInTable(Fertiliser_SourceData.Fertiliser_Products_Data5(),FertiliserProducts[[#Headers],[Company]], 121)</f>
        <v/>
      </c>
      <c r="AA223" s="146" t="str" cm="1">
        <f t="array" ref="AA223">Common_InputFunctions.Utility_DisplayArrayInTable(Fertiliser_SourceData.Fertiliser_Products_Data5(),FertiliserProducts[[#Headers],[Company]], 121)</f>
        <v/>
      </c>
      <c r="AB223" s="146" t="str" cm="1">
        <f t="array" ref="AB223">Common_InputFunctions.Utility_DisplayArrayInTable(Fertiliser_SourceData.Fertiliser_Products_Data5(),FertiliserProducts[[#Headers],[Company]], 121)</f>
        <v/>
      </c>
      <c r="AC223" s="146" t="str" cm="1">
        <f t="array" ref="AC223">Common_InputFunctions.Utility_DisplayArrayInTable(Fertiliser_SourceData.Fertiliser_Products_Data5(),FertiliserProducts[[#Headers],[Company]], 121)</f>
        <v/>
      </c>
      <c r="AD223" s="146" t="str" cm="1">
        <f t="array" ref="AD223">Common_InputFunctions.Utility_DisplayArrayInTable(Fertiliser_SourceData.Fertiliser_Products_Data5(),FertiliserProducts[[#Headers],[Company]], 121)</f>
        <v/>
      </c>
      <c r="AE223" s="146" t="str" cm="1">
        <f t="array" ref="AE223">Common_InputFunctions.Utility_DisplayArrayInTable(Fertiliser_SourceData.Fertiliser_Products_Data5(),FertiliserProducts[[#Headers],[Company]], 121)</f>
        <v/>
      </c>
      <c r="AF223" s="146" t="str" cm="1">
        <f t="array" ref="AF223">Common_InputFunctions.Utility_DisplayArrayInTable(Fertiliser_SourceData.Fertiliser_Products_Data5(),FertiliserProducts[[#Headers],[Company]], 121)</f>
        <v/>
      </c>
      <c r="AG223" s="146" t="str" cm="1">
        <f t="array" ref="AG223">Common_InputFunctions.Utility_DisplayArrayInTable(Fertiliser_SourceData.Fertiliser_Products_Data5(),FertiliserProducts[[#Headers],[Company]], 121)</f>
        <v/>
      </c>
      <c r="AH223" s="146"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A65D-DD7E-40B3-9464-2E985DABBD3A}">
  <sheetPr>
    <tabColor theme="2" tint="-0.499984740745262"/>
  </sheetPr>
  <dimension ref="A1:AI16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628</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Fuel_SourceData.Fuel_Scope1Scope3EmissionFactorsTransport_Title()</f>
        <v>Fuel scope 1 and 3 emission factors - Transport</v>
      </c>
      <c r="E5" s="152"/>
      <c r="F5" s="152"/>
      <c r="G5" s="152"/>
      <c r="H5" s="152"/>
      <c r="I5" s="152"/>
      <c r="J5" s="152"/>
      <c r="K5" s="152"/>
      <c r="L5" s="152"/>
    </row>
    <row r="6" spans="1:35" ht="20.100000000000001" customHeight="1" x14ac:dyDescent="0.2">
      <c r="D6" s="1" t="str" cm="1">
        <f t="array" ref="D6">Fuel_SourceData.Fuel_Scope1Scope3EmissionFactorsTransport_Description()</f>
        <v>Direct (scope 1) and indirect (scope 3) emission factors for the consumption of transport fuels in different transport equipment</v>
      </c>
      <c r="E6" s="152"/>
      <c r="F6" s="152"/>
      <c r="G6" s="152"/>
      <c r="H6" s="152"/>
      <c r="I6" s="152"/>
      <c r="J6" s="152"/>
      <c r="K6" s="152"/>
      <c r="L6" s="152"/>
    </row>
    <row r="7" spans="1:35" ht="20.100000000000001" customHeight="1" x14ac:dyDescent="0.2">
      <c r="D7" s="17" t="str" cm="1">
        <f t="array" ref="D7">Fuel_SourceData.Fuel_Scope1Scope3EmissionFactorsTransport_Source()</f>
        <v>Australian National Greenhouse Accounts Factors 2025 - Table 9</v>
      </c>
      <c r="E7" s="152"/>
      <c r="F7" s="152"/>
      <c r="G7" s="152"/>
      <c r="H7" s="152"/>
      <c r="I7" s="152"/>
      <c r="J7" s="152"/>
      <c r="K7" s="152"/>
      <c r="L7" s="152"/>
    </row>
    <row r="8" spans="1:35" ht="20.100000000000001" customHeight="1" x14ac:dyDescent="0.2">
      <c r="A8" s="7" t="s">
        <v>0</v>
      </c>
      <c r="D8" s="25" t="str" cm="1">
        <f t="array" ref="D8">"⚠️" &amp; Fuel_SourceData.Fuel_Scope1Scope3EmissionFactorsTransport_Variation()</f>
        <v>⚠️VARIATION OF SOURCE DATA: 'NE' values returned as zero for calculations.</v>
      </c>
      <c r="E8" s="152"/>
      <c r="F8" s="152"/>
      <c r="G8" s="152"/>
      <c r="H8" s="152"/>
      <c r="I8" s="152"/>
      <c r="J8" s="152"/>
      <c r="K8" s="152"/>
      <c r="L8" s="152"/>
    </row>
    <row r="9" spans="1:35" ht="20.100000000000001" customHeight="1" x14ac:dyDescent="0.2">
      <c r="A9" s="5" t="str">
        <f>HYPERLINK("#'Input - Enterprise'!A1", "Enterprise")</f>
        <v>Enterprise</v>
      </c>
      <c r="D9" s="179" t="s">
        <v>629</v>
      </c>
      <c r="E9" s="179" t="s">
        <v>630</v>
      </c>
      <c r="F9" s="179" t="s">
        <v>631</v>
      </c>
      <c r="G9" s="179" t="s">
        <v>632</v>
      </c>
      <c r="H9" s="179" t="s">
        <v>633</v>
      </c>
      <c r="I9" s="179" t="s">
        <v>634</v>
      </c>
      <c r="J9" s="179" t="s">
        <v>635</v>
      </c>
      <c r="K9" s="179" t="s">
        <v>636</v>
      </c>
      <c r="L9" s="179" t="s">
        <v>637</v>
      </c>
    </row>
    <row r="10" spans="1:35" ht="20.100000000000001" customHeight="1" x14ac:dyDescent="0.2">
      <c r="A10" s="5" t="str">
        <f>HYPERLINK("#'Input - Site'!A1", "Site")</f>
        <v>Site</v>
      </c>
      <c r="D10" s="180" t="str" cm="1">
        <f t="array" ref="D10">Common_InputFunctions.Utility_DisplayArrayInTable(Fuel_SourceData.Fuel_Scope1Scope3EmissionFactorsTransport_Data(), Table_Fuel_EFs_Transport[[#Headers],[Transport type]], 0)</f>
        <v>Cars and light commercial vehicles</v>
      </c>
      <c r="E10" s="180" t="str" cm="1">
        <f t="array" ref="E10">Common_InputFunctions.Utility_DisplayArrayInTable(Fuel_SourceData.Fuel_Scope1Scope3EmissionFactorsTransport_Data(), Table_Fuel_EFs_Transport[[#Headers],[Transport type]], 0)</f>
        <v>Gasoline</v>
      </c>
      <c r="F10" s="180" cm="1">
        <f t="array" ref="F10">Common_InputFunctions.Utility_DisplayArrayInTable(Fuel_SourceData.Fuel_Scope1Scope3EmissionFactorsTransport_Data(), Table_Fuel_EFs_Transport[[#Headers],[Transport type]], 0)</f>
        <v>34.200000000000003</v>
      </c>
      <c r="G10" s="180" t="str" cm="1">
        <f t="array" ref="G10">Common_InputFunctions.Utility_DisplayArrayInTable(Fuel_SourceData.Fuel_Scope1Scope3EmissionFactorsTransport_Data(), Table_Fuel_EFs_Transport[[#Headers],[Transport type]], 0)</f>
        <v>kl</v>
      </c>
      <c r="H10" s="180" cm="1">
        <f t="array" ref="H10">Common_InputFunctions.Utility_DisplayArrayInTable(Fuel_SourceData.Fuel_Scope1Scope3EmissionFactorsTransport_Data(), Table_Fuel_EFs_Transport[[#Headers],[Transport type]], 0)</f>
        <v>67.400000000000006</v>
      </c>
      <c r="I10" s="180" cm="1">
        <f t="array" ref="I10">Common_InputFunctions.Utility_DisplayArrayInTable(Fuel_SourceData.Fuel_Scope1Scope3EmissionFactorsTransport_Data(), Table_Fuel_EFs_Transport[[#Headers],[Transport type]], 0)</f>
        <v>0.02</v>
      </c>
      <c r="J10" s="180" cm="1">
        <f t="array" ref="J10">Common_InputFunctions.Utility_DisplayArrayInTable(Fuel_SourceData.Fuel_Scope1Scope3EmissionFactorsTransport_Data(), Table_Fuel_EFs_Transport[[#Headers],[Transport type]], 0)</f>
        <v>0.2</v>
      </c>
      <c r="K10" s="180" cm="1">
        <f t="array" ref="K10">Common_InputFunctions.Utility_DisplayArrayInTable(Fuel_SourceData.Fuel_Scope1Scope3EmissionFactorsTransport_Data(), Table_Fuel_EFs_Transport[[#Headers],[Transport type]], 0)</f>
        <v>67.62</v>
      </c>
      <c r="L10" s="180" cm="1">
        <f t="array" ref="L10">Common_InputFunctions.Utility_DisplayArrayInTable(Fuel_SourceData.Fuel_Scope1Scope3EmissionFactorsTransport_Data(), Table_Fuel_EFs_Transport[[#Headers],[Transport type]], 0)</f>
        <v>17.2</v>
      </c>
    </row>
    <row r="11" spans="1:35" ht="20.100000000000001" customHeight="1" x14ac:dyDescent="0.2">
      <c r="A11" s="5" t="str">
        <f>HYPERLINK("#'Input - Feedlot'!A1", "Feedlot")</f>
        <v>Feedlot</v>
      </c>
      <c r="D11" s="180" t="str" cm="1">
        <f t="array" ref="D11">Common_InputFunctions.Utility_DisplayArrayInTable(Fuel_SourceData.Fuel_Scope1Scope3EmissionFactorsTransport_Data(), Table_Fuel_EFs_Transport[[#Headers],[Transport type]], 0)</f>
        <v>Cars and light commercial vehicles</v>
      </c>
      <c r="E11" s="180" t="str" cm="1">
        <f t="array" ref="E11">Common_InputFunctions.Utility_DisplayArrayInTable(Fuel_SourceData.Fuel_Scope1Scope3EmissionFactorsTransport_Data(), Table_Fuel_EFs_Transport[[#Headers],[Transport type]], 0)</f>
        <v>Diesel oil</v>
      </c>
      <c r="F11" s="180" cm="1">
        <f t="array" ref="F11">Common_InputFunctions.Utility_DisplayArrayInTable(Fuel_SourceData.Fuel_Scope1Scope3EmissionFactorsTransport_Data(), Table_Fuel_EFs_Transport[[#Headers],[Transport type]], 0)</f>
        <v>38.6</v>
      </c>
      <c r="G11" s="180" t="str" cm="1">
        <f t="array" ref="G11">Common_InputFunctions.Utility_DisplayArrayInTable(Fuel_SourceData.Fuel_Scope1Scope3EmissionFactorsTransport_Data(), Table_Fuel_EFs_Transport[[#Headers],[Transport type]], 0)</f>
        <v>kl</v>
      </c>
      <c r="H11" s="180" cm="1">
        <f t="array" ref="H11">Common_InputFunctions.Utility_DisplayArrayInTable(Fuel_SourceData.Fuel_Scope1Scope3EmissionFactorsTransport_Data(), Table_Fuel_EFs_Transport[[#Headers],[Transport type]], 0)</f>
        <v>69.900000000000006</v>
      </c>
      <c r="I11" s="180" cm="1">
        <f t="array" ref="I11">Common_InputFunctions.Utility_DisplayArrayInTable(Fuel_SourceData.Fuel_Scope1Scope3EmissionFactorsTransport_Data(), Table_Fuel_EFs_Transport[[#Headers],[Transport type]], 0)</f>
        <v>0.01</v>
      </c>
      <c r="J11" s="180" cm="1">
        <f t="array" ref="J11">Common_InputFunctions.Utility_DisplayArrayInTable(Fuel_SourceData.Fuel_Scope1Scope3EmissionFactorsTransport_Data(), Table_Fuel_EFs_Transport[[#Headers],[Transport type]], 0)</f>
        <v>0.5</v>
      </c>
      <c r="K11" s="180" cm="1">
        <f t="array" ref="K11">Common_InputFunctions.Utility_DisplayArrayInTable(Fuel_SourceData.Fuel_Scope1Scope3EmissionFactorsTransport_Data(), Table_Fuel_EFs_Transport[[#Headers],[Transport type]], 0)</f>
        <v>70.41</v>
      </c>
      <c r="L11" s="180" cm="1">
        <f t="array" ref="L11">Common_InputFunctions.Utility_DisplayArrayInTable(Fuel_SourceData.Fuel_Scope1Scope3EmissionFactorsTransport_Data(), Table_Fuel_EFs_Transport[[#Headers],[Transport type]], 0)</f>
        <v>17.3</v>
      </c>
    </row>
    <row r="12" spans="1:35" ht="20.100000000000001" customHeight="1" x14ac:dyDescent="0.2">
      <c r="A12" s="5" t="str">
        <f>HYPERLINK("#'Input - Livestock sales'!A1", "Livestock sales")</f>
        <v>Livestock sales</v>
      </c>
      <c r="D12" s="180" t="str" cm="1">
        <f t="array" ref="D12">Common_InputFunctions.Utility_DisplayArrayInTable(Fuel_SourceData.Fuel_Scope1Scope3EmissionFactorsTransport_Data(), Table_Fuel_EFs_Transport[[#Headers],[Transport type]], 0)</f>
        <v>Cars and light commercial vehicles</v>
      </c>
      <c r="E12" s="180" t="str" cm="1">
        <f t="array" ref="E12">Common_InputFunctions.Utility_DisplayArrayInTable(Fuel_SourceData.Fuel_Scope1Scope3EmissionFactorsTransport_Data(), Table_Fuel_EFs_Transport[[#Headers],[Transport type]], 0)</f>
        <v>Liquefied petroleum gas (LPG)</v>
      </c>
      <c r="F12" s="180" cm="1">
        <f t="array" ref="F12">Common_InputFunctions.Utility_DisplayArrayInTable(Fuel_SourceData.Fuel_Scope1Scope3EmissionFactorsTransport_Data(), Table_Fuel_EFs_Transport[[#Headers],[Transport type]], 0)</f>
        <v>26.2</v>
      </c>
      <c r="G12" s="180" t="str" cm="1">
        <f t="array" ref="G12">Common_InputFunctions.Utility_DisplayArrayInTable(Fuel_SourceData.Fuel_Scope1Scope3EmissionFactorsTransport_Data(), Table_Fuel_EFs_Transport[[#Headers],[Transport type]], 0)</f>
        <v>kl</v>
      </c>
      <c r="H12" s="180" cm="1">
        <f t="array" ref="H12">Common_InputFunctions.Utility_DisplayArrayInTable(Fuel_SourceData.Fuel_Scope1Scope3EmissionFactorsTransport_Data(), Table_Fuel_EFs_Transport[[#Headers],[Transport type]], 0)</f>
        <v>60.2</v>
      </c>
      <c r="I12" s="180" cm="1">
        <f t="array" ref="I12">Common_InputFunctions.Utility_DisplayArrayInTable(Fuel_SourceData.Fuel_Scope1Scope3EmissionFactorsTransport_Data(), Table_Fuel_EFs_Transport[[#Headers],[Transport type]], 0)</f>
        <v>0.5</v>
      </c>
      <c r="J12" s="180" cm="1">
        <f t="array" ref="J12">Common_InputFunctions.Utility_DisplayArrayInTable(Fuel_SourceData.Fuel_Scope1Scope3EmissionFactorsTransport_Data(), Table_Fuel_EFs_Transport[[#Headers],[Transport type]], 0)</f>
        <v>0.3</v>
      </c>
      <c r="K12" s="180" cm="1">
        <f t="array" ref="K12">Common_InputFunctions.Utility_DisplayArrayInTable(Fuel_SourceData.Fuel_Scope1Scope3EmissionFactorsTransport_Data(), Table_Fuel_EFs_Transport[[#Headers],[Transport type]], 0)</f>
        <v>61</v>
      </c>
      <c r="L12" s="180" cm="1">
        <f t="array" ref="L12">Common_InputFunctions.Utility_DisplayArrayInTable(Fuel_SourceData.Fuel_Scope1Scope3EmissionFactorsTransport_Data(), Table_Fuel_EFs_Transport[[#Headers],[Transport type]], 0)</f>
        <v>20.2</v>
      </c>
    </row>
    <row r="13" spans="1:35" ht="20.100000000000001" customHeight="1" x14ac:dyDescent="0.2">
      <c r="A13" s="5" t="str">
        <f>HYPERLINK("#'Input - Beef cattle purchases'!A1", "Beef cattle purchases")</f>
        <v>Beef cattle purchases</v>
      </c>
      <c r="D13" s="180" t="str" cm="1">
        <f t="array" ref="D13">Common_InputFunctions.Utility_DisplayArrayInTable(Fuel_SourceData.Fuel_Scope1Scope3EmissionFactorsTransport_Data(), Table_Fuel_EFs_Transport[[#Headers],[Transport type]], 0)</f>
        <v>Cars and light commercial vehicles</v>
      </c>
      <c r="E13" s="180" t="str" cm="1">
        <f t="array" ref="E13">Common_InputFunctions.Utility_DisplayArrayInTable(Fuel_SourceData.Fuel_Scope1Scope3EmissionFactorsTransport_Data(), Table_Fuel_EFs_Transport[[#Headers],[Transport type]], 0)</f>
        <v>Fuel oil</v>
      </c>
      <c r="F13" s="180" cm="1">
        <f t="array" ref="F13">Common_InputFunctions.Utility_DisplayArrayInTable(Fuel_SourceData.Fuel_Scope1Scope3EmissionFactorsTransport_Data(), Table_Fuel_EFs_Transport[[#Headers],[Transport type]], 0)</f>
        <v>39.700000000000003</v>
      </c>
      <c r="G13" s="180" t="str" cm="1">
        <f t="array" ref="G13">Common_InputFunctions.Utility_DisplayArrayInTable(Fuel_SourceData.Fuel_Scope1Scope3EmissionFactorsTransport_Data(), Table_Fuel_EFs_Transport[[#Headers],[Transport type]], 0)</f>
        <v>kl</v>
      </c>
      <c r="H13" s="180" cm="1">
        <f t="array" ref="H13">Common_InputFunctions.Utility_DisplayArrayInTable(Fuel_SourceData.Fuel_Scope1Scope3EmissionFactorsTransport_Data(), Table_Fuel_EFs_Transport[[#Headers],[Transport type]], 0)</f>
        <v>73.599999999999994</v>
      </c>
      <c r="I13" s="180" cm="1">
        <f t="array" ref="I13">Common_InputFunctions.Utility_DisplayArrayInTable(Fuel_SourceData.Fuel_Scope1Scope3EmissionFactorsTransport_Data(), Table_Fuel_EFs_Transport[[#Headers],[Transport type]], 0)</f>
        <v>0.08</v>
      </c>
      <c r="J13" s="180" cm="1">
        <f t="array" ref="J13">Common_InputFunctions.Utility_DisplayArrayInTable(Fuel_SourceData.Fuel_Scope1Scope3EmissionFactorsTransport_Data(), Table_Fuel_EFs_Transport[[#Headers],[Transport type]], 0)</f>
        <v>0.5</v>
      </c>
      <c r="K13" s="180" cm="1">
        <f t="array" ref="K13">Common_InputFunctions.Utility_DisplayArrayInTable(Fuel_SourceData.Fuel_Scope1Scope3EmissionFactorsTransport_Data(), Table_Fuel_EFs_Transport[[#Headers],[Transport type]], 0)</f>
        <v>74.180000000000007</v>
      </c>
      <c r="L13" s="180" cm="1">
        <f t="array" ref="L13">Common_InputFunctions.Utility_DisplayArrayInTable(Fuel_SourceData.Fuel_Scope1Scope3EmissionFactorsTransport_Data(), Table_Fuel_EFs_Transport[[#Headers],[Transport type]], 0)</f>
        <v>18</v>
      </c>
    </row>
    <row r="14" spans="1:35" ht="20.100000000000001" customHeight="1" x14ac:dyDescent="0.2">
      <c r="A14" s="5" t="str">
        <f>HYPERLINK("#'Input - Fuel'!A1", "Fuel")</f>
        <v>Fuel</v>
      </c>
      <c r="D14" s="180" t="str" cm="1">
        <f t="array" ref="D14">Common_InputFunctions.Utility_DisplayArrayInTable(Fuel_SourceData.Fuel_Scope1Scope3EmissionFactorsTransport_Data(), Table_Fuel_EFs_Transport[[#Headers],[Transport type]], 0)</f>
        <v>Cars and light commercial vehicles</v>
      </c>
      <c r="E14" s="180" t="str" cm="1">
        <f t="array" ref="E14">Common_InputFunctions.Utility_DisplayArrayInTable(Fuel_SourceData.Fuel_Scope1Scope3EmissionFactorsTransport_Data(), Table_Fuel_EFs_Transport[[#Headers],[Transport type]], 0)</f>
        <v>Ethanol</v>
      </c>
      <c r="F14" s="180" cm="1">
        <f t="array" ref="F14">Common_InputFunctions.Utility_DisplayArrayInTable(Fuel_SourceData.Fuel_Scope1Scope3EmissionFactorsTransport_Data(), Table_Fuel_EFs_Transport[[#Headers],[Transport type]], 0)</f>
        <v>23.4</v>
      </c>
      <c r="G14" s="180" t="str" cm="1">
        <f t="array" ref="G14">Common_InputFunctions.Utility_DisplayArrayInTable(Fuel_SourceData.Fuel_Scope1Scope3EmissionFactorsTransport_Data(), Table_Fuel_EFs_Transport[[#Headers],[Transport type]], 0)</f>
        <v>kl</v>
      </c>
      <c r="H14" s="180" cm="1">
        <f t="array" ref="H14">Common_InputFunctions.Utility_DisplayArrayInTable(Fuel_SourceData.Fuel_Scope1Scope3EmissionFactorsTransport_Data(), Table_Fuel_EFs_Transport[[#Headers],[Transport type]], 0)</f>
        <v>0</v>
      </c>
      <c r="I14" s="180" cm="1">
        <f t="array" ref="I14">Common_InputFunctions.Utility_DisplayArrayInTable(Fuel_SourceData.Fuel_Scope1Scope3EmissionFactorsTransport_Data(), Table_Fuel_EFs_Transport[[#Headers],[Transport type]], 0)</f>
        <v>0.2</v>
      </c>
      <c r="J14" s="180" cm="1">
        <f t="array" ref="J14">Common_InputFunctions.Utility_DisplayArrayInTable(Fuel_SourceData.Fuel_Scope1Scope3EmissionFactorsTransport_Data(), Table_Fuel_EFs_Transport[[#Headers],[Transport type]], 0)</f>
        <v>0.2</v>
      </c>
      <c r="K14" s="180" cm="1">
        <f t="array" ref="K14">Common_InputFunctions.Utility_DisplayArrayInTable(Fuel_SourceData.Fuel_Scope1Scope3EmissionFactorsTransport_Data(), Table_Fuel_EFs_Transport[[#Headers],[Transport type]], 0)</f>
        <v>0.4</v>
      </c>
      <c r="L14" s="180" t="str" cm="1">
        <f t="array" ref="L14">Common_InputFunctions.Utility_DisplayArrayInTable(Fuel_SourceData.Fuel_Scope1Scope3EmissionFactorsTransport_Data(), Table_Fuel_EFs_Transport[[#Headers],[Transport type]], 0)</f>
        <v>NE</v>
      </c>
    </row>
    <row r="15" spans="1:35" ht="20.100000000000001" customHeight="1" x14ac:dyDescent="0.2">
      <c r="A15" s="5" t="str">
        <f>HYPERLINK("#'Input - Electricity'!A1", "Electricity")</f>
        <v>Electricity</v>
      </c>
      <c r="D15" s="180" t="str" cm="1">
        <f t="array" ref="D15">Common_InputFunctions.Utility_DisplayArrayInTable(Fuel_SourceData.Fuel_Scope1Scope3EmissionFactorsTransport_Data(), Table_Fuel_EFs_Transport[[#Headers],[Transport type]], 0)</f>
        <v>Cars and light commercial vehicles</v>
      </c>
      <c r="E15" s="180" t="str" cm="1">
        <f t="array" ref="E15">Common_InputFunctions.Utility_DisplayArrayInTable(Fuel_SourceData.Fuel_Scope1Scope3EmissionFactorsTransport_Data(), Table_Fuel_EFs_Transport[[#Headers],[Transport type]], 0)</f>
        <v>Biodiesel</v>
      </c>
      <c r="F15" s="180" cm="1">
        <f t="array" ref="F15">Common_InputFunctions.Utility_DisplayArrayInTable(Fuel_SourceData.Fuel_Scope1Scope3EmissionFactorsTransport_Data(), Table_Fuel_EFs_Transport[[#Headers],[Transport type]], 0)</f>
        <v>34.6</v>
      </c>
      <c r="G15" s="180" t="str" cm="1">
        <f t="array" ref="G15">Common_InputFunctions.Utility_DisplayArrayInTable(Fuel_SourceData.Fuel_Scope1Scope3EmissionFactorsTransport_Data(), Table_Fuel_EFs_Transport[[#Headers],[Transport type]], 0)</f>
        <v>kl</v>
      </c>
      <c r="H15" s="180" cm="1">
        <f t="array" ref="H15">Common_InputFunctions.Utility_DisplayArrayInTable(Fuel_SourceData.Fuel_Scope1Scope3EmissionFactorsTransport_Data(), Table_Fuel_EFs_Transport[[#Headers],[Transport type]], 0)</f>
        <v>0</v>
      </c>
      <c r="I15" s="180" cm="1">
        <f t="array" ref="I15">Common_InputFunctions.Utility_DisplayArrayInTable(Fuel_SourceData.Fuel_Scope1Scope3EmissionFactorsTransport_Data(), Table_Fuel_EFs_Transport[[#Headers],[Transport type]], 0)</f>
        <v>0.8</v>
      </c>
      <c r="J15" s="180" cm="1">
        <f t="array" ref="J15">Common_InputFunctions.Utility_DisplayArrayInTable(Fuel_SourceData.Fuel_Scope1Scope3EmissionFactorsTransport_Data(), Table_Fuel_EFs_Transport[[#Headers],[Transport type]], 0)</f>
        <v>1.7</v>
      </c>
      <c r="K15" s="180" cm="1">
        <f t="array" ref="K15">Common_InputFunctions.Utility_DisplayArrayInTable(Fuel_SourceData.Fuel_Scope1Scope3EmissionFactorsTransport_Data(), Table_Fuel_EFs_Transport[[#Headers],[Transport type]], 0)</f>
        <v>2.5</v>
      </c>
      <c r="L15" s="180" t="str" cm="1">
        <f t="array" ref="L15">Common_InputFunctions.Utility_DisplayArrayInTable(Fuel_SourceData.Fuel_Scope1Scope3EmissionFactorsTransport_Data(), Table_Fuel_EFs_Transport[[#Headers],[Transport type]], 0)</f>
        <v>NE</v>
      </c>
    </row>
    <row r="16" spans="1:35" ht="20.100000000000001" customHeight="1" x14ac:dyDescent="0.2">
      <c r="A16" s="5" t="str">
        <f>HYPERLINK("#'Input - Common farm inputs'!A1", "Common farm inputs")</f>
        <v>Common farm inputs</v>
      </c>
      <c r="D16" s="180" t="str" cm="1">
        <f t="array" ref="D16">Common_InputFunctions.Utility_DisplayArrayInTable(Fuel_SourceData.Fuel_Scope1Scope3EmissionFactorsTransport_Data(), Table_Fuel_EFs_Transport[[#Headers],[Transport type]], 0)</f>
        <v>Cars and light commercial vehicles</v>
      </c>
      <c r="E16" s="180" t="str" cm="1">
        <f t="array" ref="E16">Common_InputFunctions.Utility_DisplayArrayInTable(Fuel_SourceData.Fuel_Scope1Scope3EmissionFactorsTransport_Data(), Table_Fuel_EFs_Transport[[#Headers],[Transport type]], 0)</f>
        <v>Renewable diesel</v>
      </c>
      <c r="F16" s="180" cm="1">
        <f t="array" ref="F16">Common_InputFunctions.Utility_DisplayArrayInTable(Fuel_SourceData.Fuel_Scope1Scope3EmissionFactorsTransport_Data(), Table_Fuel_EFs_Transport[[#Headers],[Transport type]], 0)</f>
        <v>38.6</v>
      </c>
      <c r="G16" s="180" t="str" cm="1">
        <f t="array" ref="G16">Common_InputFunctions.Utility_DisplayArrayInTable(Fuel_SourceData.Fuel_Scope1Scope3EmissionFactorsTransport_Data(), Table_Fuel_EFs_Transport[[#Headers],[Transport type]], 0)</f>
        <v>kl</v>
      </c>
      <c r="H16" s="180" cm="1">
        <f t="array" ref="H16">Common_InputFunctions.Utility_DisplayArrayInTable(Fuel_SourceData.Fuel_Scope1Scope3EmissionFactorsTransport_Data(), Table_Fuel_EFs_Transport[[#Headers],[Transport type]], 0)</f>
        <v>0</v>
      </c>
      <c r="I16" s="180" cm="1">
        <f t="array" ref="I16">Common_InputFunctions.Utility_DisplayArrayInTable(Fuel_SourceData.Fuel_Scope1Scope3EmissionFactorsTransport_Data(), Table_Fuel_EFs_Transport[[#Headers],[Transport type]], 0)</f>
        <v>0.01</v>
      </c>
      <c r="J16" s="180" cm="1">
        <f t="array" ref="J16">Common_InputFunctions.Utility_DisplayArrayInTable(Fuel_SourceData.Fuel_Scope1Scope3EmissionFactorsTransport_Data(), Table_Fuel_EFs_Transport[[#Headers],[Transport type]], 0)</f>
        <v>0.5</v>
      </c>
      <c r="K16" s="180" cm="1">
        <f t="array" ref="K16">Common_InputFunctions.Utility_DisplayArrayInTable(Fuel_SourceData.Fuel_Scope1Scope3EmissionFactorsTransport_Data(), Table_Fuel_EFs_Transport[[#Headers],[Transport type]], 0)</f>
        <v>0.51</v>
      </c>
      <c r="L16" s="180" t="str" cm="1">
        <f t="array" ref="L16">Common_InputFunctions.Utility_DisplayArrayInTable(Fuel_SourceData.Fuel_Scope1Scope3EmissionFactorsTransport_Data(), Table_Fuel_EFs_Transport[[#Headers],[Transport type]], 0)</f>
        <v>NE</v>
      </c>
    </row>
    <row r="17" spans="1:12" ht="20.100000000000001" customHeight="1" x14ac:dyDescent="0.2">
      <c r="A17" s="5" t="str">
        <f>HYPERLINK("#'Input - Livestock farm Inputs'!A1", "Livestock farm Inputs")</f>
        <v>Livestock farm Inputs</v>
      </c>
      <c r="D17" s="180" t="str" cm="1">
        <f t="array" ref="D17">Common_InputFunctions.Utility_DisplayArrayInTable(Fuel_SourceData.Fuel_Scope1Scope3EmissionFactorsTransport_Data(), Table_Fuel_EFs_Transport[[#Headers],[Transport type]], 0)</f>
        <v>Cars and light commercial vehicles</v>
      </c>
      <c r="E17" s="180" t="str" cm="1">
        <f t="array" ref="E17">Common_InputFunctions.Utility_DisplayArrayInTable(Fuel_SourceData.Fuel_Scope1Scope3EmissionFactorsTransport_Data(), Table_Fuel_EFs_Transport[[#Headers],[Transport type]], 0)</f>
        <v>Other biofuels</v>
      </c>
      <c r="F17" s="180" cm="1">
        <f t="array" ref="F17">Common_InputFunctions.Utility_DisplayArrayInTable(Fuel_SourceData.Fuel_Scope1Scope3EmissionFactorsTransport_Data(), Table_Fuel_EFs_Transport[[#Headers],[Transport type]], 0)</f>
        <v>23.4</v>
      </c>
      <c r="G17" s="180" t="str" cm="1">
        <f t="array" ref="G17">Common_InputFunctions.Utility_DisplayArrayInTable(Fuel_SourceData.Fuel_Scope1Scope3EmissionFactorsTransport_Data(), Table_Fuel_EFs_Transport[[#Headers],[Transport type]], 0)</f>
        <v>kl</v>
      </c>
      <c r="H17" s="180" cm="1">
        <f t="array" ref="H17">Common_InputFunctions.Utility_DisplayArrayInTable(Fuel_SourceData.Fuel_Scope1Scope3EmissionFactorsTransport_Data(), Table_Fuel_EFs_Transport[[#Headers],[Transport type]], 0)</f>
        <v>0</v>
      </c>
      <c r="I17" s="180" cm="1">
        <f t="array" ref="I17">Common_InputFunctions.Utility_DisplayArrayInTable(Fuel_SourceData.Fuel_Scope1Scope3EmissionFactorsTransport_Data(), Table_Fuel_EFs_Transport[[#Headers],[Transport type]], 0)</f>
        <v>0.8</v>
      </c>
      <c r="J17" s="180" cm="1">
        <f t="array" ref="J17">Common_InputFunctions.Utility_DisplayArrayInTable(Fuel_SourceData.Fuel_Scope1Scope3EmissionFactorsTransport_Data(), Table_Fuel_EFs_Transport[[#Headers],[Transport type]], 0)</f>
        <v>1.7</v>
      </c>
      <c r="K17" s="180" cm="1">
        <f t="array" ref="K17">Common_InputFunctions.Utility_DisplayArrayInTable(Fuel_SourceData.Fuel_Scope1Scope3EmissionFactorsTransport_Data(), Table_Fuel_EFs_Transport[[#Headers],[Transport type]], 0)</f>
        <v>2.5</v>
      </c>
      <c r="L17" s="180" t="str" cm="1">
        <f t="array" ref="L17">Common_InputFunctions.Utility_DisplayArrayInTable(Fuel_SourceData.Fuel_Scope1Scope3EmissionFactorsTransport_Data(), Table_Fuel_EFs_Transport[[#Headers],[Transport type]], 0)</f>
        <v>NE</v>
      </c>
    </row>
    <row r="18" spans="1:12" ht="20.100000000000001" customHeight="1" x14ac:dyDescent="0.2">
      <c r="A18" s="5" t="str">
        <f>HYPERLINK("#'Input - Freight'!A1", "Freight")</f>
        <v>Freight</v>
      </c>
      <c r="D18" s="180" t="str" cm="1">
        <f t="array" ref="D18">Common_InputFunctions.Utility_DisplayArrayInTable(Fuel_SourceData.Fuel_Scope1Scope3EmissionFactorsTransport_Data(), Table_Fuel_EFs_Transport[[#Headers],[Transport type]], 0)</f>
        <v>Light duty vehicles</v>
      </c>
      <c r="E18" s="180" t="str" cm="1">
        <f t="array" ref="E18">Common_InputFunctions.Utility_DisplayArrayInTable(Fuel_SourceData.Fuel_Scope1Scope3EmissionFactorsTransport_Data(), Table_Fuel_EFs_Transport[[#Headers],[Transport type]], 0)</f>
        <v>Compressed natural gas</v>
      </c>
      <c r="F18" s="180" cm="1">
        <f t="array" ref="F18">Common_InputFunctions.Utility_DisplayArrayInTable(Fuel_SourceData.Fuel_Scope1Scope3EmissionFactorsTransport_Data(), Table_Fuel_EFs_Transport[[#Headers],[Transport type]], 0)</f>
        <v>3.9300000000000002E-2</v>
      </c>
      <c r="G18" s="180" t="str" cm="1">
        <f t="array" ref="G18">Common_InputFunctions.Utility_DisplayArrayInTable(Fuel_SourceData.Fuel_Scope1Scope3EmissionFactorsTransport_Data(), Table_Fuel_EFs_Transport[[#Headers],[Transport type]], 0)</f>
        <v>m3</v>
      </c>
      <c r="H18" s="180" cm="1">
        <f t="array" ref="H18">Common_InputFunctions.Utility_DisplayArrayInTable(Fuel_SourceData.Fuel_Scope1Scope3EmissionFactorsTransport_Data(), Table_Fuel_EFs_Transport[[#Headers],[Transport type]], 0)</f>
        <v>51.4</v>
      </c>
      <c r="I18" s="180" cm="1">
        <f t="array" ref="I18">Common_InputFunctions.Utility_DisplayArrayInTable(Fuel_SourceData.Fuel_Scope1Scope3EmissionFactorsTransport_Data(), Table_Fuel_EFs_Transport[[#Headers],[Transport type]], 0)</f>
        <v>7.3</v>
      </c>
      <c r="J18" s="180" cm="1">
        <f t="array" ref="J18">Common_InputFunctions.Utility_DisplayArrayInTable(Fuel_SourceData.Fuel_Scope1Scope3EmissionFactorsTransport_Data(), Table_Fuel_EFs_Transport[[#Headers],[Transport type]], 0)</f>
        <v>0.3</v>
      </c>
      <c r="K18" s="180" cm="1">
        <f t="array" ref="K18">Common_InputFunctions.Utility_DisplayArrayInTable(Fuel_SourceData.Fuel_Scope1Scope3EmissionFactorsTransport_Data(), Table_Fuel_EFs_Transport[[#Headers],[Transport type]], 0)</f>
        <v>59</v>
      </c>
      <c r="L18" s="180" cm="1">
        <f t="array" ref="L18">Common_InputFunctions.Utility_DisplayArrayInTable(Fuel_SourceData.Fuel_Scope1Scope3EmissionFactorsTransport_Data(), Table_Fuel_EFs_Transport[[#Headers],[Transport type]], 0)</f>
        <v>18</v>
      </c>
    </row>
    <row r="19" spans="1:12" ht="20.100000000000001" customHeight="1" x14ac:dyDescent="0.2">
      <c r="A19" s="5" t="str">
        <f>HYPERLINK("#'Input - Solid waste'!A1", "Solid waste")</f>
        <v>Solid waste</v>
      </c>
      <c r="D19" s="180" t="str" cm="1">
        <f t="array" ref="D19">Common_InputFunctions.Utility_DisplayArrayInTable(Fuel_SourceData.Fuel_Scope1Scope3EmissionFactorsTransport_Data(), Table_Fuel_EFs_Transport[[#Headers],[Transport type]], 0)</f>
        <v>Light duty vehicles</v>
      </c>
      <c r="E19" s="180" t="str" cm="1">
        <f t="array" ref="E19">Common_InputFunctions.Utility_DisplayArrayInTable(Fuel_SourceData.Fuel_Scope1Scope3EmissionFactorsTransport_Data(), Table_Fuel_EFs_Transport[[#Headers],[Transport type]], 0)</f>
        <v>Liquefied natural gas</v>
      </c>
      <c r="F19" s="180" cm="1">
        <f t="array" ref="F19">Common_InputFunctions.Utility_DisplayArrayInTable(Fuel_SourceData.Fuel_Scope1Scope3EmissionFactorsTransport_Data(), Table_Fuel_EFs_Transport[[#Headers],[Transport type]], 0)</f>
        <v>25.3</v>
      </c>
      <c r="G19" s="180" t="str" cm="1">
        <f t="array" ref="G19">Common_InputFunctions.Utility_DisplayArrayInTable(Fuel_SourceData.Fuel_Scope1Scope3EmissionFactorsTransport_Data(), Table_Fuel_EFs_Transport[[#Headers],[Transport type]], 0)</f>
        <v>kl</v>
      </c>
      <c r="H19" s="180" cm="1">
        <f t="array" ref="H19">Common_InputFunctions.Utility_DisplayArrayInTable(Fuel_SourceData.Fuel_Scope1Scope3EmissionFactorsTransport_Data(), Table_Fuel_EFs_Transport[[#Headers],[Transport type]], 0)</f>
        <v>51.4</v>
      </c>
      <c r="I19" s="180" cm="1">
        <f t="array" ref="I19">Common_InputFunctions.Utility_DisplayArrayInTable(Fuel_SourceData.Fuel_Scope1Scope3EmissionFactorsTransport_Data(), Table_Fuel_EFs_Transport[[#Headers],[Transport type]], 0)</f>
        <v>7.3</v>
      </c>
      <c r="J19" s="180" cm="1">
        <f t="array" ref="J19">Common_InputFunctions.Utility_DisplayArrayInTable(Fuel_SourceData.Fuel_Scope1Scope3EmissionFactorsTransport_Data(), Table_Fuel_EFs_Transport[[#Headers],[Transport type]], 0)</f>
        <v>0.3</v>
      </c>
      <c r="K19" s="180" cm="1">
        <f t="array" ref="K19">Common_InputFunctions.Utility_DisplayArrayInTable(Fuel_SourceData.Fuel_Scope1Scope3EmissionFactorsTransport_Data(), Table_Fuel_EFs_Transport[[#Headers],[Transport type]], 0)</f>
        <v>59</v>
      </c>
      <c r="L19" s="180" cm="1">
        <f t="array" ref="L19">Common_InputFunctions.Utility_DisplayArrayInTable(Fuel_SourceData.Fuel_Scope1Scope3EmissionFactorsTransport_Data(), Table_Fuel_EFs_Transport[[#Headers],[Transport type]], 0)</f>
        <v>18</v>
      </c>
    </row>
    <row r="20" spans="1:12" ht="20.100000000000001" customHeight="1" x14ac:dyDescent="0.2">
      <c r="A20" s="5" t="str">
        <f>HYPERLINK("#'Input - Manure sent off-site'!A1", "Manure sent off-site")</f>
        <v>Manure sent off-site</v>
      </c>
      <c r="D20" s="180" t="str" cm="1">
        <f t="array" ref="D20">Common_InputFunctions.Utility_DisplayArrayInTable(Fuel_SourceData.Fuel_Scope1Scope3EmissionFactorsTransport_Data(), Table_Fuel_EFs_Transport[[#Headers],[Transport type]], 0)</f>
        <v>Heavy duty vehicles</v>
      </c>
      <c r="E20" s="180" t="str" cm="1">
        <f t="array" ref="E20">Common_InputFunctions.Utility_DisplayArrayInTable(Fuel_SourceData.Fuel_Scope1Scope3EmissionFactorsTransport_Data(), Table_Fuel_EFs_Transport[[#Headers],[Transport type]], 0)</f>
        <v>Compressed natural gas</v>
      </c>
      <c r="F20" s="180" cm="1">
        <f t="array" ref="F20">Common_InputFunctions.Utility_DisplayArrayInTable(Fuel_SourceData.Fuel_Scope1Scope3EmissionFactorsTransport_Data(), Table_Fuel_EFs_Transport[[#Headers],[Transport type]], 0)</f>
        <v>3.9300000000000002E-2</v>
      </c>
      <c r="G20" s="180" t="str" cm="1">
        <f t="array" ref="G20">Common_InputFunctions.Utility_DisplayArrayInTable(Fuel_SourceData.Fuel_Scope1Scope3EmissionFactorsTransport_Data(), Table_Fuel_EFs_Transport[[#Headers],[Transport type]], 0)</f>
        <v>m3</v>
      </c>
      <c r="H20" s="180" cm="1">
        <f t="array" ref="H20">Common_InputFunctions.Utility_DisplayArrayInTable(Fuel_SourceData.Fuel_Scope1Scope3EmissionFactorsTransport_Data(), Table_Fuel_EFs_Transport[[#Headers],[Transport type]], 0)</f>
        <v>51.4</v>
      </c>
      <c r="I20" s="180" cm="1">
        <f t="array" ref="I20">Common_InputFunctions.Utility_DisplayArrayInTable(Fuel_SourceData.Fuel_Scope1Scope3EmissionFactorsTransport_Data(), Table_Fuel_EFs_Transport[[#Headers],[Transport type]], 0)</f>
        <v>2.8</v>
      </c>
      <c r="J20" s="180" cm="1">
        <f t="array" ref="J20">Common_InputFunctions.Utility_DisplayArrayInTable(Fuel_SourceData.Fuel_Scope1Scope3EmissionFactorsTransport_Data(), Table_Fuel_EFs_Transport[[#Headers],[Transport type]], 0)</f>
        <v>0.3</v>
      </c>
      <c r="K20" s="180" cm="1">
        <f t="array" ref="K20">Common_InputFunctions.Utility_DisplayArrayInTable(Fuel_SourceData.Fuel_Scope1Scope3EmissionFactorsTransport_Data(), Table_Fuel_EFs_Transport[[#Headers],[Transport type]], 0)</f>
        <v>54.5</v>
      </c>
      <c r="L20" s="180" cm="1">
        <f t="array" ref="L20">Common_InputFunctions.Utility_DisplayArrayInTable(Fuel_SourceData.Fuel_Scope1Scope3EmissionFactorsTransport_Data(), Table_Fuel_EFs_Transport[[#Headers],[Transport type]], 0)</f>
        <v>18</v>
      </c>
    </row>
    <row r="21" spans="1:12" ht="20.100000000000001" customHeight="1" x14ac:dyDescent="0.2">
      <c r="A21" s="5" t="str">
        <f>HYPERLINK("#'Input - Data quality'!A1", "Data quality")</f>
        <v>Data quality</v>
      </c>
      <c r="D21" s="180" t="str" cm="1">
        <f t="array" ref="D21">Common_InputFunctions.Utility_DisplayArrayInTable(Fuel_SourceData.Fuel_Scope1Scope3EmissionFactorsTransport_Data(), Table_Fuel_EFs_Transport[[#Headers],[Transport type]], 0)</f>
        <v>Heavy duty vehicles</v>
      </c>
      <c r="E21" s="180" t="str" cm="1">
        <f t="array" ref="E21">Common_InputFunctions.Utility_DisplayArrayInTable(Fuel_SourceData.Fuel_Scope1Scope3EmissionFactorsTransport_Data(), Table_Fuel_EFs_Transport[[#Headers],[Transport type]], 0)</f>
        <v>Liquefied natural gas</v>
      </c>
      <c r="F21" s="180" cm="1">
        <f t="array" ref="F21">Common_InputFunctions.Utility_DisplayArrayInTable(Fuel_SourceData.Fuel_Scope1Scope3EmissionFactorsTransport_Data(), Table_Fuel_EFs_Transport[[#Headers],[Transport type]], 0)</f>
        <v>25.3</v>
      </c>
      <c r="G21" s="180" t="str" cm="1">
        <f t="array" ref="G21">Common_InputFunctions.Utility_DisplayArrayInTable(Fuel_SourceData.Fuel_Scope1Scope3EmissionFactorsTransport_Data(), Table_Fuel_EFs_Transport[[#Headers],[Transport type]], 0)</f>
        <v>kl</v>
      </c>
      <c r="H21" s="180" cm="1">
        <f t="array" ref="H21">Common_InputFunctions.Utility_DisplayArrayInTable(Fuel_SourceData.Fuel_Scope1Scope3EmissionFactorsTransport_Data(), Table_Fuel_EFs_Transport[[#Headers],[Transport type]], 0)</f>
        <v>51.4</v>
      </c>
      <c r="I21" s="180" cm="1">
        <f t="array" ref="I21">Common_InputFunctions.Utility_DisplayArrayInTable(Fuel_SourceData.Fuel_Scope1Scope3EmissionFactorsTransport_Data(), Table_Fuel_EFs_Transport[[#Headers],[Transport type]], 0)</f>
        <v>2.8</v>
      </c>
      <c r="J21" s="180" cm="1">
        <f t="array" ref="J21">Common_InputFunctions.Utility_DisplayArrayInTable(Fuel_SourceData.Fuel_Scope1Scope3EmissionFactorsTransport_Data(), Table_Fuel_EFs_Transport[[#Headers],[Transport type]], 0)</f>
        <v>0.3</v>
      </c>
      <c r="K21" s="180" cm="1">
        <f t="array" ref="K21">Common_InputFunctions.Utility_DisplayArrayInTable(Fuel_SourceData.Fuel_Scope1Scope3EmissionFactorsTransport_Data(), Table_Fuel_EFs_Transport[[#Headers],[Transport type]], 0)</f>
        <v>54.5</v>
      </c>
      <c r="L21" s="180" cm="1">
        <f t="array" ref="L21">Common_InputFunctions.Utility_DisplayArrayInTable(Fuel_SourceData.Fuel_Scope1Scope3EmissionFactorsTransport_Data(), Table_Fuel_EFs_Transport[[#Headers],[Transport type]], 0)</f>
        <v>18</v>
      </c>
    </row>
    <row r="22" spans="1:12" ht="20.100000000000001" customHeight="1" x14ac:dyDescent="0.2">
      <c r="A22" s="5" t="str">
        <f>HYPERLINK("#'Input - Fert Prod System'!A1", "Fert Prod System")</f>
        <v>Fert Prod System</v>
      </c>
      <c r="D22" s="180" t="str" cm="1">
        <f t="array" ref="D22">Common_InputFunctions.Utility_DisplayArrayInTable(Fuel_SourceData.Fuel_Scope1Scope3EmissionFactorsTransport_Data(), Table_Fuel_EFs_Transport[[#Headers],[Transport type]], 0)</f>
        <v>Heavy duty vehicles</v>
      </c>
      <c r="E22" s="180" t="str" cm="1">
        <f t="array" ref="E22">Common_InputFunctions.Utility_DisplayArrayInTable(Fuel_SourceData.Fuel_Scope1Scope3EmissionFactorsTransport_Data(), Table_Fuel_EFs_Transport[[#Headers],[Transport type]], 0)</f>
        <v>Diesel oil - Euro iv or higher</v>
      </c>
      <c r="F22" s="180" cm="1">
        <f t="array" ref="F22">Common_InputFunctions.Utility_DisplayArrayInTable(Fuel_SourceData.Fuel_Scope1Scope3EmissionFactorsTransport_Data(), Table_Fuel_EFs_Transport[[#Headers],[Transport type]], 0)</f>
        <v>38.6</v>
      </c>
      <c r="G22" s="180" t="str" cm="1">
        <f t="array" ref="G22">Common_InputFunctions.Utility_DisplayArrayInTable(Fuel_SourceData.Fuel_Scope1Scope3EmissionFactorsTransport_Data(), Table_Fuel_EFs_Transport[[#Headers],[Transport type]], 0)</f>
        <v>kl</v>
      </c>
      <c r="H22" s="180" cm="1">
        <f t="array" ref="H22">Common_InputFunctions.Utility_DisplayArrayInTable(Fuel_SourceData.Fuel_Scope1Scope3EmissionFactorsTransport_Data(), Table_Fuel_EFs_Transport[[#Headers],[Transport type]], 0)</f>
        <v>69.900000000000006</v>
      </c>
      <c r="I22" s="180" cm="1">
        <f t="array" ref="I22">Common_InputFunctions.Utility_DisplayArrayInTable(Fuel_SourceData.Fuel_Scope1Scope3EmissionFactorsTransport_Data(), Table_Fuel_EFs_Transport[[#Headers],[Transport type]], 0)</f>
        <v>7.0000000000000007E-2</v>
      </c>
      <c r="J22" s="180" cm="1">
        <f t="array" ref="J22">Common_InputFunctions.Utility_DisplayArrayInTable(Fuel_SourceData.Fuel_Scope1Scope3EmissionFactorsTransport_Data(), Table_Fuel_EFs_Transport[[#Headers],[Transport type]], 0)</f>
        <v>0.4</v>
      </c>
      <c r="K22" s="180" cm="1">
        <f t="array" ref="K22">Common_InputFunctions.Utility_DisplayArrayInTable(Fuel_SourceData.Fuel_Scope1Scope3EmissionFactorsTransport_Data(), Table_Fuel_EFs_Transport[[#Headers],[Transport type]], 0)</f>
        <v>70.37</v>
      </c>
      <c r="L22" s="180" cm="1">
        <f t="array" ref="L22">Common_InputFunctions.Utility_DisplayArrayInTable(Fuel_SourceData.Fuel_Scope1Scope3EmissionFactorsTransport_Data(), Table_Fuel_EFs_Transport[[#Headers],[Transport type]], 0)</f>
        <v>17.3</v>
      </c>
    </row>
    <row r="23" spans="1:12" ht="20.100000000000001" customHeight="1" x14ac:dyDescent="0.2">
      <c r="A23" s="5" t="str">
        <f>HYPERLINK("#'Input - Fertiliser'!A1", "Fertiliser")</f>
        <v>Fertiliser</v>
      </c>
      <c r="D23" s="180" t="str" cm="1">
        <f t="array" ref="D23">Common_InputFunctions.Utility_DisplayArrayInTable(Fuel_SourceData.Fuel_Scope1Scope3EmissionFactorsTransport_Data(), Table_Fuel_EFs_Transport[[#Headers],[Transport type]], 0)</f>
        <v>Heavy duty vehicles</v>
      </c>
      <c r="E23" s="180" t="str" cm="1">
        <f t="array" ref="E23">Common_InputFunctions.Utility_DisplayArrayInTable(Fuel_SourceData.Fuel_Scope1Scope3EmissionFactorsTransport_Data(), Table_Fuel_EFs_Transport[[#Headers],[Transport type]], 0)</f>
        <v>Diesel oil - Euro iii</v>
      </c>
      <c r="F23" s="180" cm="1">
        <f t="array" ref="F23">Common_InputFunctions.Utility_DisplayArrayInTable(Fuel_SourceData.Fuel_Scope1Scope3EmissionFactorsTransport_Data(), Table_Fuel_EFs_Transport[[#Headers],[Transport type]], 0)</f>
        <v>38.6</v>
      </c>
      <c r="G23" s="180" t="str" cm="1">
        <f t="array" ref="G23">Common_InputFunctions.Utility_DisplayArrayInTable(Fuel_SourceData.Fuel_Scope1Scope3EmissionFactorsTransport_Data(), Table_Fuel_EFs_Transport[[#Headers],[Transport type]], 0)</f>
        <v>kl</v>
      </c>
      <c r="H23" s="180" cm="1">
        <f t="array" ref="H23">Common_InputFunctions.Utility_DisplayArrayInTable(Fuel_SourceData.Fuel_Scope1Scope3EmissionFactorsTransport_Data(), Table_Fuel_EFs_Transport[[#Headers],[Transport type]], 0)</f>
        <v>69.900000000000006</v>
      </c>
      <c r="I23" s="180" cm="1">
        <f t="array" ref="I23">Common_InputFunctions.Utility_DisplayArrayInTable(Fuel_SourceData.Fuel_Scope1Scope3EmissionFactorsTransport_Data(), Table_Fuel_EFs_Transport[[#Headers],[Transport type]], 0)</f>
        <v>0.1</v>
      </c>
      <c r="J23" s="180" cm="1">
        <f t="array" ref="J23">Common_InputFunctions.Utility_DisplayArrayInTable(Fuel_SourceData.Fuel_Scope1Scope3EmissionFactorsTransport_Data(), Table_Fuel_EFs_Transport[[#Headers],[Transport type]], 0)</f>
        <v>0.4</v>
      </c>
      <c r="K23" s="180" cm="1">
        <f t="array" ref="K23">Common_InputFunctions.Utility_DisplayArrayInTable(Fuel_SourceData.Fuel_Scope1Scope3EmissionFactorsTransport_Data(), Table_Fuel_EFs_Transport[[#Headers],[Transport type]], 0)</f>
        <v>70.400000000000006</v>
      </c>
      <c r="L23" s="180" cm="1">
        <f t="array" ref="L23">Common_InputFunctions.Utility_DisplayArrayInTable(Fuel_SourceData.Fuel_Scope1Scope3EmissionFactorsTransport_Data(), Table_Fuel_EFs_Transport[[#Headers],[Transport type]], 0)</f>
        <v>17.3</v>
      </c>
    </row>
    <row r="24" spans="1:12" ht="20.100000000000001" customHeight="1" x14ac:dyDescent="0.2">
      <c r="D24" s="180" t="str" cm="1">
        <f t="array" ref="D24">Common_InputFunctions.Utility_DisplayArrayInTable(Fuel_SourceData.Fuel_Scope1Scope3EmissionFactorsTransport_Data(), Table_Fuel_EFs_Transport[[#Headers],[Transport type]], 0)</f>
        <v>Heavy duty vehicles</v>
      </c>
      <c r="E24" s="180" t="str" cm="1">
        <f t="array" ref="E24">Common_InputFunctions.Utility_DisplayArrayInTable(Fuel_SourceData.Fuel_Scope1Scope3EmissionFactorsTransport_Data(), Table_Fuel_EFs_Transport[[#Headers],[Transport type]], 0)</f>
        <v>Diesel oil - Euro i</v>
      </c>
      <c r="F24" s="180" cm="1">
        <f t="array" ref="F24">Common_InputFunctions.Utility_DisplayArrayInTable(Fuel_SourceData.Fuel_Scope1Scope3EmissionFactorsTransport_Data(), Table_Fuel_EFs_Transport[[#Headers],[Transport type]], 0)</f>
        <v>38.6</v>
      </c>
      <c r="G24" s="180" t="str" cm="1">
        <f t="array" ref="G24">Common_InputFunctions.Utility_DisplayArrayInTable(Fuel_SourceData.Fuel_Scope1Scope3EmissionFactorsTransport_Data(), Table_Fuel_EFs_Transport[[#Headers],[Transport type]], 0)</f>
        <v>kl</v>
      </c>
      <c r="H24" s="180" cm="1">
        <f t="array" ref="H24">Common_InputFunctions.Utility_DisplayArrayInTable(Fuel_SourceData.Fuel_Scope1Scope3EmissionFactorsTransport_Data(), Table_Fuel_EFs_Transport[[#Headers],[Transport type]], 0)</f>
        <v>69.900000000000006</v>
      </c>
      <c r="I24" s="180" cm="1">
        <f t="array" ref="I24">Common_InputFunctions.Utility_DisplayArrayInTable(Fuel_SourceData.Fuel_Scope1Scope3EmissionFactorsTransport_Data(), Table_Fuel_EFs_Transport[[#Headers],[Transport type]], 0)</f>
        <v>0.2</v>
      </c>
      <c r="J24" s="180" cm="1">
        <f t="array" ref="J24">Common_InputFunctions.Utility_DisplayArrayInTable(Fuel_SourceData.Fuel_Scope1Scope3EmissionFactorsTransport_Data(), Table_Fuel_EFs_Transport[[#Headers],[Transport type]], 0)</f>
        <v>0.4</v>
      </c>
      <c r="K24" s="180" cm="1">
        <f t="array" ref="K24">Common_InputFunctions.Utility_DisplayArrayInTable(Fuel_SourceData.Fuel_Scope1Scope3EmissionFactorsTransport_Data(), Table_Fuel_EFs_Transport[[#Headers],[Transport type]], 0)</f>
        <v>70.5</v>
      </c>
      <c r="L24" s="180" cm="1">
        <f t="array" ref="L24">Common_InputFunctions.Utility_DisplayArrayInTable(Fuel_SourceData.Fuel_Scope1Scope3EmissionFactorsTransport_Data(), Table_Fuel_EFs_Transport[[#Headers],[Transport type]], 0)</f>
        <v>17.3</v>
      </c>
    </row>
    <row r="25" spans="1:12" ht="20.100000000000001" customHeight="1" x14ac:dyDescent="0.2">
      <c r="D25" s="180" t="str" cm="1">
        <f t="array" ref="D25">Common_InputFunctions.Utility_DisplayArrayInTable(Fuel_SourceData.Fuel_Scope1Scope3EmissionFactorsTransport_Data(), Table_Fuel_EFs_Transport[[#Headers],[Transport type]], 0)</f>
        <v>Heavy duty vehicles</v>
      </c>
      <c r="E25" s="180" t="str" cm="1">
        <f t="array" ref="E25">Common_InputFunctions.Utility_DisplayArrayInTable(Fuel_SourceData.Fuel_Scope1Scope3EmissionFactorsTransport_Data(), Table_Fuel_EFs_Transport[[#Headers],[Transport type]], 0)</f>
        <v>Renewable diesel – Euro iv or higher</v>
      </c>
      <c r="F25" s="180" cm="1">
        <f t="array" ref="F25">Common_InputFunctions.Utility_DisplayArrayInTable(Fuel_SourceData.Fuel_Scope1Scope3EmissionFactorsTransport_Data(), Table_Fuel_EFs_Transport[[#Headers],[Transport type]], 0)</f>
        <v>38.6</v>
      </c>
      <c r="G25" s="180" t="str" cm="1">
        <f t="array" ref="G25">Common_InputFunctions.Utility_DisplayArrayInTable(Fuel_SourceData.Fuel_Scope1Scope3EmissionFactorsTransport_Data(), Table_Fuel_EFs_Transport[[#Headers],[Transport type]], 0)</f>
        <v>kl</v>
      </c>
      <c r="H25" s="180" cm="1">
        <f t="array" ref="H25">Common_InputFunctions.Utility_DisplayArrayInTable(Fuel_SourceData.Fuel_Scope1Scope3EmissionFactorsTransport_Data(), Table_Fuel_EFs_Transport[[#Headers],[Transport type]], 0)</f>
        <v>0</v>
      </c>
      <c r="I25" s="180" cm="1">
        <f t="array" ref="I25">Common_InputFunctions.Utility_DisplayArrayInTable(Fuel_SourceData.Fuel_Scope1Scope3EmissionFactorsTransport_Data(), Table_Fuel_EFs_Transport[[#Headers],[Transport type]], 0)</f>
        <v>7.0000000000000007E-2</v>
      </c>
      <c r="J25" s="180" cm="1">
        <f t="array" ref="J25">Common_InputFunctions.Utility_DisplayArrayInTable(Fuel_SourceData.Fuel_Scope1Scope3EmissionFactorsTransport_Data(), Table_Fuel_EFs_Transport[[#Headers],[Transport type]], 0)</f>
        <v>0.4</v>
      </c>
      <c r="K25" s="180" cm="1">
        <f t="array" ref="K25">Common_InputFunctions.Utility_DisplayArrayInTable(Fuel_SourceData.Fuel_Scope1Scope3EmissionFactorsTransport_Data(), Table_Fuel_EFs_Transport[[#Headers],[Transport type]], 0)</f>
        <v>0.47</v>
      </c>
      <c r="L25" s="180" t="str" cm="1">
        <f t="array" ref="L25">Common_InputFunctions.Utility_DisplayArrayInTable(Fuel_SourceData.Fuel_Scope1Scope3EmissionFactorsTransport_Data(), Table_Fuel_EFs_Transport[[#Headers],[Transport type]], 0)</f>
        <v>NE</v>
      </c>
    </row>
    <row r="26" spans="1:12" ht="20.100000000000001" customHeight="1" x14ac:dyDescent="0.2">
      <c r="A26" s="6" t="s">
        <v>2</v>
      </c>
      <c r="D26" s="180" t="str" cm="1">
        <f t="array" ref="D26">Common_InputFunctions.Utility_DisplayArrayInTable(Fuel_SourceData.Fuel_Scope1Scope3EmissionFactorsTransport_Data(), Table_Fuel_EFs_Transport[[#Headers],[Transport type]], 0)</f>
        <v>Heavy duty vehicles</v>
      </c>
      <c r="E26" s="180" t="str" cm="1">
        <f t="array" ref="E26">Common_InputFunctions.Utility_DisplayArrayInTable(Fuel_SourceData.Fuel_Scope1Scope3EmissionFactorsTransport_Data(), Table_Fuel_EFs_Transport[[#Headers],[Transport type]], 0)</f>
        <v>Renewable diesel – Euro iii</v>
      </c>
      <c r="F26" s="180" cm="1">
        <f t="array" ref="F26">Common_InputFunctions.Utility_DisplayArrayInTable(Fuel_SourceData.Fuel_Scope1Scope3EmissionFactorsTransport_Data(), Table_Fuel_EFs_Transport[[#Headers],[Transport type]], 0)</f>
        <v>38.6</v>
      </c>
      <c r="G26" s="180" t="str" cm="1">
        <f t="array" ref="G26">Common_InputFunctions.Utility_DisplayArrayInTable(Fuel_SourceData.Fuel_Scope1Scope3EmissionFactorsTransport_Data(), Table_Fuel_EFs_Transport[[#Headers],[Transport type]], 0)</f>
        <v>kl</v>
      </c>
      <c r="H26" s="180" cm="1">
        <f t="array" ref="H26">Common_InputFunctions.Utility_DisplayArrayInTable(Fuel_SourceData.Fuel_Scope1Scope3EmissionFactorsTransport_Data(), Table_Fuel_EFs_Transport[[#Headers],[Transport type]], 0)</f>
        <v>0</v>
      </c>
      <c r="I26" s="180" cm="1">
        <f t="array" ref="I26">Common_InputFunctions.Utility_DisplayArrayInTable(Fuel_SourceData.Fuel_Scope1Scope3EmissionFactorsTransport_Data(), Table_Fuel_EFs_Transport[[#Headers],[Transport type]], 0)</f>
        <v>0.1</v>
      </c>
      <c r="J26" s="180" cm="1">
        <f t="array" ref="J26">Common_InputFunctions.Utility_DisplayArrayInTable(Fuel_SourceData.Fuel_Scope1Scope3EmissionFactorsTransport_Data(), Table_Fuel_EFs_Transport[[#Headers],[Transport type]], 0)</f>
        <v>0.4</v>
      </c>
      <c r="K26" s="180" cm="1">
        <f t="array" ref="K26">Common_InputFunctions.Utility_DisplayArrayInTable(Fuel_SourceData.Fuel_Scope1Scope3EmissionFactorsTransport_Data(), Table_Fuel_EFs_Transport[[#Headers],[Transport type]], 0)</f>
        <v>0.5</v>
      </c>
      <c r="L26" s="180" t="str" cm="1">
        <f t="array" ref="L26">Common_InputFunctions.Utility_DisplayArrayInTable(Fuel_SourceData.Fuel_Scope1Scope3EmissionFactorsTransport_Data(), Table_Fuel_EFs_Transport[[#Headers],[Transport type]], 0)</f>
        <v>NE</v>
      </c>
    </row>
    <row r="27" spans="1:12" ht="20.100000000000001" customHeight="1" x14ac:dyDescent="0.2">
      <c r="A27" s="5" t="str">
        <f>HYPERLINK("#'3.1.1.1-2 Enteric Methane'!A1", "3.1.1.1-2 Enteric Methane")</f>
        <v>3.1.1.1-2 Enteric Methane</v>
      </c>
      <c r="D27" s="180" t="str" cm="1">
        <f t="array" ref="D27">Common_InputFunctions.Utility_DisplayArrayInTable(Fuel_SourceData.Fuel_Scope1Scope3EmissionFactorsTransport_Data(), Table_Fuel_EFs_Transport[[#Headers],[Transport type]], 0)</f>
        <v>Heavy duty vehicles</v>
      </c>
      <c r="E27" s="180" t="str" cm="1">
        <f t="array" ref="E27">Common_InputFunctions.Utility_DisplayArrayInTable(Fuel_SourceData.Fuel_Scope1Scope3EmissionFactorsTransport_Data(), Table_Fuel_EFs_Transport[[#Headers],[Transport type]], 0)</f>
        <v>Renewable diesel – Euro i</v>
      </c>
      <c r="F27" s="180" cm="1">
        <f t="array" ref="F27">Common_InputFunctions.Utility_DisplayArrayInTable(Fuel_SourceData.Fuel_Scope1Scope3EmissionFactorsTransport_Data(), Table_Fuel_EFs_Transport[[#Headers],[Transport type]], 0)</f>
        <v>38.6</v>
      </c>
      <c r="G27" s="180" t="str" cm="1">
        <f t="array" ref="G27">Common_InputFunctions.Utility_DisplayArrayInTable(Fuel_SourceData.Fuel_Scope1Scope3EmissionFactorsTransport_Data(), Table_Fuel_EFs_Transport[[#Headers],[Transport type]], 0)</f>
        <v>kl</v>
      </c>
      <c r="H27" s="180" cm="1">
        <f t="array" ref="H27">Common_InputFunctions.Utility_DisplayArrayInTable(Fuel_SourceData.Fuel_Scope1Scope3EmissionFactorsTransport_Data(), Table_Fuel_EFs_Transport[[#Headers],[Transport type]], 0)</f>
        <v>0</v>
      </c>
      <c r="I27" s="180" cm="1">
        <f t="array" ref="I27">Common_InputFunctions.Utility_DisplayArrayInTable(Fuel_SourceData.Fuel_Scope1Scope3EmissionFactorsTransport_Data(), Table_Fuel_EFs_Transport[[#Headers],[Transport type]], 0)</f>
        <v>0.2</v>
      </c>
      <c r="J27" s="180" cm="1">
        <f t="array" ref="J27">Common_InputFunctions.Utility_DisplayArrayInTable(Fuel_SourceData.Fuel_Scope1Scope3EmissionFactorsTransport_Data(), Table_Fuel_EFs_Transport[[#Headers],[Transport type]], 0)</f>
        <v>0.4</v>
      </c>
      <c r="K27" s="180" cm="1">
        <f t="array" ref="K27">Common_InputFunctions.Utility_DisplayArrayInTable(Fuel_SourceData.Fuel_Scope1Scope3EmissionFactorsTransport_Data(), Table_Fuel_EFs_Transport[[#Headers],[Transport type]], 0)</f>
        <v>0.6</v>
      </c>
      <c r="L27" s="180" t="str" cm="1">
        <f t="array" ref="L27">Common_InputFunctions.Utility_DisplayArrayInTable(Fuel_SourceData.Fuel_Scope1Scope3EmissionFactorsTransport_Data(), Table_Fuel_EFs_Transport[[#Headers],[Transport type]], 0)</f>
        <v>NE</v>
      </c>
    </row>
    <row r="28" spans="1:12" ht="20.100000000000001" customHeight="1" x14ac:dyDescent="0.2">
      <c r="A28" s="5" t="str">
        <f>HYPERLINK("#'4.1.1.1-2 Methane'!A1", "4.1.1.1-2 Manure Methane")</f>
        <v>4.1.1.1-2 Manure Methane</v>
      </c>
      <c r="D28" s="180" t="str" cm="1">
        <f t="array" ref="D28">Common_InputFunctions.Utility_DisplayArrayInTable(Fuel_SourceData.Fuel_Scope1Scope3EmissionFactorsTransport_Data(), Table_Fuel_EFs_Transport[[#Headers],[Transport type]], 0)</f>
        <v>Aviation</v>
      </c>
      <c r="E28" s="180" t="str" cm="1">
        <f t="array" ref="E28">Common_InputFunctions.Utility_DisplayArrayInTable(Fuel_SourceData.Fuel_Scope1Scope3EmissionFactorsTransport_Data(), Table_Fuel_EFs_Transport[[#Headers],[Transport type]], 0)</f>
        <v>Gasoline for use as fuel in an aircraft</v>
      </c>
      <c r="F28" s="180" cm="1">
        <f t="array" ref="F28">Common_InputFunctions.Utility_DisplayArrayInTable(Fuel_SourceData.Fuel_Scope1Scope3EmissionFactorsTransport_Data(), Table_Fuel_EFs_Transport[[#Headers],[Transport type]], 0)</f>
        <v>33.1</v>
      </c>
      <c r="G28" s="180" t="str" cm="1">
        <f t="array" ref="G28">Common_InputFunctions.Utility_DisplayArrayInTable(Fuel_SourceData.Fuel_Scope1Scope3EmissionFactorsTransport_Data(), Table_Fuel_EFs_Transport[[#Headers],[Transport type]], 0)</f>
        <v>kl</v>
      </c>
      <c r="H28" s="180" cm="1">
        <f t="array" ref="H28">Common_InputFunctions.Utility_DisplayArrayInTable(Fuel_SourceData.Fuel_Scope1Scope3EmissionFactorsTransport_Data(), Table_Fuel_EFs_Transport[[#Headers],[Transport type]], 0)</f>
        <v>67</v>
      </c>
      <c r="I28" s="180" cm="1">
        <f t="array" ref="I28">Common_InputFunctions.Utility_DisplayArrayInTable(Fuel_SourceData.Fuel_Scope1Scope3EmissionFactorsTransport_Data(), Table_Fuel_EFs_Transport[[#Headers],[Transport type]], 0)</f>
        <v>0.06</v>
      </c>
      <c r="J28" s="180" cm="1">
        <f t="array" ref="J28">Common_InputFunctions.Utility_DisplayArrayInTable(Fuel_SourceData.Fuel_Scope1Scope3EmissionFactorsTransport_Data(), Table_Fuel_EFs_Transport[[#Headers],[Transport type]], 0)</f>
        <v>0.6</v>
      </c>
      <c r="K28" s="180" cm="1">
        <f t="array" ref="K28">Common_InputFunctions.Utility_DisplayArrayInTable(Fuel_SourceData.Fuel_Scope1Scope3EmissionFactorsTransport_Data(), Table_Fuel_EFs_Transport[[#Headers],[Transport type]], 0)</f>
        <v>67.66</v>
      </c>
      <c r="L28" s="180" cm="1">
        <f t="array" ref="L28">Common_InputFunctions.Utility_DisplayArrayInTable(Fuel_SourceData.Fuel_Scope1Scope3EmissionFactorsTransport_Data(), Table_Fuel_EFs_Transport[[#Headers],[Transport type]], 0)</f>
        <v>18</v>
      </c>
    </row>
    <row r="29" spans="1:12" ht="20.100000000000001" customHeight="1" x14ac:dyDescent="0.2">
      <c r="A29" s="5" t="str">
        <f>HYPERLINK("#'4.1.1.3-4 Direct N20'!A1", "4.1.1.3-4 Manure Direct N2O")</f>
        <v>4.1.1.3-4 Manure Direct N2O</v>
      </c>
      <c r="D29" s="180" t="str" cm="1">
        <f t="array" ref="D29">Common_InputFunctions.Utility_DisplayArrayInTable(Fuel_SourceData.Fuel_Scope1Scope3EmissionFactorsTransport_Data(), Table_Fuel_EFs_Transport[[#Headers],[Transport type]], 0)</f>
        <v>Aviation</v>
      </c>
      <c r="E29" s="180" t="str" cm="1">
        <f t="array" ref="E29">Common_InputFunctions.Utility_DisplayArrayInTable(Fuel_SourceData.Fuel_Scope1Scope3EmissionFactorsTransport_Data(), Table_Fuel_EFs_Transport[[#Headers],[Transport type]], 0)</f>
        <v>Kerosene for use as fuel in an aircraft</v>
      </c>
      <c r="F29" s="180" cm="1">
        <f t="array" ref="F29">Common_InputFunctions.Utility_DisplayArrayInTable(Fuel_SourceData.Fuel_Scope1Scope3EmissionFactorsTransport_Data(), Table_Fuel_EFs_Transport[[#Headers],[Transport type]], 0)</f>
        <v>36.799999999999997</v>
      </c>
      <c r="G29" s="180" t="str" cm="1">
        <f t="array" ref="G29">Common_InputFunctions.Utility_DisplayArrayInTable(Fuel_SourceData.Fuel_Scope1Scope3EmissionFactorsTransport_Data(), Table_Fuel_EFs_Transport[[#Headers],[Transport type]], 0)</f>
        <v>kl</v>
      </c>
      <c r="H29" s="180" cm="1">
        <f t="array" ref="H29">Common_InputFunctions.Utility_DisplayArrayInTable(Fuel_SourceData.Fuel_Scope1Scope3EmissionFactorsTransport_Data(), Table_Fuel_EFs_Transport[[#Headers],[Transport type]], 0)</f>
        <v>69.599999999999994</v>
      </c>
      <c r="I29" s="180" cm="1">
        <f t="array" ref="I29">Common_InputFunctions.Utility_DisplayArrayInTable(Fuel_SourceData.Fuel_Scope1Scope3EmissionFactorsTransport_Data(), Table_Fuel_EFs_Transport[[#Headers],[Transport type]], 0)</f>
        <v>0.01</v>
      </c>
      <c r="J29" s="180" cm="1">
        <f t="array" ref="J29">Common_InputFunctions.Utility_DisplayArrayInTable(Fuel_SourceData.Fuel_Scope1Scope3EmissionFactorsTransport_Data(), Table_Fuel_EFs_Transport[[#Headers],[Transport type]], 0)</f>
        <v>0.6</v>
      </c>
      <c r="K29" s="180" cm="1">
        <f t="array" ref="K29">Common_InputFunctions.Utility_DisplayArrayInTable(Fuel_SourceData.Fuel_Scope1Scope3EmissionFactorsTransport_Data(), Table_Fuel_EFs_Transport[[#Headers],[Transport type]], 0)</f>
        <v>70.209999999999994</v>
      </c>
      <c r="L29" s="180" cm="1">
        <f t="array" ref="L29">Common_InputFunctions.Utility_DisplayArrayInTable(Fuel_SourceData.Fuel_Scope1Scope3EmissionFactorsTransport_Data(), Table_Fuel_EFs_Transport[[#Headers],[Transport type]], 0)</f>
        <v>18</v>
      </c>
    </row>
    <row r="30" spans="1:12" ht="20.100000000000001" customHeight="1" x14ac:dyDescent="0.2">
      <c r="A30" s="5" t="str">
        <f>HYPERLINK("#'4.1.1.5-6 Atmos Deposition'!A1", "4.1.1.5-6 Manure Atmos Dep")</f>
        <v>4.1.1.5-6 Manure Atmos Dep</v>
      </c>
      <c r="D30" s="180" t="str" cm="1">
        <f t="array" ref="D30">Common_InputFunctions.Utility_DisplayArrayInTable(Fuel_SourceData.Fuel_Scope1Scope3EmissionFactorsTransport_Data(), Table_Fuel_EFs_Transport[[#Headers],[Transport type]], 0)</f>
        <v>Aviation</v>
      </c>
      <c r="E30" s="180" t="str" cm="1">
        <f t="array" ref="E30">Common_InputFunctions.Utility_DisplayArrayInTable(Fuel_SourceData.Fuel_Scope1Scope3EmissionFactorsTransport_Data(), Table_Fuel_EFs_Transport[[#Headers],[Transport type]], 0)</f>
        <v>Renewable aviation kerosene</v>
      </c>
      <c r="F30" s="180" cm="1">
        <f t="array" ref="F30">Common_InputFunctions.Utility_DisplayArrayInTable(Fuel_SourceData.Fuel_Scope1Scope3EmissionFactorsTransport_Data(), Table_Fuel_EFs_Transport[[#Headers],[Transport type]], 0)</f>
        <v>36.799999999999997</v>
      </c>
      <c r="G30" s="180" t="str" cm="1">
        <f t="array" ref="G30">Common_InputFunctions.Utility_DisplayArrayInTable(Fuel_SourceData.Fuel_Scope1Scope3EmissionFactorsTransport_Data(), Table_Fuel_EFs_Transport[[#Headers],[Transport type]], 0)</f>
        <v>kl</v>
      </c>
      <c r="H30" s="180" cm="1">
        <f t="array" ref="H30">Common_InputFunctions.Utility_DisplayArrayInTable(Fuel_SourceData.Fuel_Scope1Scope3EmissionFactorsTransport_Data(), Table_Fuel_EFs_Transport[[#Headers],[Transport type]], 0)</f>
        <v>0</v>
      </c>
      <c r="I30" s="180" cm="1">
        <f t="array" ref="I30">Common_InputFunctions.Utility_DisplayArrayInTable(Fuel_SourceData.Fuel_Scope1Scope3EmissionFactorsTransport_Data(), Table_Fuel_EFs_Transport[[#Headers],[Transport type]], 0)</f>
        <v>0.01</v>
      </c>
      <c r="J30" s="180" cm="1">
        <f t="array" ref="J30">Common_InputFunctions.Utility_DisplayArrayInTable(Fuel_SourceData.Fuel_Scope1Scope3EmissionFactorsTransport_Data(), Table_Fuel_EFs_Transport[[#Headers],[Transport type]], 0)</f>
        <v>0.6</v>
      </c>
      <c r="K30" s="180" cm="1">
        <f t="array" ref="K30">Common_InputFunctions.Utility_DisplayArrayInTable(Fuel_SourceData.Fuel_Scope1Scope3EmissionFactorsTransport_Data(), Table_Fuel_EFs_Transport[[#Headers],[Transport type]], 0)</f>
        <v>0.61</v>
      </c>
      <c r="L30" s="180" t="str" cm="1">
        <f t="array" ref="L30">Common_InputFunctions.Utility_DisplayArrayInTable(Fuel_SourceData.Fuel_Scope1Scope3EmissionFactorsTransport_Data(), Table_Fuel_EFs_Transport[[#Headers],[Transport type]], 0)</f>
        <v>NE</v>
      </c>
    </row>
    <row r="31" spans="1:12" ht="20.100000000000001" customHeight="1" x14ac:dyDescent="0.2">
      <c r="A31" s="5" t="str">
        <f>HYPERLINK("#'4.1.1.9 Manure applied to soils'!A1", "4.1.1.9 Manure applied to soils")</f>
        <v>4.1.1.9 Manure applied to soils</v>
      </c>
      <c r="D31" s="180" t="str" cm="1">
        <f t="array" ref="D31">Common_InputFunctions.Utility_DisplayArrayInTable(Fuel_SourceData.Fuel_Scope1Scope3EmissionFactorsTransport_Data(), Table_Fuel_EFs_Transport[[#Headers],[Transport type]], 0)</f>
        <v>Vessels</v>
      </c>
      <c r="E31" s="180" t="str" cm="1">
        <f t="array" ref="E31">Common_InputFunctions.Utility_DisplayArrayInTable(Fuel_SourceData.Fuel_Scope1Scope3EmissionFactorsTransport_Data(), Table_Fuel_EFs_Transport[[#Headers],[Transport type]], 0)</f>
        <v>Gasoline</v>
      </c>
      <c r="F31" s="180" cm="1">
        <f t="array" ref="F31">Common_InputFunctions.Utility_DisplayArrayInTable(Fuel_SourceData.Fuel_Scope1Scope3EmissionFactorsTransport_Data(), Table_Fuel_EFs_Transport[[#Headers],[Transport type]], 0)</f>
        <v>34.200000000000003</v>
      </c>
      <c r="G31" s="180" t="str" cm="1">
        <f t="array" ref="G31">Common_InputFunctions.Utility_DisplayArrayInTable(Fuel_SourceData.Fuel_Scope1Scope3EmissionFactorsTransport_Data(), Table_Fuel_EFs_Transport[[#Headers],[Transport type]], 0)</f>
        <v>kL</v>
      </c>
      <c r="H31" s="180" cm="1">
        <f t="array" ref="H31">Common_InputFunctions.Utility_DisplayArrayInTable(Fuel_SourceData.Fuel_Scope1Scope3EmissionFactorsTransport_Data(), Table_Fuel_EFs_Transport[[#Headers],[Transport type]], 0)</f>
        <v>67.400000000000006</v>
      </c>
      <c r="I31" s="180" cm="1">
        <f t="array" ref="I31">Common_InputFunctions.Utility_DisplayArrayInTable(Fuel_SourceData.Fuel_Scope1Scope3EmissionFactorsTransport_Data(), Table_Fuel_EFs_Transport[[#Headers],[Transport type]], 0)</f>
        <v>10.1</v>
      </c>
      <c r="J31" s="180" cm="1">
        <f t="array" ref="J31">Common_InputFunctions.Utility_DisplayArrayInTable(Fuel_SourceData.Fuel_Scope1Scope3EmissionFactorsTransport_Data(), Table_Fuel_EFs_Transport[[#Headers],[Transport type]], 0)</f>
        <v>0.3</v>
      </c>
      <c r="K31" s="180" t="str" cm="1">
        <f t="array" ref="K31">Common_InputFunctions.Utility_DisplayArrayInTable(Fuel_SourceData.Fuel_Scope1Scope3EmissionFactorsTransport_Data(), Table_Fuel_EFs_Transport[[#Headers],[Transport type]], 0)</f>
        <v/>
      </c>
      <c r="L31" s="180" cm="1">
        <f t="array" ref="L31">Common_InputFunctions.Utility_DisplayArrayInTable(Fuel_SourceData.Fuel_Scope1Scope3EmissionFactorsTransport_Data(), Table_Fuel_EFs_Transport[[#Headers],[Transport type]], 0)</f>
        <v>17.2</v>
      </c>
    </row>
    <row r="32" spans="1:12" ht="20.100000000000001" customHeight="1" x14ac:dyDescent="0.2">
      <c r="A32" s="5" t="str">
        <f>HYPERLINK("#'8.1.1.1-2 Transport fuel'!A1", "8.1.1.1-2 Transport fuel")</f>
        <v>8.1.1.1-2 Transport fuel</v>
      </c>
      <c r="D32" s="181" t="str" cm="1">
        <f t="array" ref="D32">Common_InputFunctions.Utility_DisplayArrayInTable(Fuel_SourceData.Fuel_Scope1Scope3EmissionFactorsTransport_Data(), Table_Fuel_EFs_Transport[[#Headers],[Transport type]], 0)</f>
        <v>Vessels</v>
      </c>
      <c r="E32" s="181" t="str" cm="1">
        <f t="array" ref="E32">Common_InputFunctions.Utility_DisplayArrayInTable(Fuel_SourceData.Fuel_Scope1Scope3EmissionFactorsTransport_Data(), Table_Fuel_EFs_Transport[[#Headers],[Transport type]], 0)</f>
        <v>Diesel oil</v>
      </c>
      <c r="F32" s="181" cm="1">
        <f t="array" ref="F32">Common_InputFunctions.Utility_DisplayArrayInTable(Fuel_SourceData.Fuel_Scope1Scope3EmissionFactorsTransport_Data(), Table_Fuel_EFs_Transport[[#Headers],[Transport type]], 0)</f>
        <v>38.6</v>
      </c>
      <c r="G32" s="181" t="str" cm="1">
        <f t="array" ref="G32">Common_InputFunctions.Utility_DisplayArrayInTable(Fuel_SourceData.Fuel_Scope1Scope3EmissionFactorsTransport_Data(), Table_Fuel_EFs_Transport[[#Headers],[Transport type]], 0)</f>
        <v>kL</v>
      </c>
      <c r="H32" s="181" cm="1">
        <f t="array" ref="H32">Common_InputFunctions.Utility_DisplayArrayInTable(Fuel_SourceData.Fuel_Scope1Scope3EmissionFactorsTransport_Data(), Table_Fuel_EFs_Transport[[#Headers],[Transport type]], 0)</f>
        <v>69.900000000000006</v>
      </c>
      <c r="I32" s="181" cm="1">
        <f t="array" ref="I32">Common_InputFunctions.Utility_DisplayArrayInTable(Fuel_SourceData.Fuel_Scope1Scope3EmissionFactorsTransport_Data(), Table_Fuel_EFs_Transport[[#Headers],[Transport type]], 0)</f>
        <v>0.2</v>
      </c>
      <c r="J32" s="181" cm="1">
        <f t="array" ref="J32">Common_InputFunctions.Utility_DisplayArrayInTable(Fuel_SourceData.Fuel_Scope1Scope3EmissionFactorsTransport_Data(), Table_Fuel_EFs_Transport[[#Headers],[Transport type]], 0)</f>
        <v>0.5</v>
      </c>
      <c r="K32" s="181" t="str" cm="1">
        <f t="array" ref="K32">Common_InputFunctions.Utility_DisplayArrayInTable(Fuel_SourceData.Fuel_Scope1Scope3EmissionFactorsTransport_Data(), Table_Fuel_EFs_Transport[[#Headers],[Transport type]], 0)</f>
        <v/>
      </c>
      <c r="L32" s="181" cm="1">
        <f t="array" ref="L32">Common_InputFunctions.Utility_DisplayArrayInTable(Fuel_SourceData.Fuel_Scope1Scope3EmissionFactorsTransport_Data(), Table_Fuel_EFs_Transport[[#Headers],[Transport type]], 0)</f>
        <v>17.3</v>
      </c>
    </row>
    <row r="33" spans="1:12" ht="20.100000000000001" customHeight="1" x14ac:dyDescent="0.2">
      <c r="A33" s="5" t="str">
        <f>HYPERLINK("#'8.2.1.1-2 Stationary fuel'!A1", "8.2.1.1-2 Stationary fuel")</f>
        <v>8.2.1.1-2 Stationary fuel</v>
      </c>
      <c r="D33" s="181" t="str" cm="1">
        <f t="array" ref="D33">Common_InputFunctions.Utility_DisplayArrayInTable(Fuel_SourceData.Fuel_Scope1Scope3EmissionFactorsTransport_Data(), Table_Fuel_EFs_Transport[[#Headers],[Transport type]], 0)</f>
        <v>Vessels</v>
      </c>
      <c r="E33" s="181" t="str" cm="1">
        <f t="array" ref="E33">Common_InputFunctions.Utility_DisplayArrayInTable(Fuel_SourceData.Fuel_Scope1Scope3EmissionFactorsTransport_Data(), Table_Fuel_EFs_Transport[[#Headers],[Transport type]], 0)</f>
        <v>Fuel Oil</v>
      </c>
      <c r="F33" s="181" cm="1">
        <f t="array" ref="F33">Common_InputFunctions.Utility_DisplayArrayInTable(Fuel_SourceData.Fuel_Scope1Scope3EmissionFactorsTransport_Data(), Table_Fuel_EFs_Transport[[#Headers],[Transport type]], 0)</f>
        <v>39.700000000000003</v>
      </c>
      <c r="G33" s="181" t="str" cm="1">
        <f t="array" ref="G33">Common_InputFunctions.Utility_DisplayArrayInTable(Fuel_SourceData.Fuel_Scope1Scope3EmissionFactorsTransport_Data(), Table_Fuel_EFs_Transport[[#Headers],[Transport type]], 0)</f>
        <v>kL</v>
      </c>
      <c r="H33" s="181" cm="1">
        <f t="array" ref="H33">Common_InputFunctions.Utility_DisplayArrayInTable(Fuel_SourceData.Fuel_Scope1Scope3EmissionFactorsTransport_Data(), Table_Fuel_EFs_Transport[[#Headers],[Transport type]], 0)</f>
        <v>73.599999999999994</v>
      </c>
      <c r="I33" s="181" cm="1">
        <f t="array" ref="I33">Common_InputFunctions.Utility_DisplayArrayInTable(Fuel_SourceData.Fuel_Scope1Scope3EmissionFactorsTransport_Data(), Table_Fuel_EFs_Transport[[#Headers],[Transport type]], 0)</f>
        <v>0.2</v>
      </c>
      <c r="J33" s="181" cm="1">
        <f t="array" ref="J33">Common_InputFunctions.Utility_DisplayArrayInTable(Fuel_SourceData.Fuel_Scope1Scope3EmissionFactorsTransport_Data(), Table_Fuel_EFs_Transport[[#Headers],[Transport type]], 0)</f>
        <v>0.5</v>
      </c>
      <c r="K33" s="181" t="str" cm="1">
        <f t="array" ref="K33">Common_InputFunctions.Utility_DisplayArrayInTable(Fuel_SourceData.Fuel_Scope1Scope3EmissionFactorsTransport_Data(), Table_Fuel_EFs_Transport[[#Headers],[Transport type]], 0)</f>
        <v/>
      </c>
      <c r="L33" s="181" cm="1">
        <f t="array" ref="L33">Common_InputFunctions.Utility_DisplayArrayInTable(Fuel_SourceData.Fuel_Scope1Scope3EmissionFactorsTransport_Data(), Table_Fuel_EFs_Transport[[#Headers],[Transport type]], 0)</f>
        <v>18</v>
      </c>
    </row>
    <row r="34" spans="1:12" ht="20.100000000000001" customHeight="1" x14ac:dyDescent="0.2">
      <c r="A34" s="5" t="str">
        <f>HYPERLINK("#'10.1.1-2 Solid waste treatment'!A1", "10.1.1.1-2 Solid waste")</f>
        <v>10.1.1.1-2 Solid waste</v>
      </c>
      <c r="D34" s="181" t="str" cm="1">
        <f t="array" ref="D34">Common_InputFunctions.Utility_DisplayArrayInTable(Fuel_SourceData.Fuel_Scope1Scope3EmissionFactorsTransport_Data(), Table_Fuel_EFs_Transport[[#Headers],[Transport type]], 0)</f>
        <v>Off-road Agriculture and forestry equipment</v>
      </c>
      <c r="E34" s="181" t="str" cm="1">
        <f t="array" ref="E34">Common_InputFunctions.Utility_DisplayArrayInTable(Fuel_SourceData.Fuel_Scope1Scope3EmissionFactorsTransport_Data(), Table_Fuel_EFs_Transport[[#Headers],[Transport type]], 0)</f>
        <v>Diesel oil</v>
      </c>
      <c r="F34" s="181" cm="1">
        <f t="array" ref="F34">Common_InputFunctions.Utility_DisplayArrayInTable(Fuel_SourceData.Fuel_Scope1Scope3EmissionFactorsTransport_Data(), Table_Fuel_EFs_Transport[[#Headers],[Transport type]], 0)</f>
        <v>38.6</v>
      </c>
      <c r="G34" s="181" t="str" cm="1">
        <f t="array" ref="G34">Common_InputFunctions.Utility_DisplayArrayInTable(Fuel_SourceData.Fuel_Scope1Scope3EmissionFactorsTransport_Data(), Table_Fuel_EFs_Transport[[#Headers],[Transport type]], 0)</f>
        <v>kL</v>
      </c>
      <c r="H34" s="181" cm="1">
        <f t="array" ref="H34">Common_InputFunctions.Utility_DisplayArrayInTable(Fuel_SourceData.Fuel_Scope1Scope3EmissionFactorsTransport_Data(), Table_Fuel_EFs_Transport[[#Headers],[Transport type]], 0)</f>
        <v>69.900000000000006</v>
      </c>
      <c r="I34" s="181" cm="1">
        <f t="array" ref="I34">Common_InputFunctions.Utility_DisplayArrayInTable(Fuel_SourceData.Fuel_Scope1Scope3EmissionFactorsTransport_Data(), Table_Fuel_EFs_Transport[[#Headers],[Transport type]], 0)</f>
        <v>0.3</v>
      </c>
      <c r="J34" s="181" cm="1">
        <f t="array" ref="J34">Common_InputFunctions.Utility_DisplayArrayInTable(Fuel_SourceData.Fuel_Scope1Scope3EmissionFactorsTransport_Data(), Table_Fuel_EFs_Transport[[#Headers],[Transport type]], 0)</f>
        <v>0.5</v>
      </c>
      <c r="K34" s="181" t="str" cm="1">
        <f t="array" ref="K34">Common_InputFunctions.Utility_DisplayArrayInTable(Fuel_SourceData.Fuel_Scope1Scope3EmissionFactorsTransport_Data(), Table_Fuel_EFs_Transport[[#Headers],[Transport type]], 0)</f>
        <v/>
      </c>
      <c r="L34" s="181" cm="1">
        <f t="array" ref="L34">Common_InputFunctions.Utility_DisplayArrayInTable(Fuel_SourceData.Fuel_Scope1Scope3EmissionFactorsTransport_Data(), Table_Fuel_EFs_Transport[[#Headers],[Transport type]], 0)</f>
        <v>17.3</v>
      </c>
    </row>
    <row r="35" spans="1:12" ht="20.100000000000001" customHeight="1" x14ac:dyDescent="0.2">
      <c r="A35" s="5" t="str">
        <f>HYPERLINK("#'14.1.1-2 Purchased electricity'!A1", "14.1.1-2 Purchased electricity")</f>
        <v>14.1.1-2 Purchased electricity</v>
      </c>
    </row>
    <row r="36" spans="1:12" ht="20.100000000000001" customHeight="1" x14ac:dyDescent="0.2">
      <c r="A36" s="5" t="str">
        <f>HYPERLINK("#'15 Scope 3'!A1", "15 Scope 3")</f>
        <v>15 Scope 3</v>
      </c>
    </row>
    <row r="37" spans="1:12" ht="20.100000000000001" customHeight="1" x14ac:dyDescent="0.2">
      <c r="A37" s="5" t="str">
        <f>HYPERLINK("#'Calcs - Manure sent off-site'!A1", "Calcs - Manure sent off-site")</f>
        <v>Calcs - Manure sent off-site</v>
      </c>
      <c r="D37" s="2" t="str" cm="1">
        <f t="array" ref="D37">Fuel_SourceData.Fuel_Scope1Scope3EmissionFactorsTransportOffRoad_Title()</f>
        <v>Fuel scope 1 and 3 emission factors - Off-road equipment and vessels</v>
      </c>
    </row>
    <row r="38" spans="1:12" ht="20.100000000000001" customHeight="1" x14ac:dyDescent="0.2">
      <c r="A38" s="5" t="str">
        <f>HYPERLINK("#'5.1.1.1-2 Inorganic fert N2O'!A1", "5.1.1.1-2 Inorganic fert N2O")</f>
        <v>5.1.1.1-2 Inorganic fert N2O</v>
      </c>
      <c r="D38" s="17" t="str" cm="1">
        <f t="array" ref="D38">Fuel_SourceData.Fuel_Scope1Scope3EmissionFactorsTransportOffRoad_Source()</f>
        <v>VEERG 2026: Table A.4.2.1</v>
      </c>
    </row>
    <row r="39" spans="1:12" ht="20.100000000000001" customHeight="1" x14ac:dyDescent="0.2">
      <c r="A39" s="5" t="str">
        <f>HYPERLINK("#'5.1.1.3-4 Inorganic fert CO2'!A1", "5.1.1.3-4 Inorganic fert CO2")</f>
        <v>5.1.1.3-4 Inorganic fert CO2</v>
      </c>
      <c r="D39" s="19" t="s">
        <v>638</v>
      </c>
      <c r="E39" s="19" t="s">
        <v>639</v>
      </c>
      <c r="F39" s="19" t="s">
        <v>640</v>
      </c>
      <c r="G39" s="19" t="s">
        <v>641</v>
      </c>
      <c r="H39" s="19" t="s">
        <v>642</v>
      </c>
      <c r="I39" s="19" t="s">
        <v>643</v>
      </c>
      <c r="J39" s="19" t="s">
        <v>644</v>
      </c>
    </row>
    <row r="40" spans="1:12" ht="20.100000000000001" customHeight="1" x14ac:dyDescent="0.2">
      <c r="A40" s="5" t="str">
        <f>HYPERLINK("#'5.2.1.1-2 Organic Fert N2O'!A1", "5.2.1.1-2 Organic Fert N2O")</f>
        <v>5.2.1.1-2 Organic Fert N2O</v>
      </c>
      <c r="D40" s="19" t="str" cm="1">
        <f t="array" ref="D40">Common_InputFunctions.Utility_DisplayArrayInTable(Fuel_SourceData.Fuel_Scope1Scope3EmissionFactorsTransportOffRoad_Data(), Table_SourceData_Fuel_TransportOffroad[[#Headers],[Transport type t]],0)</f>
        <v>Vessel</v>
      </c>
      <c r="E40" s="19" t="str" cm="1">
        <f t="array" ref="E40">Common_InputFunctions.Utility_DisplayArrayInTable(Fuel_SourceData.Fuel_Scope1Scope3EmissionFactorsTransportOffRoad_Data(), Table_SourceData_Fuel_TransportOffroad[[#Headers],[Transport type t]],0)</f>
        <v>Petrol</v>
      </c>
      <c r="F40" s="19" cm="1">
        <f t="array" ref="F40">Common_InputFunctions.Utility_DisplayArrayInTable(Fuel_SourceData.Fuel_Scope1Scope3EmissionFactorsTransportOffRoad_Data(), Table_SourceData_Fuel_TransportOffroad[[#Headers],[Transport type t]],0)</f>
        <v>34.200000000000003</v>
      </c>
      <c r="G40" s="19" cm="1">
        <f t="array" ref="G40">Common_InputFunctions.Utility_DisplayArrayInTable(Fuel_SourceData.Fuel_Scope1Scope3EmissionFactorsTransportOffRoad_Data(), Table_SourceData_Fuel_TransportOffroad[[#Headers],[Transport type t]],0)</f>
        <v>67.400000000000006</v>
      </c>
      <c r="H40" s="19" cm="1">
        <f t="array" ref="H40">Common_InputFunctions.Utility_DisplayArrayInTable(Fuel_SourceData.Fuel_Scope1Scope3EmissionFactorsTransportOffRoad_Data(), Table_SourceData_Fuel_TransportOffroad[[#Headers],[Transport type t]],0)</f>
        <v>10.1</v>
      </c>
      <c r="I40" s="19" cm="1">
        <f t="array" ref="I40">Common_InputFunctions.Utility_DisplayArrayInTable(Fuel_SourceData.Fuel_Scope1Scope3EmissionFactorsTransportOffRoad_Data(), Table_SourceData_Fuel_TransportOffroad[[#Headers],[Transport type t]],0)</f>
        <v>0.3</v>
      </c>
      <c r="J40" s="19"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
      <c r="A41" s="5" t="str">
        <f>HYPERLINK("#'5.3.1.1-2 Lime CO2'!A1", "5.3.1.1-2 Lime CO2")</f>
        <v>5.3.1.1-2 Lime CO2</v>
      </c>
      <c r="D41" s="1" t="str" cm="1">
        <f t="array" ref="D41">Common_InputFunctions.Utility_DisplayArrayInTable(Fuel_SourceData.Fuel_Scope1Scope3EmissionFactorsTransportOffRoad_Data(), Table_SourceData_Fuel_TransportOffroad[[#Headers],[Transport type t]],0)</f>
        <v>Vessel</v>
      </c>
      <c r="E41" s="19" t="str" cm="1">
        <f t="array" ref="E41">Common_InputFunctions.Utility_DisplayArrayInTable(Fuel_SourceData.Fuel_Scope1Scope3EmissionFactorsTransportOffRoad_Data(), Table_SourceData_Fuel_TransportOffroad[[#Headers],[Transport type t]],0)</f>
        <v>Diesel</v>
      </c>
      <c r="F41" s="19" cm="1">
        <f t="array" ref="F41">Common_InputFunctions.Utility_DisplayArrayInTable(Fuel_SourceData.Fuel_Scope1Scope3EmissionFactorsTransportOffRoad_Data(), Table_SourceData_Fuel_TransportOffroad[[#Headers],[Transport type t]],0)</f>
        <v>38.6</v>
      </c>
      <c r="G41" s="19" cm="1">
        <f t="array" ref="G41">Common_InputFunctions.Utility_DisplayArrayInTable(Fuel_SourceData.Fuel_Scope1Scope3EmissionFactorsTransportOffRoad_Data(), Table_SourceData_Fuel_TransportOffroad[[#Headers],[Transport type t]],0)</f>
        <v>69.900000000000006</v>
      </c>
      <c r="H41" s="19" cm="1">
        <f t="array" ref="H41">Common_InputFunctions.Utility_DisplayArrayInTable(Fuel_SourceData.Fuel_Scope1Scope3EmissionFactorsTransportOffRoad_Data(), Table_SourceData_Fuel_TransportOffroad[[#Headers],[Transport type t]],0)</f>
        <v>0.2</v>
      </c>
      <c r="I41" s="19" cm="1">
        <f t="array" ref="I41">Common_InputFunctions.Utility_DisplayArrayInTable(Fuel_SourceData.Fuel_Scope1Scope3EmissionFactorsTransportOffRoad_Data(), Table_SourceData_Fuel_TransportOffroad[[#Headers],[Transport type t]],0)</f>
        <v>0.5</v>
      </c>
      <c r="J41" s="19"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
      <c r="A42" s="5" t="str">
        <f>HYPERLINK("#'5.4.1.1-4 Atmos deposition'!A1", "5.4.1.1-4 Atmos deposition")</f>
        <v>5.4.1.1-4 Atmos deposition</v>
      </c>
      <c r="D42" s="1" t="str" cm="1">
        <f t="array" ref="D42">Common_InputFunctions.Utility_DisplayArrayInTable(Fuel_SourceData.Fuel_Scope1Scope3EmissionFactorsTransportOffRoad_Data(), Table_SourceData_Fuel_TransportOffroad[[#Headers],[Transport type t]],0)</f>
        <v>Vessel</v>
      </c>
      <c r="E42" s="19" t="str" cm="1">
        <f t="array" ref="E42">Common_InputFunctions.Utility_DisplayArrayInTable(Fuel_SourceData.Fuel_Scope1Scope3EmissionFactorsTransportOffRoad_Data(), Table_SourceData_Fuel_TransportOffroad[[#Headers],[Transport type t]],0)</f>
        <v>Fuel Oil</v>
      </c>
      <c r="F42" s="19" cm="1">
        <f t="array" ref="F42">Common_InputFunctions.Utility_DisplayArrayInTable(Fuel_SourceData.Fuel_Scope1Scope3EmissionFactorsTransportOffRoad_Data(), Table_SourceData_Fuel_TransportOffroad[[#Headers],[Transport type t]],0)</f>
        <v>39.700000000000003</v>
      </c>
      <c r="G42" s="19" cm="1">
        <f t="array" ref="G42">Common_InputFunctions.Utility_DisplayArrayInTable(Fuel_SourceData.Fuel_Scope1Scope3EmissionFactorsTransportOffRoad_Data(), Table_SourceData_Fuel_TransportOffroad[[#Headers],[Transport type t]],0)</f>
        <v>73.599999999999994</v>
      </c>
      <c r="H42" s="19" cm="1">
        <f t="array" ref="H42">Common_InputFunctions.Utility_DisplayArrayInTable(Fuel_SourceData.Fuel_Scope1Scope3EmissionFactorsTransportOffRoad_Data(), Table_SourceData_Fuel_TransportOffroad[[#Headers],[Transport type t]],0)</f>
        <v>0.2</v>
      </c>
      <c r="I42" s="19" cm="1">
        <f t="array" ref="I42">Common_InputFunctions.Utility_DisplayArrayInTable(Fuel_SourceData.Fuel_Scope1Scope3EmissionFactorsTransportOffRoad_Data(), Table_SourceData_Fuel_TransportOffroad[[#Headers],[Transport type t]],0)</f>
        <v>0.5</v>
      </c>
      <c r="J42" s="19" cm="1">
        <f t="array" ref="J42">Common_InputFunctions.Utility_DisplayArrayInTable(Fuel_SourceData.Fuel_Scope1Scope3EmissionFactorsTransportOffRoad_Data(), Table_SourceData_Fuel_TransportOffroad[[#Headers],[Transport type t]],0)</f>
        <v>18</v>
      </c>
    </row>
    <row r="43" spans="1:12" ht="20.100000000000001" customHeight="1" x14ac:dyDescent="0.2">
      <c r="A43" s="5" t="str">
        <f>HYPERLINK("#'5.5.1.1-2 Leaching and runoff'!A1", "5.5.1.1-2 Leaching and runoff")</f>
        <v>5.5.1.1-2 Leaching and runoff</v>
      </c>
      <c r="D43" s="1" t="str" cm="1">
        <f t="array" ref="D43">Common_InputFunctions.Utility_DisplayArrayInTable(Fuel_SourceData.Fuel_Scope1Scope3EmissionFactorsTransportOffRoad_Data(), Table_SourceData_Fuel_TransportOffroad[[#Headers],[Transport type t]],0)</f>
        <v>Off-road Agriculture and forestry equipment</v>
      </c>
      <c r="E43" s="19" t="str" cm="1">
        <f t="array" ref="E43">Common_InputFunctions.Utility_DisplayArrayInTable(Fuel_SourceData.Fuel_Scope1Scope3EmissionFactorsTransportOffRoad_Data(), Table_SourceData_Fuel_TransportOffroad[[#Headers],[Transport type t]],0)</f>
        <v>Diesel</v>
      </c>
      <c r="F43" s="19" cm="1">
        <f t="array" ref="F43">Common_InputFunctions.Utility_DisplayArrayInTable(Fuel_SourceData.Fuel_Scope1Scope3EmissionFactorsTransportOffRoad_Data(), Table_SourceData_Fuel_TransportOffroad[[#Headers],[Transport type t]],0)</f>
        <v>38.6</v>
      </c>
      <c r="G43" s="19" cm="1">
        <f t="array" ref="G43">Common_InputFunctions.Utility_DisplayArrayInTable(Fuel_SourceData.Fuel_Scope1Scope3EmissionFactorsTransportOffRoad_Data(), Table_SourceData_Fuel_TransportOffroad[[#Headers],[Transport type t]],0)</f>
        <v>69.900000000000006</v>
      </c>
      <c r="H43" s="19" cm="1">
        <f t="array" ref="H43">Common_InputFunctions.Utility_DisplayArrayInTable(Fuel_SourceData.Fuel_Scope1Scope3EmissionFactorsTransportOffRoad_Data(), Table_SourceData_Fuel_TransportOffroad[[#Headers],[Transport type t]],0)</f>
        <v>0.3</v>
      </c>
      <c r="I43" s="19" cm="1">
        <f t="array" ref="I43">Common_InputFunctions.Utility_DisplayArrayInTable(Fuel_SourceData.Fuel_Scope1Scope3EmissionFactorsTransportOffRoad_Data(), Table_SourceData_Fuel_TransportOffroad[[#Headers],[Transport type t]],0)</f>
        <v>0.5</v>
      </c>
      <c r="J43" s="19" cm="1">
        <f t="array" ref="J43">Common_InputFunctions.Utility_DisplayArrayInTable(Fuel_SourceData.Fuel_Scope1Scope3EmissionFactorsTransportOffRoad_Data(), Table_SourceData_Fuel_TransportOffroad[[#Headers],[Transport type t]],0)</f>
        <v>17.3</v>
      </c>
    </row>
    <row r="46" spans="1:12" ht="20.100000000000001" customHeight="1" x14ac:dyDescent="0.2">
      <c r="A46" s="80" t="s">
        <v>1</v>
      </c>
    </row>
    <row r="47" spans="1:12" ht="20.100000000000001" customHeight="1" x14ac:dyDescent="0.2">
      <c r="A47" s="5" t="str">
        <f>HYPERLINK("#'Constants - Feedlot'!A1", "Constants - Feedlot")</f>
        <v>Constants - Feedlot</v>
      </c>
    </row>
    <row r="48" spans="1:12" ht="20.100000000000001" customHeight="1" x14ac:dyDescent="0.2">
      <c r="A48" s="5" t="str">
        <f>HYPERLINK("#'Constants - Common livestock'!A1", "Constants - Common Livestock")</f>
        <v>Constants - Common Livestock</v>
      </c>
    </row>
    <row r="49" spans="1:12" ht="20.100000000000001" customHeight="1" x14ac:dyDescent="0.2">
      <c r="A49" s="5" t="str">
        <f>HYPERLINK("#'Constants - Electricity'!A1", "Constants - Electricity")</f>
        <v>Constants - Electricity</v>
      </c>
      <c r="D49" s="2" t="str" cm="1">
        <f t="array" ref="D49">Fuel_SourceData.Fuel_Scope1Scope3EmissionFactorsStationaryLiquid_Title()</f>
        <v>Fuel scope 1 and 3 emission factors - Stationary liquid fuels</v>
      </c>
      <c r="E49" s="152"/>
      <c r="F49" s="152"/>
      <c r="G49" s="152"/>
      <c r="H49" s="152"/>
      <c r="I49" s="152"/>
      <c r="J49" s="152"/>
      <c r="K49" s="152"/>
      <c r="L49" s="152"/>
    </row>
    <row r="50" spans="1:12" ht="20.100000000000001" customHeight="1" x14ac:dyDescent="0.2">
      <c r="A50" s="5" t="str">
        <f>HYPERLINK("#'Constants - Fertiliser'!A1", "Constants - Fertiliser")</f>
        <v>Constants - Fertiliser</v>
      </c>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52"/>
      <c r="F50" s="152"/>
      <c r="G50" s="152"/>
      <c r="H50" s="152"/>
      <c r="I50" s="152"/>
      <c r="J50" s="152"/>
      <c r="K50" s="152"/>
      <c r="L50" s="152"/>
    </row>
    <row r="51" spans="1:12" ht="20.100000000000001" customHeight="1" x14ac:dyDescent="0.2">
      <c r="A51" s="81" t="str">
        <f>HYPERLINK("#'Constants - Fuel'!A1", "Constants - Fuel")</f>
        <v>Constants - Fuel</v>
      </c>
      <c r="D51" s="17" t="str" cm="1">
        <f t="array" ref="D51">Fuel_SourceData.Fuel_Scope1Scope3EmissionFactorsStationaryLiquid_Source()</f>
        <v>Australian National Greenhouse Accounts Factors 2025 - Table 8</v>
      </c>
      <c r="E51" s="152"/>
      <c r="F51" s="152"/>
      <c r="G51" s="152"/>
      <c r="H51" s="152"/>
      <c r="I51" s="152"/>
      <c r="J51" s="152"/>
      <c r="K51" s="152"/>
      <c r="L51" s="152"/>
    </row>
    <row r="52" spans="1:12" ht="20.100000000000001" customHeight="1" x14ac:dyDescent="0.2">
      <c r="A52" s="5" t="str">
        <f>HYPERLINK("#'Constants - Scope 3'!A1", "Constants - Scope 3")</f>
        <v>Constants - Scope 3</v>
      </c>
      <c r="D52" s="25" t="str" cm="1">
        <f t="array" ref="D52">"⚠️" &amp; Fuel_SourceData.Fuel_Scope1Scope3EmissionFactorsStationaryLiquid_Variation()</f>
        <v>⚠️VARIATION OF SOURCE DATA: 'NE' values returned as zero for calculations.</v>
      </c>
      <c r="E52" s="152"/>
      <c r="F52" s="152"/>
      <c r="G52" s="152"/>
      <c r="H52" s="152"/>
      <c r="I52" s="152"/>
      <c r="J52" s="152"/>
      <c r="K52" s="152"/>
      <c r="L52" s="152"/>
    </row>
    <row r="53" spans="1:12" ht="20.100000000000001" customHeight="1" x14ac:dyDescent="0.2">
      <c r="A53" s="5" t="str">
        <f>HYPERLINK("#'Constants - Solid Waste'!A1", "Constants - Solid Waste")</f>
        <v>Constants - Solid Waste</v>
      </c>
      <c r="D53" s="145" t="s">
        <v>630</v>
      </c>
      <c r="E53" s="179" t="s">
        <v>631</v>
      </c>
      <c r="F53" s="145" t="s">
        <v>632</v>
      </c>
      <c r="G53" s="179" t="s">
        <v>633</v>
      </c>
      <c r="H53" s="179" t="s">
        <v>634</v>
      </c>
      <c r="I53" s="179" t="s">
        <v>635</v>
      </c>
      <c r="J53" s="179" t="s">
        <v>636</v>
      </c>
      <c r="K53" s="179" t="s">
        <v>637</v>
      </c>
      <c r="L53" s="152"/>
    </row>
    <row r="54" spans="1:12" ht="20.100000000000001" customHeight="1" x14ac:dyDescent="0.2">
      <c r="A54" s="5" t="str">
        <f>HYPERLINK("#'Constants - Common'!A1", "Constants - Common")</f>
        <v>Constants - Common</v>
      </c>
      <c r="D54" s="180"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80" cm="1">
        <f t="array" ref="E54">Common_InputFunctions.Utility_DisplayArrayInTable(Fuel_SourceData.Fuel_Scope1Scope3EmissionFactorsStationaryLiquid_Data(), Table_Fuel_EFs_StationaryLiquid[[#Headers],[Fuel combusted]],0)</f>
        <v>38.799999999999997</v>
      </c>
      <c r="F54" s="180" t="str" cm="1">
        <f t="array" ref="F54">Common_InputFunctions.Utility_DisplayArrayInTable(Fuel_SourceData.Fuel_Scope1Scope3EmissionFactorsStationaryLiquid_Data(), Table_Fuel_EFs_StationaryLiquid[[#Headers],[Fuel combusted]],0)</f>
        <v>kl</v>
      </c>
      <c r="G54" s="180" cm="1">
        <f t="array" ref="G54">Common_InputFunctions.Utility_DisplayArrayInTable(Fuel_SourceData.Fuel_Scope1Scope3EmissionFactorsStationaryLiquid_Data(), Table_Fuel_EFs_StationaryLiquid[[#Headers],[Fuel combusted]],0)</f>
        <v>13.9</v>
      </c>
      <c r="H54" s="180" cm="1">
        <f t="array" ref="H54">Common_InputFunctions.Utility_DisplayArrayInTable(Fuel_SourceData.Fuel_Scope1Scope3EmissionFactorsStationaryLiquid_Data(), Table_Fuel_EFs_StationaryLiquid[[#Headers],[Fuel combusted]],0)</f>
        <v>0</v>
      </c>
      <c r="I54" s="180" cm="1">
        <f t="array" ref="I54">Common_InputFunctions.Utility_DisplayArrayInTable(Fuel_SourceData.Fuel_Scope1Scope3EmissionFactorsStationaryLiquid_Data(), Table_Fuel_EFs_StationaryLiquid[[#Headers],[Fuel combusted]],0)</f>
        <v>0</v>
      </c>
      <c r="J54" s="180" cm="1">
        <f t="array" ref="J54">Common_InputFunctions.Utility_DisplayArrayInTable(Fuel_SourceData.Fuel_Scope1Scope3EmissionFactorsStationaryLiquid_Data(), Table_Fuel_EFs_StationaryLiquid[[#Headers],[Fuel combusted]],0)</f>
        <v>13.9</v>
      </c>
      <c r="K54" s="180" cm="1">
        <f t="array" ref="K54">Common_InputFunctions.Utility_DisplayArrayInTable(Fuel_SourceData.Fuel_Scope1Scope3EmissionFactorsStationaryLiquid_Data(), Table_Fuel_EFs_StationaryLiquid[[#Headers],[Fuel combusted]],0)</f>
        <v>18</v>
      </c>
      <c r="L54" s="152"/>
    </row>
    <row r="55" spans="1:12" ht="20.100000000000001" customHeight="1" x14ac:dyDescent="0.2">
      <c r="A55" s="5" t="str">
        <f>HYPERLINK("#'Acknowledgements'!A1", "Acknowledgements")</f>
        <v>Acknowledgements</v>
      </c>
      <c r="D55" s="180" t="str" cm="1">
        <f t="array" ref="D55">Common_InputFunctions.Utility_DisplayArrayInTable(Fuel_SourceData.Fuel_Scope1Scope3EmissionFactorsStationaryLiquid_Data(), Table_Fuel_EFs_StationaryLiquid[[#Headers],[Fuel combusted]],0)</f>
        <v>Petroleum based greases</v>
      </c>
      <c r="E55" s="180" cm="1">
        <f t="array" ref="E55">Common_InputFunctions.Utility_DisplayArrayInTable(Fuel_SourceData.Fuel_Scope1Scope3EmissionFactorsStationaryLiquid_Data(), Table_Fuel_EFs_StationaryLiquid[[#Headers],[Fuel combusted]],0)</f>
        <v>38.799999999999997</v>
      </c>
      <c r="F55" s="180" t="str" cm="1">
        <f t="array" ref="F55">Common_InputFunctions.Utility_DisplayArrayInTable(Fuel_SourceData.Fuel_Scope1Scope3EmissionFactorsStationaryLiquid_Data(), Table_Fuel_EFs_StationaryLiquid[[#Headers],[Fuel combusted]],0)</f>
        <v>kl</v>
      </c>
      <c r="G55" s="180" cm="1">
        <f t="array" ref="G55">Common_InputFunctions.Utility_DisplayArrayInTable(Fuel_SourceData.Fuel_Scope1Scope3EmissionFactorsStationaryLiquid_Data(), Table_Fuel_EFs_StationaryLiquid[[#Headers],[Fuel combusted]],0)</f>
        <v>3.5</v>
      </c>
      <c r="H55" s="180" cm="1">
        <f t="array" ref="H55">Common_InputFunctions.Utility_DisplayArrayInTable(Fuel_SourceData.Fuel_Scope1Scope3EmissionFactorsStationaryLiquid_Data(), Table_Fuel_EFs_StationaryLiquid[[#Headers],[Fuel combusted]],0)</f>
        <v>0</v>
      </c>
      <c r="I55" s="180" cm="1">
        <f t="array" ref="I55">Common_InputFunctions.Utility_DisplayArrayInTable(Fuel_SourceData.Fuel_Scope1Scope3EmissionFactorsStationaryLiquid_Data(), Table_Fuel_EFs_StationaryLiquid[[#Headers],[Fuel combusted]],0)</f>
        <v>0</v>
      </c>
      <c r="J55" s="180" cm="1">
        <f t="array" ref="J55">Common_InputFunctions.Utility_DisplayArrayInTable(Fuel_SourceData.Fuel_Scope1Scope3EmissionFactorsStationaryLiquid_Data(), Table_Fuel_EFs_StationaryLiquid[[#Headers],[Fuel combusted]],0)</f>
        <v>3.5</v>
      </c>
      <c r="K55" s="180" cm="1">
        <f t="array" ref="K55">Common_InputFunctions.Utility_DisplayArrayInTable(Fuel_SourceData.Fuel_Scope1Scope3EmissionFactorsStationaryLiquid_Data(), Table_Fuel_EFs_StationaryLiquid[[#Headers],[Fuel combusted]],0)</f>
        <v>18</v>
      </c>
      <c r="L55" s="152"/>
    </row>
    <row r="56" spans="1:12" ht="20.100000000000001" customHeight="1" x14ac:dyDescent="0.2">
      <c r="D56" s="180" t="str" cm="1">
        <f t="array" ref="D56">Common_InputFunctions.Utility_DisplayArrayInTable(Fuel_SourceData.Fuel_Scope1Scope3EmissionFactorsStationaryLiquid_Data(), Table_Fuel_EFs_StationaryLiquid[[#Headers],[Fuel combusted]],0)</f>
        <v>Crude oil including crude oil condensates</v>
      </c>
      <c r="E56" s="180" cm="1">
        <f t="array" ref="E56">Common_InputFunctions.Utility_DisplayArrayInTable(Fuel_SourceData.Fuel_Scope1Scope3EmissionFactorsStationaryLiquid_Data(), Table_Fuel_EFs_StationaryLiquid[[#Headers],[Fuel combusted]],0)</f>
        <v>45.3</v>
      </c>
      <c r="F56" s="180" t="str" cm="1">
        <f t="array" ref="F56">Common_InputFunctions.Utility_DisplayArrayInTable(Fuel_SourceData.Fuel_Scope1Scope3EmissionFactorsStationaryLiquid_Data(), Table_Fuel_EFs_StationaryLiquid[[#Headers],[Fuel combusted]],0)</f>
        <v>t</v>
      </c>
      <c r="G56" s="180" cm="1">
        <f t="array" ref="G56">Common_InputFunctions.Utility_DisplayArrayInTable(Fuel_SourceData.Fuel_Scope1Scope3EmissionFactorsStationaryLiquid_Data(), Table_Fuel_EFs_StationaryLiquid[[#Headers],[Fuel combusted]],0)</f>
        <v>69.599999999999994</v>
      </c>
      <c r="H56" s="180" cm="1">
        <f t="array" ref="H56">Common_InputFunctions.Utility_DisplayArrayInTable(Fuel_SourceData.Fuel_Scope1Scope3EmissionFactorsStationaryLiquid_Data(), Table_Fuel_EFs_StationaryLiquid[[#Headers],[Fuel combusted]],0)</f>
        <v>0.08</v>
      </c>
      <c r="I56" s="180" cm="1">
        <f t="array" ref="I56">Common_InputFunctions.Utility_DisplayArrayInTable(Fuel_SourceData.Fuel_Scope1Scope3EmissionFactorsStationaryLiquid_Data(), Table_Fuel_EFs_StationaryLiquid[[#Headers],[Fuel combusted]],0)</f>
        <v>0.2</v>
      </c>
      <c r="J56" s="180" cm="1">
        <f t="array" ref="J56">Common_InputFunctions.Utility_DisplayArrayInTable(Fuel_SourceData.Fuel_Scope1Scope3EmissionFactorsStationaryLiquid_Data(), Table_Fuel_EFs_StationaryLiquid[[#Headers],[Fuel combusted]],0)</f>
        <v>69.88</v>
      </c>
      <c r="K56" s="180" t="str" cm="1">
        <f t="array" ref="K56">Common_InputFunctions.Utility_DisplayArrayInTable(Fuel_SourceData.Fuel_Scope1Scope3EmissionFactorsStationaryLiquid_Data(), Table_Fuel_EFs_StationaryLiquid[[#Headers],[Fuel combusted]],0)</f>
        <v>NE</v>
      </c>
      <c r="L56" s="152"/>
    </row>
    <row r="57" spans="1:12" ht="20.100000000000001" customHeight="1" x14ac:dyDescent="0.2">
      <c r="D57" s="180" t="str" cm="1">
        <f t="array" ref="D57">Common_InputFunctions.Utility_DisplayArrayInTable(Fuel_SourceData.Fuel_Scope1Scope3EmissionFactorsStationaryLiquid_Data(), Table_Fuel_EFs_StationaryLiquid[[#Headers],[Fuel combusted]],0)</f>
        <v>Other natural gas liquids</v>
      </c>
      <c r="E57" s="180" cm="1">
        <f t="array" ref="E57">Common_InputFunctions.Utility_DisplayArrayInTable(Fuel_SourceData.Fuel_Scope1Scope3EmissionFactorsStationaryLiquid_Data(), Table_Fuel_EFs_StationaryLiquid[[#Headers],[Fuel combusted]],0)</f>
        <v>46.5</v>
      </c>
      <c r="F57" s="180" t="str" cm="1">
        <f t="array" ref="F57">Common_InputFunctions.Utility_DisplayArrayInTable(Fuel_SourceData.Fuel_Scope1Scope3EmissionFactorsStationaryLiquid_Data(), Table_Fuel_EFs_StationaryLiquid[[#Headers],[Fuel combusted]],0)</f>
        <v>t</v>
      </c>
      <c r="G57" s="180" cm="1">
        <f t="array" ref="G57">Common_InputFunctions.Utility_DisplayArrayInTable(Fuel_SourceData.Fuel_Scope1Scope3EmissionFactorsStationaryLiquid_Data(), Table_Fuel_EFs_StationaryLiquid[[#Headers],[Fuel combusted]],0)</f>
        <v>61</v>
      </c>
      <c r="H57" s="180" cm="1">
        <f t="array" ref="H57">Common_InputFunctions.Utility_DisplayArrayInTable(Fuel_SourceData.Fuel_Scope1Scope3EmissionFactorsStationaryLiquid_Data(), Table_Fuel_EFs_StationaryLiquid[[#Headers],[Fuel combusted]],0)</f>
        <v>0.08</v>
      </c>
      <c r="I57" s="180" cm="1">
        <f t="array" ref="I57">Common_InputFunctions.Utility_DisplayArrayInTable(Fuel_SourceData.Fuel_Scope1Scope3EmissionFactorsStationaryLiquid_Data(), Table_Fuel_EFs_StationaryLiquid[[#Headers],[Fuel combusted]],0)</f>
        <v>0.2</v>
      </c>
      <c r="J57" s="180" cm="1">
        <f t="array" ref="J57">Common_InputFunctions.Utility_DisplayArrayInTable(Fuel_SourceData.Fuel_Scope1Scope3EmissionFactorsStationaryLiquid_Data(), Table_Fuel_EFs_StationaryLiquid[[#Headers],[Fuel combusted]],0)</f>
        <v>61.28</v>
      </c>
      <c r="K57" s="180" t="str" cm="1">
        <f t="array" ref="K57">Common_InputFunctions.Utility_DisplayArrayInTable(Fuel_SourceData.Fuel_Scope1Scope3EmissionFactorsStationaryLiquid_Data(), Table_Fuel_EFs_StationaryLiquid[[#Headers],[Fuel combusted]],0)</f>
        <v>NE</v>
      </c>
      <c r="L57" s="152"/>
    </row>
    <row r="58" spans="1:12" ht="20.100000000000001" customHeight="1" x14ac:dyDescent="0.2">
      <c r="D58" s="180"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80" cm="1">
        <f t="array" ref="E58">Common_InputFunctions.Utility_DisplayArrayInTable(Fuel_SourceData.Fuel_Scope1Scope3EmissionFactorsStationaryLiquid_Data(), Table_Fuel_EFs_StationaryLiquid[[#Headers],[Fuel combusted]],0)</f>
        <v>34.200000000000003</v>
      </c>
      <c r="F58" s="180" t="str" cm="1">
        <f t="array" ref="F58">Common_InputFunctions.Utility_DisplayArrayInTable(Fuel_SourceData.Fuel_Scope1Scope3EmissionFactorsStationaryLiquid_Data(), Table_Fuel_EFs_StationaryLiquid[[#Headers],[Fuel combusted]],0)</f>
        <v>kL</v>
      </c>
      <c r="G58" s="180" cm="1">
        <f t="array" ref="G58">Common_InputFunctions.Utility_DisplayArrayInTable(Fuel_SourceData.Fuel_Scope1Scope3EmissionFactorsStationaryLiquid_Data(), Table_Fuel_EFs_StationaryLiquid[[#Headers],[Fuel combusted]],0)</f>
        <v>67.400000000000006</v>
      </c>
      <c r="H58" s="180" cm="1">
        <f t="array" ref="H58">Common_InputFunctions.Utility_DisplayArrayInTable(Fuel_SourceData.Fuel_Scope1Scope3EmissionFactorsStationaryLiquid_Data(), Table_Fuel_EFs_StationaryLiquid[[#Headers],[Fuel combusted]],0)</f>
        <v>0.2</v>
      </c>
      <c r="I58" s="180" cm="1">
        <f t="array" ref="I58">Common_InputFunctions.Utility_DisplayArrayInTable(Fuel_SourceData.Fuel_Scope1Scope3EmissionFactorsStationaryLiquid_Data(), Table_Fuel_EFs_StationaryLiquid[[#Headers],[Fuel combusted]],0)</f>
        <v>0.2</v>
      </c>
      <c r="J58" s="180" cm="1">
        <f t="array" ref="J58">Common_InputFunctions.Utility_DisplayArrayInTable(Fuel_SourceData.Fuel_Scope1Scope3EmissionFactorsStationaryLiquid_Data(), Table_Fuel_EFs_StationaryLiquid[[#Headers],[Fuel combusted]],0)</f>
        <v>67.8</v>
      </c>
      <c r="K58" s="180" cm="1">
        <f t="array" ref="K58">Common_InputFunctions.Utility_DisplayArrayInTable(Fuel_SourceData.Fuel_Scope1Scope3EmissionFactorsStationaryLiquid_Data(), Table_Fuel_EFs_StationaryLiquid[[#Headers],[Fuel combusted]],0)</f>
        <v>17.2</v>
      </c>
      <c r="L58" s="152"/>
    </row>
    <row r="59" spans="1:12" ht="20.100000000000001" customHeight="1" x14ac:dyDescent="0.2">
      <c r="D59" s="180" t="str" cm="1">
        <f t="array" ref="D59">Common_InputFunctions.Utility_DisplayArrayInTable(Fuel_SourceData.Fuel_Scope1Scope3EmissionFactorsStationaryLiquid_Data(), Table_Fuel_EFs_StationaryLiquid[[#Headers],[Fuel combusted]],0)</f>
        <v>Aviation gasoline</v>
      </c>
      <c r="E59" s="180" cm="1">
        <f t="array" ref="E59">Common_InputFunctions.Utility_DisplayArrayInTable(Fuel_SourceData.Fuel_Scope1Scope3EmissionFactorsStationaryLiquid_Data(), Table_Fuel_EFs_StationaryLiquid[[#Headers],[Fuel combusted]],0)</f>
        <v>33.1</v>
      </c>
      <c r="F59" s="180" t="str" cm="1">
        <f t="array" ref="F59">Common_InputFunctions.Utility_DisplayArrayInTable(Fuel_SourceData.Fuel_Scope1Scope3EmissionFactorsStationaryLiquid_Data(), Table_Fuel_EFs_StationaryLiquid[[#Headers],[Fuel combusted]],0)</f>
        <v>kL</v>
      </c>
      <c r="G59" s="180" cm="1">
        <f t="array" ref="G59">Common_InputFunctions.Utility_DisplayArrayInTable(Fuel_SourceData.Fuel_Scope1Scope3EmissionFactorsStationaryLiquid_Data(), Table_Fuel_EFs_StationaryLiquid[[#Headers],[Fuel combusted]],0)</f>
        <v>67</v>
      </c>
      <c r="H59" s="180" cm="1">
        <f t="array" ref="H59">Common_InputFunctions.Utility_DisplayArrayInTable(Fuel_SourceData.Fuel_Scope1Scope3EmissionFactorsStationaryLiquid_Data(), Table_Fuel_EFs_StationaryLiquid[[#Headers],[Fuel combusted]],0)</f>
        <v>0.2</v>
      </c>
      <c r="I59" s="180" cm="1">
        <f t="array" ref="I59">Common_InputFunctions.Utility_DisplayArrayInTable(Fuel_SourceData.Fuel_Scope1Scope3EmissionFactorsStationaryLiquid_Data(), Table_Fuel_EFs_StationaryLiquid[[#Headers],[Fuel combusted]],0)</f>
        <v>0.2</v>
      </c>
      <c r="J59" s="180" cm="1">
        <f t="array" ref="J59">Common_InputFunctions.Utility_DisplayArrayInTable(Fuel_SourceData.Fuel_Scope1Scope3EmissionFactorsStationaryLiquid_Data(), Table_Fuel_EFs_StationaryLiquid[[#Headers],[Fuel combusted]],0)</f>
        <v>67.400000000000006</v>
      </c>
      <c r="K59" s="180" cm="1">
        <f t="array" ref="K59">Common_InputFunctions.Utility_DisplayArrayInTable(Fuel_SourceData.Fuel_Scope1Scope3EmissionFactorsStationaryLiquid_Data(), Table_Fuel_EFs_StationaryLiquid[[#Headers],[Fuel combusted]],0)</f>
        <v>18</v>
      </c>
      <c r="L59" s="152"/>
    </row>
    <row r="60" spans="1:12" ht="20.100000000000001" customHeight="1" x14ac:dyDescent="0.2">
      <c r="D60" s="180" t="str" cm="1">
        <f t="array" ref="D60">Common_InputFunctions.Utility_DisplayArrayInTable(Fuel_SourceData.Fuel_Scope1Scope3EmissionFactorsStationaryLiquid_Data(), Table_Fuel_EFs_StationaryLiquid[[#Headers],[Fuel combusted]],0)</f>
        <v>Kerosene (other than for use as fuel in an aircraft)</v>
      </c>
      <c r="E60" s="180" cm="1">
        <f t="array" ref="E60">Common_InputFunctions.Utility_DisplayArrayInTable(Fuel_SourceData.Fuel_Scope1Scope3EmissionFactorsStationaryLiquid_Data(), Table_Fuel_EFs_StationaryLiquid[[#Headers],[Fuel combusted]],0)</f>
        <v>37.5</v>
      </c>
      <c r="F60" s="180" t="str" cm="1">
        <f t="array" ref="F60">Common_InputFunctions.Utility_DisplayArrayInTable(Fuel_SourceData.Fuel_Scope1Scope3EmissionFactorsStationaryLiquid_Data(), Table_Fuel_EFs_StationaryLiquid[[#Headers],[Fuel combusted]],0)</f>
        <v>kL</v>
      </c>
      <c r="G60" s="180" cm="1">
        <f t="array" ref="G60">Common_InputFunctions.Utility_DisplayArrayInTable(Fuel_SourceData.Fuel_Scope1Scope3EmissionFactorsStationaryLiquid_Data(), Table_Fuel_EFs_StationaryLiquid[[#Headers],[Fuel combusted]],0)</f>
        <v>68.900000000000006</v>
      </c>
      <c r="H60" s="180" cm="1">
        <f t="array" ref="H60">Common_InputFunctions.Utility_DisplayArrayInTable(Fuel_SourceData.Fuel_Scope1Scope3EmissionFactorsStationaryLiquid_Data(), Table_Fuel_EFs_StationaryLiquid[[#Headers],[Fuel combusted]],0)</f>
        <v>0.01</v>
      </c>
      <c r="I60" s="180" cm="1">
        <f t="array" ref="I60">Common_InputFunctions.Utility_DisplayArrayInTable(Fuel_SourceData.Fuel_Scope1Scope3EmissionFactorsStationaryLiquid_Data(), Table_Fuel_EFs_StationaryLiquid[[#Headers],[Fuel combusted]],0)</f>
        <v>0.2</v>
      </c>
      <c r="J60" s="180" cm="1">
        <f t="array" ref="J60">Common_InputFunctions.Utility_DisplayArrayInTable(Fuel_SourceData.Fuel_Scope1Scope3EmissionFactorsStationaryLiquid_Data(), Table_Fuel_EFs_StationaryLiquid[[#Headers],[Fuel combusted]],0)</f>
        <v>69.11</v>
      </c>
      <c r="K60" s="180" cm="1">
        <f t="array" ref="K60">Common_InputFunctions.Utility_DisplayArrayInTable(Fuel_SourceData.Fuel_Scope1Scope3EmissionFactorsStationaryLiquid_Data(), Table_Fuel_EFs_StationaryLiquid[[#Headers],[Fuel combusted]],0)</f>
        <v>18</v>
      </c>
      <c r="L60" s="152"/>
    </row>
    <row r="61" spans="1:12" ht="20.100000000000001" customHeight="1" x14ac:dyDescent="0.2">
      <c r="D61" s="180" t="str" cm="1">
        <f t="array" ref="D61">Common_InputFunctions.Utility_DisplayArrayInTable(Fuel_SourceData.Fuel_Scope1Scope3EmissionFactorsStationaryLiquid_Data(), Table_Fuel_EFs_StationaryLiquid[[#Headers],[Fuel combusted]],0)</f>
        <v>Aviation turbine fuel / kerosene</v>
      </c>
      <c r="E61" s="180" cm="1">
        <f t="array" ref="E61">Common_InputFunctions.Utility_DisplayArrayInTable(Fuel_SourceData.Fuel_Scope1Scope3EmissionFactorsStationaryLiquid_Data(), Table_Fuel_EFs_StationaryLiquid[[#Headers],[Fuel combusted]],0)</f>
        <v>36.799999999999997</v>
      </c>
      <c r="F61" s="180" t="str" cm="1">
        <f t="array" ref="F61">Common_InputFunctions.Utility_DisplayArrayInTable(Fuel_SourceData.Fuel_Scope1Scope3EmissionFactorsStationaryLiquid_Data(), Table_Fuel_EFs_StationaryLiquid[[#Headers],[Fuel combusted]],0)</f>
        <v>kL</v>
      </c>
      <c r="G61" s="180" cm="1">
        <f t="array" ref="G61">Common_InputFunctions.Utility_DisplayArrayInTable(Fuel_SourceData.Fuel_Scope1Scope3EmissionFactorsStationaryLiquid_Data(), Table_Fuel_EFs_StationaryLiquid[[#Headers],[Fuel combusted]],0)</f>
        <v>69.599999999999994</v>
      </c>
      <c r="H61" s="180" cm="1">
        <f t="array" ref="H61">Common_InputFunctions.Utility_DisplayArrayInTable(Fuel_SourceData.Fuel_Scope1Scope3EmissionFactorsStationaryLiquid_Data(), Table_Fuel_EFs_StationaryLiquid[[#Headers],[Fuel combusted]],0)</f>
        <v>0.02</v>
      </c>
      <c r="I61" s="180" cm="1">
        <f t="array" ref="I61">Common_InputFunctions.Utility_DisplayArrayInTable(Fuel_SourceData.Fuel_Scope1Scope3EmissionFactorsStationaryLiquid_Data(), Table_Fuel_EFs_StationaryLiquid[[#Headers],[Fuel combusted]],0)</f>
        <v>0.2</v>
      </c>
      <c r="J61" s="180" cm="1">
        <f t="array" ref="J61">Common_InputFunctions.Utility_DisplayArrayInTable(Fuel_SourceData.Fuel_Scope1Scope3EmissionFactorsStationaryLiquid_Data(), Table_Fuel_EFs_StationaryLiquid[[#Headers],[Fuel combusted]],0)</f>
        <v>69.819999999999993</v>
      </c>
      <c r="K61" s="180" cm="1">
        <f t="array" ref="K61">Common_InputFunctions.Utility_DisplayArrayInTable(Fuel_SourceData.Fuel_Scope1Scope3EmissionFactorsStationaryLiquid_Data(), Table_Fuel_EFs_StationaryLiquid[[#Headers],[Fuel combusted]],0)</f>
        <v>18</v>
      </c>
      <c r="L61" s="152"/>
    </row>
    <row r="62" spans="1:12" ht="20.100000000000001" customHeight="1" x14ac:dyDescent="0.2">
      <c r="D62" s="180" t="str" cm="1">
        <f t="array" ref="D62">Common_InputFunctions.Utility_DisplayArrayInTable(Fuel_SourceData.Fuel_Scope1Scope3EmissionFactorsStationaryLiquid_Data(), Table_Fuel_EFs_StationaryLiquid[[#Headers],[Fuel combusted]],0)</f>
        <v>Heating oil</v>
      </c>
      <c r="E62" s="180" cm="1">
        <f t="array" ref="E62">Common_InputFunctions.Utility_DisplayArrayInTable(Fuel_SourceData.Fuel_Scope1Scope3EmissionFactorsStationaryLiquid_Data(), Table_Fuel_EFs_StationaryLiquid[[#Headers],[Fuel combusted]],0)</f>
        <v>37.299999999999997</v>
      </c>
      <c r="F62" s="180" t="str" cm="1">
        <f t="array" ref="F62">Common_InputFunctions.Utility_DisplayArrayInTable(Fuel_SourceData.Fuel_Scope1Scope3EmissionFactorsStationaryLiquid_Data(), Table_Fuel_EFs_StationaryLiquid[[#Headers],[Fuel combusted]],0)</f>
        <v>kL</v>
      </c>
      <c r="G62" s="180" cm="1">
        <f t="array" ref="G62">Common_InputFunctions.Utility_DisplayArrayInTable(Fuel_SourceData.Fuel_Scope1Scope3EmissionFactorsStationaryLiquid_Data(), Table_Fuel_EFs_StationaryLiquid[[#Headers],[Fuel combusted]],0)</f>
        <v>69.5</v>
      </c>
      <c r="H62" s="180" cm="1">
        <f t="array" ref="H62">Common_InputFunctions.Utility_DisplayArrayInTable(Fuel_SourceData.Fuel_Scope1Scope3EmissionFactorsStationaryLiquid_Data(), Table_Fuel_EFs_StationaryLiquid[[#Headers],[Fuel combusted]],0)</f>
        <v>0.03</v>
      </c>
      <c r="I62" s="180" cm="1">
        <f t="array" ref="I62">Common_InputFunctions.Utility_DisplayArrayInTable(Fuel_SourceData.Fuel_Scope1Scope3EmissionFactorsStationaryLiquid_Data(), Table_Fuel_EFs_StationaryLiquid[[#Headers],[Fuel combusted]],0)</f>
        <v>0.2</v>
      </c>
      <c r="J62" s="180" cm="1">
        <f t="array" ref="J62">Common_InputFunctions.Utility_DisplayArrayInTable(Fuel_SourceData.Fuel_Scope1Scope3EmissionFactorsStationaryLiquid_Data(), Table_Fuel_EFs_StationaryLiquid[[#Headers],[Fuel combusted]],0)</f>
        <v>69.73</v>
      </c>
      <c r="K62" s="180" cm="1">
        <f t="array" ref="K62">Common_InputFunctions.Utility_DisplayArrayInTable(Fuel_SourceData.Fuel_Scope1Scope3EmissionFactorsStationaryLiquid_Data(), Table_Fuel_EFs_StationaryLiquid[[#Headers],[Fuel combusted]],0)</f>
        <v>18</v>
      </c>
      <c r="L62" s="152"/>
    </row>
    <row r="63" spans="1:12" ht="20.100000000000001" customHeight="1" x14ac:dyDescent="0.2">
      <c r="D63" s="180" t="str" cm="1">
        <f t="array" ref="D63">Common_InputFunctions.Utility_DisplayArrayInTable(Fuel_SourceData.Fuel_Scope1Scope3EmissionFactorsStationaryLiquid_Data(), Table_Fuel_EFs_StationaryLiquid[[#Headers],[Fuel combusted]],0)</f>
        <v>Diesel oil</v>
      </c>
      <c r="E63" s="180" cm="1">
        <f t="array" ref="E63">Common_InputFunctions.Utility_DisplayArrayInTable(Fuel_SourceData.Fuel_Scope1Scope3EmissionFactorsStationaryLiquid_Data(), Table_Fuel_EFs_StationaryLiquid[[#Headers],[Fuel combusted]],0)</f>
        <v>38.6</v>
      </c>
      <c r="F63" s="180" t="str" cm="1">
        <f t="array" ref="F63">Common_InputFunctions.Utility_DisplayArrayInTable(Fuel_SourceData.Fuel_Scope1Scope3EmissionFactorsStationaryLiquid_Data(), Table_Fuel_EFs_StationaryLiquid[[#Headers],[Fuel combusted]],0)</f>
        <v>kL</v>
      </c>
      <c r="G63" s="180" cm="1">
        <f t="array" ref="G63">Common_InputFunctions.Utility_DisplayArrayInTable(Fuel_SourceData.Fuel_Scope1Scope3EmissionFactorsStationaryLiquid_Data(), Table_Fuel_EFs_StationaryLiquid[[#Headers],[Fuel combusted]],0)</f>
        <v>69.900000000000006</v>
      </c>
      <c r="H63" s="180" cm="1">
        <f t="array" ref="H63">Common_InputFunctions.Utility_DisplayArrayInTable(Fuel_SourceData.Fuel_Scope1Scope3EmissionFactorsStationaryLiquid_Data(), Table_Fuel_EFs_StationaryLiquid[[#Headers],[Fuel combusted]],0)</f>
        <v>0.1</v>
      </c>
      <c r="I63" s="180" cm="1">
        <f t="array" ref="I63">Common_InputFunctions.Utility_DisplayArrayInTable(Fuel_SourceData.Fuel_Scope1Scope3EmissionFactorsStationaryLiquid_Data(), Table_Fuel_EFs_StationaryLiquid[[#Headers],[Fuel combusted]],0)</f>
        <v>0.2</v>
      </c>
      <c r="J63" s="180" cm="1">
        <f t="array" ref="J63">Common_InputFunctions.Utility_DisplayArrayInTable(Fuel_SourceData.Fuel_Scope1Scope3EmissionFactorsStationaryLiquid_Data(), Table_Fuel_EFs_StationaryLiquid[[#Headers],[Fuel combusted]],0)</f>
        <v>70.2</v>
      </c>
      <c r="K63" s="180" cm="1">
        <f t="array" ref="K63">Common_InputFunctions.Utility_DisplayArrayInTable(Fuel_SourceData.Fuel_Scope1Scope3EmissionFactorsStationaryLiquid_Data(), Table_Fuel_EFs_StationaryLiquid[[#Headers],[Fuel combusted]],0)</f>
        <v>17.3</v>
      </c>
      <c r="L63" s="152"/>
    </row>
    <row r="64" spans="1:12" ht="20.100000000000001" customHeight="1" x14ac:dyDescent="0.2">
      <c r="D64" s="180" t="str" cm="1">
        <f t="array" ref="D64">Common_InputFunctions.Utility_DisplayArrayInTable(Fuel_SourceData.Fuel_Scope1Scope3EmissionFactorsStationaryLiquid_Data(), Table_Fuel_EFs_StationaryLiquid[[#Headers],[Fuel combusted]],0)</f>
        <v>Fuel oil</v>
      </c>
      <c r="E64" s="180" cm="1">
        <f t="array" ref="E64">Common_InputFunctions.Utility_DisplayArrayInTable(Fuel_SourceData.Fuel_Scope1Scope3EmissionFactorsStationaryLiquid_Data(), Table_Fuel_EFs_StationaryLiquid[[#Headers],[Fuel combusted]],0)</f>
        <v>39.700000000000003</v>
      </c>
      <c r="F64" s="180" t="str" cm="1">
        <f t="array" ref="F64">Common_InputFunctions.Utility_DisplayArrayInTable(Fuel_SourceData.Fuel_Scope1Scope3EmissionFactorsStationaryLiquid_Data(), Table_Fuel_EFs_StationaryLiquid[[#Headers],[Fuel combusted]],0)</f>
        <v>kL</v>
      </c>
      <c r="G64" s="180" cm="1">
        <f t="array" ref="G64">Common_InputFunctions.Utility_DisplayArrayInTable(Fuel_SourceData.Fuel_Scope1Scope3EmissionFactorsStationaryLiquid_Data(), Table_Fuel_EFs_StationaryLiquid[[#Headers],[Fuel combusted]],0)</f>
        <v>73.599999999999994</v>
      </c>
      <c r="H64" s="180" cm="1">
        <f t="array" ref="H64">Common_InputFunctions.Utility_DisplayArrayInTable(Fuel_SourceData.Fuel_Scope1Scope3EmissionFactorsStationaryLiquid_Data(), Table_Fuel_EFs_StationaryLiquid[[#Headers],[Fuel combusted]],0)</f>
        <v>0.04</v>
      </c>
      <c r="I64" s="180" cm="1">
        <f t="array" ref="I64">Common_InputFunctions.Utility_DisplayArrayInTable(Fuel_SourceData.Fuel_Scope1Scope3EmissionFactorsStationaryLiquid_Data(), Table_Fuel_EFs_StationaryLiquid[[#Headers],[Fuel combusted]],0)</f>
        <v>0.2</v>
      </c>
      <c r="J64" s="180" cm="1">
        <f t="array" ref="J64">Common_InputFunctions.Utility_DisplayArrayInTable(Fuel_SourceData.Fuel_Scope1Scope3EmissionFactorsStationaryLiquid_Data(), Table_Fuel_EFs_StationaryLiquid[[#Headers],[Fuel combusted]],0)</f>
        <v>73.84</v>
      </c>
      <c r="K64" s="180" cm="1">
        <f t="array" ref="K64">Common_InputFunctions.Utility_DisplayArrayInTable(Fuel_SourceData.Fuel_Scope1Scope3EmissionFactorsStationaryLiquid_Data(), Table_Fuel_EFs_StationaryLiquid[[#Headers],[Fuel combusted]],0)</f>
        <v>18</v>
      </c>
      <c r="L64" s="152"/>
    </row>
    <row r="65" spans="1:13" ht="20.100000000000001" customHeight="1" x14ac:dyDescent="0.2">
      <c r="D65" s="180" t="str" cm="1">
        <f t="array" ref="D65">Common_InputFunctions.Utility_DisplayArrayInTable(Fuel_SourceData.Fuel_Scope1Scope3EmissionFactorsStationaryLiquid_Data(), Table_Fuel_EFs_StationaryLiquid[[#Headers],[Fuel combusted]],0)</f>
        <v>Liquefied aromatic hydrocarbons</v>
      </c>
      <c r="E65" s="180" cm="1">
        <f t="array" ref="E65">Common_InputFunctions.Utility_DisplayArrayInTable(Fuel_SourceData.Fuel_Scope1Scope3EmissionFactorsStationaryLiquid_Data(), Table_Fuel_EFs_StationaryLiquid[[#Headers],[Fuel combusted]],0)</f>
        <v>34.4</v>
      </c>
      <c r="F65" s="180" t="str" cm="1">
        <f t="array" ref="F65">Common_InputFunctions.Utility_DisplayArrayInTable(Fuel_SourceData.Fuel_Scope1Scope3EmissionFactorsStationaryLiquid_Data(), Table_Fuel_EFs_StationaryLiquid[[#Headers],[Fuel combusted]],0)</f>
        <v>kL</v>
      </c>
      <c r="G65" s="180" cm="1">
        <f t="array" ref="G65">Common_InputFunctions.Utility_DisplayArrayInTable(Fuel_SourceData.Fuel_Scope1Scope3EmissionFactorsStationaryLiquid_Data(), Table_Fuel_EFs_StationaryLiquid[[#Headers],[Fuel combusted]],0)</f>
        <v>69.7</v>
      </c>
      <c r="H65" s="180" cm="1">
        <f t="array" ref="H65">Common_InputFunctions.Utility_DisplayArrayInTable(Fuel_SourceData.Fuel_Scope1Scope3EmissionFactorsStationaryLiquid_Data(), Table_Fuel_EFs_StationaryLiquid[[#Headers],[Fuel combusted]],0)</f>
        <v>0.03</v>
      </c>
      <c r="I65" s="180" cm="1">
        <f t="array" ref="I65">Common_InputFunctions.Utility_DisplayArrayInTable(Fuel_SourceData.Fuel_Scope1Scope3EmissionFactorsStationaryLiquid_Data(), Table_Fuel_EFs_StationaryLiquid[[#Headers],[Fuel combusted]],0)</f>
        <v>0.2</v>
      </c>
      <c r="J65" s="180" cm="1">
        <f t="array" ref="J65">Common_InputFunctions.Utility_DisplayArrayInTable(Fuel_SourceData.Fuel_Scope1Scope3EmissionFactorsStationaryLiquid_Data(), Table_Fuel_EFs_StationaryLiquid[[#Headers],[Fuel combusted]],0)</f>
        <v>69.930000000000007</v>
      </c>
      <c r="K65" s="180" cm="1">
        <f t="array" ref="K65">Common_InputFunctions.Utility_DisplayArrayInTable(Fuel_SourceData.Fuel_Scope1Scope3EmissionFactorsStationaryLiquid_Data(), Table_Fuel_EFs_StationaryLiquid[[#Headers],[Fuel combusted]],0)</f>
        <v>18</v>
      </c>
      <c r="L65" s="152"/>
    </row>
    <row r="66" spans="1:13" ht="20.100000000000001" customHeight="1" x14ac:dyDescent="0.2">
      <c r="A66" s="79" t="str">
        <f>HYPERLINK("#A1", "▲ Back to top")</f>
        <v>▲ Back to top</v>
      </c>
      <c r="D66" s="180" t="str" cm="1">
        <f t="array" ref="D66">Common_InputFunctions.Utility_DisplayArrayInTable(Fuel_SourceData.Fuel_Scope1Scope3EmissionFactorsStationaryLiquid_Data(), Table_Fuel_EFs_StationaryLiquid[[#Headers],[Fuel combusted]],0)</f>
        <v>Solvents: mineral turpentine or white spirits</v>
      </c>
      <c r="E66" s="180" cm="1">
        <f t="array" ref="E66">Common_InputFunctions.Utility_DisplayArrayInTable(Fuel_SourceData.Fuel_Scope1Scope3EmissionFactorsStationaryLiquid_Data(), Table_Fuel_EFs_StationaryLiquid[[#Headers],[Fuel combusted]],0)</f>
        <v>34.4</v>
      </c>
      <c r="F66" s="180" t="str" cm="1">
        <f t="array" ref="F66">Common_InputFunctions.Utility_DisplayArrayInTable(Fuel_SourceData.Fuel_Scope1Scope3EmissionFactorsStationaryLiquid_Data(), Table_Fuel_EFs_StationaryLiquid[[#Headers],[Fuel combusted]],0)</f>
        <v>kL</v>
      </c>
      <c r="G66" s="180" cm="1">
        <f t="array" ref="G66">Common_InputFunctions.Utility_DisplayArrayInTable(Fuel_SourceData.Fuel_Scope1Scope3EmissionFactorsStationaryLiquid_Data(), Table_Fuel_EFs_StationaryLiquid[[#Headers],[Fuel combusted]],0)</f>
        <v>69.7</v>
      </c>
      <c r="H66" s="180" cm="1">
        <f t="array" ref="H66">Common_InputFunctions.Utility_DisplayArrayInTable(Fuel_SourceData.Fuel_Scope1Scope3EmissionFactorsStationaryLiquid_Data(), Table_Fuel_EFs_StationaryLiquid[[#Headers],[Fuel combusted]],0)</f>
        <v>0.03</v>
      </c>
      <c r="I66" s="180" cm="1">
        <f t="array" ref="I66">Common_InputFunctions.Utility_DisplayArrayInTable(Fuel_SourceData.Fuel_Scope1Scope3EmissionFactorsStationaryLiquid_Data(), Table_Fuel_EFs_StationaryLiquid[[#Headers],[Fuel combusted]],0)</f>
        <v>0.2</v>
      </c>
      <c r="J66" s="180" cm="1">
        <f t="array" ref="J66">Common_InputFunctions.Utility_DisplayArrayInTable(Fuel_SourceData.Fuel_Scope1Scope3EmissionFactorsStationaryLiquid_Data(), Table_Fuel_EFs_StationaryLiquid[[#Headers],[Fuel combusted]],0)</f>
        <v>69.930000000000007</v>
      </c>
      <c r="K66" s="180" cm="1">
        <f t="array" ref="K66">Common_InputFunctions.Utility_DisplayArrayInTable(Fuel_SourceData.Fuel_Scope1Scope3EmissionFactorsStationaryLiquid_Data(), Table_Fuel_EFs_StationaryLiquid[[#Headers],[Fuel combusted]],0)</f>
        <v>18</v>
      </c>
      <c r="L66" s="152"/>
    </row>
    <row r="67" spans="1:13" ht="20.100000000000001" customHeight="1" x14ac:dyDescent="0.2">
      <c r="D67" s="180" t="str" cm="1">
        <f t="array" ref="D67">Common_InputFunctions.Utility_DisplayArrayInTable(Fuel_SourceData.Fuel_Scope1Scope3EmissionFactorsStationaryLiquid_Data(), Table_Fuel_EFs_StationaryLiquid[[#Headers],[Fuel combusted]],0)</f>
        <v>Liquefied petroleum gas (LPG)</v>
      </c>
      <c r="E67" s="180" cm="1">
        <f t="array" ref="E67">Common_InputFunctions.Utility_DisplayArrayInTable(Fuel_SourceData.Fuel_Scope1Scope3EmissionFactorsStationaryLiquid_Data(), Table_Fuel_EFs_StationaryLiquid[[#Headers],[Fuel combusted]],0)</f>
        <v>25.7</v>
      </c>
      <c r="F67" s="180" t="str" cm="1">
        <f t="array" ref="F67">Common_InputFunctions.Utility_DisplayArrayInTable(Fuel_SourceData.Fuel_Scope1Scope3EmissionFactorsStationaryLiquid_Data(), Table_Fuel_EFs_StationaryLiquid[[#Headers],[Fuel combusted]],0)</f>
        <v>kL</v>
      </c>
      <c r="G67" s="180" cm="1">
        <f t="array" ref="G67">Common_InputFunctions.Utility_DisplayArrayInTable(Fuel_SourceData.Fuel_Scope1Scope3EmissionFactorsStationaryLiquid_Data(), Table_Fuel_EFs_StationaryLiquid[[#Headers],[Fuel combusted]],0)</f>
        <v>60.2</v>
      </c>
      <c r="H67" s="180" cm="1">
        <f t="array" ref="H67">Common_InputFunctions.Utility_DisplayArrayInTable(Fuel_SourceData.Fuel_Scope1Scope3EmissionFactorsStationaryLiquid_Data(), Table_Fuel_EFs_StationaryLiquid[[#Headers],[Fuel combusted]],0)</f>
        <v>0.2</v>
      </c>
      <c r="I67" s="180" cm="1">
        <f t="array" ref="I67">Common_InputFunctions.Utility_DisplayArrayInTable(Fuel_SourceData.Fuel_Scope1Scope3EmissionFactorsStationaryLiquid_Data(), Table_Fuel_EFs_StationaryLiquid[[#Headers],[Fuel combusted]],0)</f>
        <v>0.2</v>
      </c>
      <c r="J67" s="180" cm="1">
        <f t="array" ref="J67">Common_InputFunctions.Utility_DisplayArrayInTable(Fuel_SourceData.Fuel_Scope1Scope3EmissionFactorsStationaryLiquid_Data(), Table_Fuel_EFs_StationaryLiquid[[#Headers],[Fuel combusted]],0)</f>
        <v>60.6</v>
      </c>
      <c r="K67" s="180" cm="1">
        <f t="array" ref="K67">Common_InputFunctions.Utility_DisplayArrayInTable(Fuel_SourceData.Fuel_Scope1Scope3EmissionFactorsStationaryLiquid_Data(), Table_Fuel_EFs_StationaryLiquid[[#Headers],[Fuel combusted]],0)</f>
        <v>20.2</v>
      </c>
      <c r="L67" s="152"/>
    </row>
    <row r="68" spans="1:13" ht="20.100000000000001" customHeight="1" x14ac:dyDescent="0.2">
      <c r="D68" s="180" t="str" cm="1">
        <f t="array" ref="D68">Common_InputFunctions.Utility_DisplayArrayInTable(Fuel_SourceData.Fuel_Scope1Scope3EmissionFactorsStationaryLiquid_Data(), Table_Fuel_EFs_StationaryLiquid[[#Headers],[Fuel combusted]],0)</f>
        <v>Naphtha</v>
      </c>
      <c r="E68" s="180" cm="1">
        <f t="array" ref="E68">Common_InputFunctions.Utility_DisplayArrayInTable(Fuel_SourceData.Fuel_Scope1Scope3EmissionFactorsStationaryLiquid_Data(), Table_Fuel_EFs_StationaryLiquid[[#Headers],[Fuel combusted]],0)</f>
        <v>31.4</v>
      </c>
      <c r="F68" s="180" t="str" cm="1">
        <f t="array" ref="F68">Common_InputFunctions.Utility_DisplayArrayInTable(Fuel_SourceData.Fuel_Scope1Scope3EmissionFactorsStationaryLiquid_Data(), Table_Fuel_EFs_StationaryLiquid[[#Headers],[Fuel combusted]],0)</f>
        <v>kL</v>
      </c>
      <c r="G68" s="180" cm="1">
        <f t="array" ref="G68">Common_InputFunctions.Utility_DisplayArrayInTable(Fuel_SourceData.Fuel_Scope1Scope3EmissionFactorsStationaryLiquid_Data(), Table_Fuel_EFs_StationaryLiquid[[#Headers],[Fuel combusted]],0)</f>
        <v>69.8</v>
      </c>
      <c r="H68" s="180" cm="1">
        <f t="array" ref="H68">Common_InputFunctions.Utility_DisplayArrayInTable(Fuel_SourceData.Fuel_Scope1Scope3EmissionFactorsStationaryLiquid_Data(), Table_Fuel_EFs_StationaryLiquid[[#Headers],[Fuel combusted]],0)</f>
        <v>0.01</v>
      </c>
      <c r="I68" s="180" cm="1">
        <f t="array" ref="I68">Common_InputFunctions.Utility_DisplayArrayInTable(Fuel_SourceData.Fuel_Scope1Scope3EmissionFactorsStationaryLiquid_Data(), Table_Fuel_EFs_StationaryLiquid[[#Headers],[Fuel combusted]],0)</f>
        <v>0.01</v>
      </c>
      <c r="J68" s="180" cm="1">
        <f t="array" ref="J68">Common_InputFunctions.Utility_DisplayArrayInTable(Fuel_SourceData.Fuel_Scope1Scope3EmissionFactorsStationaryLiquid_Data(), Table_Fuel_EFs_StationaryLiquid[[#Headers],[Fuel combusted]],0)</f>
        <v>69.819999999999993</v>
      </c>
      <c r="K68" s="180" cm="1">
        <f t="array" ref="K68">Common_InputFunctions.Utility_DisplayArrayInTable(Fuel_SourceData.Fuel_Scope1Scope3EmissionFactorsStationaryLiquid_Data(), Table_Fuel_EFs_StationaryLiquid[[#Headers],[Fuel combusted]],0)</f>
        <v>18</v>
      </c>
      <c r="L68" s="152"/>
    </row>
    <row r="69" spans="1:13" ht="20.100000000000001" customHeight="1" x14ac:dyDescent="0.2">
      <c r="D69" s="180" t="str" cm="1">
        <f t="array" ref="D69">Common_InputFunctions.Utility_DisplayArrayInTable(Fuel_SourceData.Fuel_Scope1Scope3EmissionFactorsStationaryLiquid_Data(), Table_Fuel_EFs_StationaryLiquid[[#Headers],[Fuel combusted]],0)</f>
        <v>Petroleum coke</v>
      </c>
      <c r="E69" s="180" cm="1">
        <f t="array" ref="E69">Common_InputFunctions.Utility_DisplayArrayInTable(Fuel_SourceData.Fuel_Scope1Scope3EmissionFactorsStationaryLiquid_Data(), Table_Fuel_EFs_StationaryLiquid[[#Headers],[Fuel combusted]],0)</f>
        <v>34.200000000000003</v>
      </c>
      <c r="F69" s="180" t="str" cm="1">
        <f t="array" ref="F69">Common_InputFunctions.Utility_DisplayArrayInTable(Fuel_SourceData.Fuel_Scope1Scope3EmissionFactorsStationaryLiquid_Data(), Table_Fuel_EFs_StationaryLiquid[[#Headers],[Fuel combusted]],0)</f>
        <v>t</v>
      </c>
      <c r="G69" s="180" cm="1">
        <f t="array" ref="G69">Common_InputFunctions.Utility_DisplayArrayInTable(Fuel_SourceData.Fuel_Scope1Scope3EmissionFactorsStationaryLiquid_Data(), Table_Fuel_EFs_StationaryLiquid[[#Headers],[Fuel combusted]],0)</f>
        <v>92.6</v>
      </c>
      <c r="H69" s="180" cm="1">
        <f t="array" ref="H69">Common_InputFunctions.Utility_DisplayArrayInTable(Fuel_SourceData.Fuel_Scope1Scope3EmissionFactorsStationaryLiquid_Data(), Table_Fuel_EFs_StationaryLiquid[[#Headers],[Fuel combusted]],0)</f>
        <v>0.08</v>
      </c>
      <c r="I69" s="180" cm="1">
        <f t="array" ref="I69">Common_InputFunctions.Utility_DisplayArrayInTable(Fuel_SourceData.Fuel_Scope1Scope3EmissionFactorsStationaryLiquid_Data(), Table_Fuel_EFs_StationaryLiquid[[#Headers],[Fuel combusted]],0)</f>
        <v>0.2</v>
      </c>
      <c r="J69" s="180" cm="1">
        <f t="array" ref="J69">Common_InputFunctions.Utility_DisplayArrayInTable(Fuel_SourceData.Fuel_Scope1Scope3EmissionFactorsStationaryLiquid_Data(), Table_Fuel_EFs_StationaryLiquid[[#Headers],[Fuel combusted]],0)</f>
        <v>92.88</v>
      </c>
      <c r="K69" s="180" cm="1">
        <f t="array" ref="K69">Common_InputFunctions.Utility_DisplayArrayInTable(Fuel_SourceData.Fuel_Scope1Scope3EmissionFactorsStationaryLiquid_Data(), Table_Fuel_EFs_StationaryLiquid[[#Headers],[Fuel combusted]],0)</f>
        <v>18</v>
      </c>
      <c r="L69" s="152"/>
    </row>
    <row r="70" spans="1:13" ht="20.100000000000001" customHeight="1" x14ac:dyDescent="0.2">
      <c r="D70" s="180" t="str" cm="1">
        <f t="array" ref="D70">Common_InputFunctions.Utility_DisplayArrayInTable(Fuel_SourceData.Fuel_Scope1Scope3EmissionFactorsStationaryLiquid_Data(), Table_Fuel_EFs_StationaryLiquid[[#Headers],[Fuel combusted]],0)</f>
        <v>Refinery gas and liquids</v>
      </c>
      <c r="E70" s="180" cm="1">
        <f t="array" ref="E70">Common_InputFunctions.Utility_DisplayArrayInTable(Fuel_SourceData.Fuel_Scope1Scope3EmissionFactorsStationaryLiquid_Data(), Table_Fuel_EFs_StationaryLiquid[[#Headers],[Fuel combusted]],0)</f>
        <v>42.9</v>
      </c>
      <c r="F70" s="180" t="str" cm="1">
        <f t="array" ref="F70">Common_InputFunctions.Utility_DisplayArrayInTable(Fuel_SourceData.Fuel_Scope1Scope3EmissionFactorsStationaryLiquid_Data(), Table_Fuel_EFs_StationaryLiquid[[#Headers],[Fuel combusted]],0)</f>
        <v>t</v>
      </c>
      <c r="G70" s="180" cm="1">
        <f t="array" ref="G70">Common_InputFunctions.Utility_DisplayArrayInTable(Fuel_SourceData.Fuel_Scope1Scope3EmissionFactorsStationaryLiquid_Data(), Table_Fuel_EFs_StationaryLiquid[[#Headers],[Fuel combusted]],0)</f>
        <v>54.7</v>
      </c>
      <c r="H70" s="180" cm="1">
        <f t="array" ref="H70">Common_InputFunctions.Utility_DisplayArrayInTable(Fuel_SourceData.Fuel_Scope1Scope3EmissionFactorsStationaryLiquid_Data(), Table_Fuel_EFs_StationaryLiquid[[#Headers],[Fuel combusted]],0)</f>
        <v>0.03</v>
      </c>
      <c r="I70" s="180" cm="1">
        <f t="array" ref="I70">Common_InputFunctions.Utility_DisplayArrayInTable(Fuel_SourceData.Fuel_Scope1Scope3EmissionFactorsStationaryLiquid_Data(), Table_Fuel_EFs_StationaryLiquid[[#Headers],[Fuel combusted]],0)</f>
        <v>0.03</v>
      </c>
      <c r="J70" s="180" cm="1">
        <f t="array" ref="J70">Common_InputFunctions.Utility_DisplayArrayInTable(Fuel_SourceData.Fuel_Scope1Scope3EmissionFactorsStationaryLiquid_Data(), Table_Fuel_EFs_StationaryLiquid[[#Headers],[Fuel combusted]],0)</f>
        <v>54.76</v>
      </c>
      <c r="K70" s="180" cm="1">
        <f t="array" ref="K70">Common_InputFunctions.Utility_DisplayArrayInTable(Fuel_SourceData.Fuel_Scope1Scope3EmissionFactorsStationaryLiquid_Data(), Table_Fuel_EFs_StationaryLiquid[[#Headers],[Fuel combusted]],0)</f>
        <v>18</v>
      </c>
      <c r="L70" s="152"/>
    </row>
    <row r="71" spans="1:13" ht="20.100000000000001" customHeight="1" x14ac:dyDescent="0.2">
      <c r="D71" s="180" t="str" cm="1">
        <f t="array" ref="D71">Common_InputFunctions.Utility_DisplayArrayInTable(Fuel_SourceData.Fuel_Scope1Scope3EmissionFactorsStationaryLiquid_Data(), Table_Fuel_EFs_StationaryLiquid[[#Headers],[Fuel combusted]],0)</f>
        <v>Refinery coke</v>
      </c>
      <c r="E71" s="180" cm="1">
        <f t="array" ref="E71">Common_InputFunctions.Utility_DisplayArrayInTable(Fuel_SourceData.Fuel_Scope1Scope3EmissionFactorsStationaryLiquid_Data(), Table_Fuel_EFs_StationaryLiquid[[#Headers],[Fuel combusted]],0)</f>
        <v>34.200000000000003</v>
      </c>
      <c r="F71" s="180" t="str" cm="1">
        <f t="array" ref="F71">Common_InputFunctions.Utility_DisplayArrayInTable(Fuel_SourceData.Fuel_Scope1Scope3EmissionFactorsStationaryLiquid_Data(), Table_Fuel_EFs_StationaryLiquid[[#Headers],[Fuel combusted]],0)</f>
        <v>t</v>
      </c>
      <c r="G71" s="180" cm="1">
        <f t="array" ref="G71">Common_InputFunctions.Utility_DisplayArrayInTable(Fuel_SourceData.Fuel_Scope1Scope3EmissionFactorsStationaryLiquid_Data(), Table_Fuel_EFs_StationaryLiquid[[#Headers],[Fuel combusted]],0)</f>
        <v>92.6</v>
      </c>
      <c r="H71" s="180" cm="1">
        <f t="array" ref="H71">Common_InputFunctions.Utility_DisplayArrayInTable(Fuel_SourceData.Fuel_Scope1Scope3EmissionFactorsStationaryLiquid_Data(), Table_Fuel_EFs_StationaryLiquid[[#Headers],[Fuel combusted]],0)</f>
        <v>0.08</v>
      </c>
      <c r="I71" s="180" cm="1">
        <f t="array" ref="I71">Common_InputFunctions.Utility_DisplayArrayInTable(Fuel_SourceData.Fuel_Scope1Scope3EmissionFactorsStationaryLiquid_Data(), Table_Fuel_EFs_StationaryLiquid[[#Headers],[Fuel combusted]],0)</f>
        <v>0.2</v>
      </c>
      <c r="J71" s="180" cm="1">
        <f t="array" ref="J71">Common_InputFunctions.Utility_DisplayArrayInTable(Fuel_SourceData.Fuel_Scope1Scope3EmissionFactorsStationaryLiquid_Data(), Table_Fuel_EFs_StationaryLiquid[[#Headers],[Fuel combusted]],0)</f>
        <v>92.88</v>
      </c>
      <c r="K71" s="180" cm="1">
        <f t="array" ref="K71">Common_InputFunctions.Utility_DisplayArrayInTable(Fuel_SourceData.Fuel_Scope1Scope3EmissionFactorsStationaryLiquid_Data(), Table_Fuel_EFs_StationaryLiquid[[#Headers],[Fuel combusted]],0)</f>
        <v>18</v>
      </c>
      <c r="L71" s="152"/>
    </row>
    <row r="72" spans="1:13" ht="20.100000000000001" customHeight="1" x14ac:dyDescent="0.2">
      <c r="D72" s="180" t="str" cm="1">
        <f t="array" ref="D72">Common_InputFunctions.Utility_DisplayArrayInTable(Fuel_SourceData.Fuel_Scope1Scope3EmissionFactorsStationaryLiquid_Data(), Table_Fuel_EFs_StationaryLiquid[[#Headers],[Fuel combusted]],0)</f>
        <v>Petroleum based products other than mentioned in the items above</v>
      </c>
      <c r="E72" s="180" cm="1">
        <f t="array" ref="E72">Common_InputFunctions.Utility_DisplayArrayInTable(Fuel_SourceData.Fuel_Scope1Scope3EmissionFactorsStationaryLiquid_Data(), Table_Fuel_EFs_StationaryLiquid[[#Headers],[Fuel combusted]],0)</f>
        <v>34.4</v>
      </c>
      <c r="F72" s="180" t="str" cm="1">
        <f t="array" ref="F72">Common_InputFunctions.Utility_DisplayArrayInTable(Fuel_SourceData.Fuel_Scope1Scope3EmissionFactorsStationaryLiquid_Data(), Table_Fuel_EFs_StationaryLiquid[[#Headers],[Fuel combusted]],0)</f>
        <v>kL</v>
      </c>
      <c r="G72" s="180" cm="1">
        <f t="array" ref="G72">Common_InputFunctions.Utility_DisplayArrayInTable(Fuel_SourceData.Fuel_Scope1Scope3EmissionFactorsStationaryLiquid_Data(), Table_Fuel_EFs_StationaryLiquid[[#Headers],[Fuel combusted]],0)</f>
        <v>69.8</v>
      </c>
      <c r="H72" s="180" cm="1">
        <f t="array" ref="H72">Common_InputFunctions.Utility_DisplayArrayInTable(Fuel_SourceData.Fuel_Scope1Scope3EmissionFactorsStationaryLiquid_Data(), Table_Fuel_EFs_StationaryLiquid[[#Headers],[Fuel combusted]],0)</f>
        <v>0.02</v>
      </c>
      <c r="I72" s="180" cm="1">
        <f t="array" ref="I72">Common_InputFunctions.Utility_DisplayArrayInTable(Fuel_SourceData.Fuel_Scope1Scope3EmissionFactorsStationaryLiquid_Data(), Table_Fuel_EFs_StationaryLiquid[[#Headers],[Fuel combusted]],0)</f>
        <v>0.1</v>
      </c>
      <c r="J72" s="180" cm="1">
        <f t="array" ref="J72">Common_InputFunctions.Utility_DisplayArrayInTable(Fuel_SourceData.Fuel_Scope1Scope3EmissionFactorsStationaryLiquid_Data(), Table_Fuel_EFs_StationaryLiquid[[#Headers],[Fuel combusted]],0)</f>
        <v>69.92</v>
      </c>
      <c r="K72" s="180" cm="1">
        <f t="array" ref="K72">Common_InputFunctions.Utility_DisplayArrayInTable(Fuel_SourceData.Fuel_Scope1Scope3EmissionFactorsStationaryLiquid_Data(), Table_Fuel_EFs_StationaryLiquid[[#Headers],[Fuel combusted]],0)</f>
        <v>18</v>
      </c>
      <c r="L72" s="152"/>
    </row>
    <row r="73" spans="1:13" ht="20.100000000000001" customHeight="1" x14ac:dyDescent="0.2">
      <c r="D73" s="180" t="str" cm="1">
        <f t="array" ref="D73">Common_InputFunctions.Utility_DisplayArrayInTable(Fuel_SourceData.Fuel_Scope1Scope3EmissionFactorsStationaryLiquid_Data(), Table_Fuel_EFs_StationaryLiquid[[#Headers],[Fuel combusted]],0)</f>
        <v>Biodiesel</v>
      </c>
      <c r="E73" s="180" cm="1">
        <f t="array" ref="E73">Common_InputFunctions.Utility_DisplayArrayInTable(Fuel_SourceData.Fuel_Scope1Scope3EmissionFactorsStationaryLiquid_Data(), Table_Fuel_EFs_StationaryLiquid[[#Headers],[Fuel combusted]],0)</f>
        <v>34.6</v>
      </c>
      <c r="F73" s="180" t="str" cm="1">
        <f t="array" ref="F73">Common_InputFunctions.Utility_DisplayArrayInTable(Fuel_SourceData.Fuel_Scope1Scope3EmissionFactorsStationaryLiquid_Data(), Table_Fuel_EFs_StationaryLiquid[[#Headers],[Fuel combusted]],0)</f>
        <v>kL</v>
      </c>
      <c r="G73" s="180" cm="1">
        <f t="array" ref="G73">Common_InputFunctions.Utility_DisplayArrayInTable(Fuel_SourceData.Fuel_Scope1Scope3EmissionFactorsStationaryLiquid_Data(), Table_Fuel_EFs_StationaryLiquid[[#Headers],[Fuel combusted]],0)</f>
        <v>0</v>
      </c>
      <c r="H73" s="180" cm="1">
        <f t="array" ref="H73">Common_InputFunctions.Utility_DisplayArrayInTable(Fuel_SourceData.Fuel_Scope1Scope3EmissionFactorsStationaryLiquid_Data(), Table_Fuel_EFs_StationaryLiquid[[#Headers],[Fuel combusted]],0)</f>
        <v>0.08</v>
      </c>
      <c r="I73" s="180" cm="1">
        <f t="array" ref="I73">Common_InputFunctions.Utility_DisplayArrayInTable(Fuel_SourceData.Fuel_Scope1Scope3EmissionFactorsStationaryLiquid_Data(), Table_Fuel_EFs_StationaryLiquid[[#Headers],[Fuel combusted]],0)</f>
        <v>0.2</v>
      </c>
      <c r="J73" s="180" cm="1">
        <f t="array" ref="J73">Common_InputFunctions.Utility_DisplayArrayInTable(Fuel_SourceData.Fuel_Scope1Scope3EmissionFactorsStationaryLiquid_Data(), Table_Fuel_EFs_StationaryLiquid[[#Headers],[Fuel combusted]],0)</f>
        <v>0.28000000000000003</v>
      </c>
      <c r="K73" s="180" t="str" cm="1">
        <f t="array" ref="K73">Common_InputFunctions.Utility_DisplayArrayInTable(Fuel_SourceData.Fuel_Scope1Scope3EmissionFactorsStationaryLiquid_Data(), Table_Fuel_EFs_StationaryLiquid[[#Headers],[Fuel combusted]],0)</f>
        <v>NE</v>
      </c>
      <c r="L73" s="152"/>
    </row>
    <row r="74" spans="1:13" ht="20.100000000000001" customHeight="1" x14ac:dyDescent="0.2">
      <c r="D74" s="180" t="str" cm="1">
        <f t="array" ref="D74">Common_InputFunctions.Utility_DisplayArrayInTable(Fuel_SourceData.Fuel_Scope1Scope3EmissionFactorsStationaryLiquid_Data(), Table_Fuel_EFs_StationaryLiquid[[#Headers],[Fuel combusted]],0)</f>
        <v>Ethanol for use as a fuel in an internal combustion engine</v>
      </c>
      <c r="E74" s="180" cm="1">
        <f t="array" ref="E74">Common_InputFunctions.Utility_DisplayArrayInTable(Fuel_SourceData.Fuel_Scope1Scope3EmissionFactorsStationaryLiquid_Data(), Table_Fuel_EFs_StationaryLiquid[[#Headers],[Fuel combusted]],0)</f>
        <v>23.4</v>
      </c>
      <c r="F74" s="180" t="str" cm="1">
        <f t="array" ref="F74">Common_InputFunctions.Utility_DisplayArrayInTable(Fuel_SourceData.Fuel_Scope1Scope3EmissionFactorsStationaryLiquid_Data(), Table_Fuel_EFs_StationaryLiquid[[#Headers],[Fuel combusted]],0)</f>
        <v>kL</v>
      </c>
      <c r="G74" s="180" cm="1">
        <f t="array" ref="G74">Common_InputFunctions.Utility_DisplayArrayInTable(Fuel_SourceData.Fuel_Scope1Scope3EmissionFactorsStationaryLiquid_Data(), Table_Fuel_EFs_StationaryLiquid[[#Headers],[Fuel combusted]],0)</f>
        <v>0</v>
      </c>
      <c r="H74" s="180" cm="1">
        <f t="array" ref="H74">Common_InputFunctions.Utility_DisplayArrayInTable(Fuel_SourceData.Fuel_Scope1Scope3EmissionFactorsStationaryLiquid_Data(), Table_Fuel_EFs_StationaryLiquid[[#Headers],[Fuel combusted]],0)</f>
        <v>0.08</v>
      </c>
      <c r="I74" s="180" cm="1">
        <f t="array" ref="I74">Common_InputFunctions.Utility_DisplayArrayInTable(Fuel_SourceData.Fuel_Scope1Scope3EmissionFactorsStationaryLiquid_Data(), Table_Fuel_EFs_StationaryLiquid[[#Headers],[Fuel combusted]],0)</f>
        <v>0.2</v>
      </c>
      <c r="J74" s="180" cm="1">
        <f t="array" ref="J74">Common_InputFunctions.Utility_DisplayArrayInTable(Fuel_SourceData.Fuel_Scope1Scope3EmissionFactorsStationaryLiquid_Data(), Table_Fuel_EFs_StationaryLiquid[[#Headers],[Fuel combusted]],0)</f>
        <v>0.28000000000000003</v>
      </c>
      <c r="K74" s="180" t="str" cm="1">
        <f t="array" ref="K74">Common_InputFunctions.Utility_DisplayArrayInTable(Fuel_SourceData.Fuel_Scope1Scope3EmissionFactorsStationaryLiquid_Data(), Table_Fuel_EFs_StationaryLiquid[[#Headers],[Fuel combusted]],0)</f>
        <v>NE</v>
      </c>
      <c r="L74" s="152"/>
    </row>
    <row r="75" spans="1:13" ht="20.100000000000001" customHeight="1" x14ac:dyDescent="0.2">
      <c r="D75" s="180" t="str" cm="1">
        <f t="array" ref="D75">Common_InputFunctions.Utility_DisplayArrayInTable(Fuel_SourceData.Fuel_Scope1Scope3EmissionFactorsStationaryLiquid_Data(), Table_Fuel_EFs_StationaryLiquid[[#Headers],[Fuel combusted]],0)</f>
        <v>Biofuels other than those mentioned in the items above and below</v>
      </c>
      <c r="E75" s="180" cm="1">
        <f t="array" ref="E75">Common_InputFunctions.Utility_DisplayArrayInTable(Fuel_SourceData.Fuel_Scope1Scope3EmissionFactorsStationaryLiquid_Data(), Table_Fuel_EFs_StationaryLiquid[[#Headers],[Fuel combusted]],0)</f>
        <v>23.4</v>
      </c>
      <c r="F75" s="180" t="str" cm="1">
        <f t="array" ref="F75">Common_InputFunctions.Utility_DisplayArrayInTable(Fuel_SourceData.Fuel_Scope1Scope3EmissionFactorsStationaryLiquid_Data(), Table_Fuel_EFs_StationaryLiquid[[#Headers],[Fuel combusted]],0)</f>
        <v>kL</v>
      </c>
      <c r="G75" s="180" cm="1">
        <f t="array" ref="G75">Common_InputFunctions.Utility_DisplayArrayInTable(Fuel_SourceData.Fuel_Scope1Scope3EmissionFactorsStationaryLiquid_Data(), Table_Fuel_EFs_StationaryLiquid[[#Headers],[Fuel combusted]],0)</f>
        <v>0</v>
      </c>
      <c r="H75" s="180" cm="1">
        <f t="array" ref="H75">Common_InputFunctions.Utility_DisplayArrayInTable(Fuel_SourceData.Fuel_Scope1Scope3EmissionFactorsStationaryLiquid_Data(), Table_Fuel_EFs_StationaryLiquid[[#Headers],[Fuel combusted]],0)</f>
        <v>0.08</v>
      </c>
      <c r="I75" s="180" cm="1">
        <f t="array" ref="I75">Common_InputFunctions.Utility_DisplayArrayInTable(Fuel_SourceData.Fuel_Scope1Scope3EmissionFactorsStationaryLiquid_Data(), Table_Fuel_EFs_StationaryLiquid[[#Headers],[Fuel combusted]],0)</f>
        <v>0.2</v>
      </c>
      <c r="J75" s="180" cm="1">
        <f t="array" ref="J75">Common_InputFunctions.Utility_DisplayArrayInTable(Fuel_SourceData.Fuel_Scope1Scope3EmissionFactorsStationaryLiquid_Data(), Table_Fuel_EFs_StationaryLiquid[[#Headers],[Fuel combusted]],0)</f>
        <v>0.28000000000000003</v>
      </c>
      <c r="K75" s="180" t="str" cm="1">
        <f t="array" ref="K75">Common_InputFunctions.Utility_DisplayArrayInTable(Fuel_SourceData.Fuel_Scope1Scope3EmissionFactorsStationaryLiquid_Data(), Table_Fuel_EFs_StationaryLiquid[[#Headers],[Fuel combusted]],0)</f>
        <v>NE</v>
      </c>
      <c r="L75" s="152"/>
    </row>
    <row r="76" spans="1:13" ht="20.100000000000001" customHeight="1" x14ac:dyDescent="0.2">
      <c r="D76" s="180" t="str" cm="1">
        <f t="array" ref="D76">Common_InputFunctions.Utility_DisplayArrayInTable(Fuel_SourceData.Fuel_Scope1Scope3EmissionFactorsStationaryLiquid_Data(), Table_Fuel_EFs_StationaryLiquid[[#Headers],[Fuel combusted]],0)</f>
        <v>Renewable aviation kerosene</v>
      </c>
      <c r="E76" s="180" cm="1">
        <f t="array" ref="E76">Common_InputFunctions.Utility_DisplayArrayInTable(Fuel_SourceData.Fuel_Scope1Scope3EmissionFactorsStationaryLiquid_Data(), Table_Fuel_EFs_StationaryLiquid[[#Headers],[Fuel combusted]],0)</f>
        <v>36.799999999999997</v>
      </c>
      <c r="F76" s="180" t="str" cm="1">
        <f t="array" ref="F76">Common_InputFunctions.Utility_DisplayArrayInTable(Fuel_SourceData.Fuel_Scope1Scope3EmissionFactorsStationaryLiquid_Data(), Table_Fuel_EFs_StationaryLiquid[[#Headers],[Fuel combusted]],0)</f>
        <v>kL</v>
      </c>
      <c r="G76" s="180" cm="1">
        <f t="array" ref="G76">Common_InputFunctions.Utility_DisplayArrayInTable(Fuel_SourceData.Fuel_Scope1Scope3EmissionFactorsStationaryLiquid_Data(), Table_Fuel_EFs_StationaryLiquid[[#Headers],[Fuel combusted]],0)</f>
        <v>0</v>
      </c>
      <c r="H76" s="180" cm="1">
        <f t="array" ref="H76">Common_InputFunctions.Utility_DisplayArrayInTable(Fuel_SourceData.Fuel_Scope1Scope3EmissionFactorsStationaryLiquid_Data(), Table_Fuel_EFs_StationaryLiquid[[#Headers],[Fuel combusted]],0)</f>
        <v>0.02</v>
      </c>
      <c r="I76" s="180" cm="1">
        <f t="array" ref="I76">Common_InputFunctions.Utility_DisplayArrayInTable(Fuel_SourceData.Fuel_Scope1Scope3EmissionFactorsStationaryLiquid_Data(), Table_Fuel_EFs_StationaryLiquid[[#Headers],[Fuel combusted]],0)</f>
        <v>0.2</v>
      </c>
      <c r="J76" s="180" cm="1">
        <f t="array" ref="J76">Common_InputFunctions.Utility_DisplayArrayInTable(Fuel_SourceData.Fuel_Scope1Scope3EmissionFactorsStationaryLiquid_Data(), Table_Fuel_EFs_StationaryLiquid[[#Headers],[Fuel combusted]],0)</f>
        <v>0.22</v>
      </c>
      <c r="K76" s="180" t="str" cm="1">
        <f t="array" ref="K76">Common_InputFunctions.Utility_DisplayArrayInTable(Fuel_SourceData.Fuel_Scope1Scope3EmissionFactorsStationaryLiquid_Data(), Table_Fuel_EFs_StationaryLiquid[[#Headers],[Fuel combusted]],0)</f>
        <v>NE</v>
      </c>
      <c r="L76" s="152"/>
    </row>
    <row r="77" spans="1:13" ht="20.100000000000001" customHeight="1" x14ac:dyDescent="0.2">
      <c r="D77" s="180" t="str" cm="1">
        <f t="array" ref="D77">Common_InputFunctions.Utility_DisplayArrayInTable(Fuel_SourceData.Fuel_Scope1Scope3EmissionFactorsStationaryLiquid_Data(), Table_Fuel_EFs_StationaryLiquid[[#Headers],[Fuel combusted]],0)</f>
        <v>Renewable diesel</v>
      </c>
      <c r="E77" s="180" cm="1">
        <f t="array" ref="E77">Common_InputFunctions.Utility_DisplayArrayInTable(Fuel_SourceData.Fuel_Scope1Scope3EmissionFactorsStationaryLiquid_Data(), Table_Fuel_EFs_StationaryLiquid[[#Headers],[Fuel combusted]],0)</f>
        <v>38.6</v>
      </c>
      <c r="F77" s="180" t="str" cm="1">
        <f t="array" ref="F77">Common_InputFunctions.Utility_DisplayArrayInTable(Fuel_SourceData.Fuel_Scope1Scope3EmissionFactorsStationaryLiquid_Data(), Table_Fuel_EFs_StationaryLiquid[[#Headers],[Fuel combusted]],0)</f>
        <v>kL</v>
      </c>
      <c r="G77" s="180" cm="1">
        <f t="array" ref="G77">Common_InputFunctions.Utility_DisplayArrayInTable(Fuel_SourceData.Fuel_Scope1Scope3EmissionFactorsStationaryLiquid_Data(), Table_Fuel_EFs_StationaryLiquid[[#Headers],[Fuel combusted]],0)</f>
        <v>0</v>
      </c>
      <c r="H77" s="180" cm="1">
        <f t="array" ref="H77">Common_InputFunctions.Utility_DisplayArrayInTable(Fuel_SourceData.Fuel_Scope1Scope3EmissionFactorsStationaryLiquid_Data(), Table_Fuel_EFs_StationaryLiquid[[#Headers],[Fuel combusted]],0)</f>
        <v>0.1</v>
      </c>
      <c r="I77" s="180" cm="1">
        <f t="array" ref="I77">Common_InputFunctions.Utility_DisplayArrayInTable(Fuel_SourceData.Fuel_Scope1Scope3EmissionFactorsStationaryLiquid_Data(), Table_Fuel_EFs_StationaryLiquid[[#Headers],[Fuel combusted]],0)</f>
        <v>0.2</v>
      </c>
      <c r="J77" s="180" cm="1">
        <f t="array" ref="J77">Common_InputFunctions.Utility_DisplayArrayInTable(Fuel_SourceData.Fuel_Scope1Scope3EmissionFactorsStationaryLiquid_Data(), Table_Fuel_EFs_StationaryLiquid[[#Headers],[Fuel combusted]],0)</f>
        <v>0.3</v>
      </c>
      <c r="K77" s="180" t="str" cm="1">
        <f t="array" ref="K77">Common_InputFunctions.Utility_DisplayArrayInTable(Fuel_SourceData.Fuel_Scope1Scope3EmissionFactorsStationaryLiquid_Data(), Table_Fuel_EFs_StationaryLiquid[[#Headers],[Fuel combusted]],0)</f>
        <v>NE</v>
      </c>
      <c r="L77" s="152"/>
    </row>
    <row r="78" spans="1:13" ht="20.100000000000001" customHeight="1" x14ac:dyDescent="0.2">
      <c r="D78" s="152"/>
      <c r="E78" s="152"/>
      <c r="F78" s="152"/>
      <c r="G78" s="152"/>
      <c r="H78" s="152"/>
      <c r="I78" s="152"/>
      <c r="J78" s="152"/>
      <c r="K78" s="152"/>
      <c r="L78" s="152"/>
    </row>
    <row r="79" spans="1:13" ht="20.100000000000001" customHeight="1" x14ac:dyDescent="0.2">
      <c r="D79" s="152"/>
      <c r="E79" s="152"/>
      <c r="F79" s="152"/>
      <c r="G79" s="152"/>
      <c r="H79" s="152"/>
      <c r="I79" s="152"/>
      <c r="J79" s="152"/>
      <c r="K79" s="152"/>
      <c r="L79" s="152"/>
      <c r="M79" s="152"/>
    </row>
    <row r="80" spans="1:13" ht="20.100000000000001" customHeight="1" x14ac:dyDescent="0.2">
      <c r="D80" s="152"/>
      <c r="E80" s="152"/>
      <c r="F80" s="152"/>
      <c r="G80" s="152"/>
      <c r="H80" s="152"/>
      <c r="I80" s="152"/>
      <c r="J80" s="152"/>
      <c r="K80" s="152"/>
      <c r="L80" s="152"/>
      <c r="M80" s="152"/>
    </row>
    <row r="81" spans="1:12" ht="20.100000000000001" customHeight="1" x14ac:dyDescent="0.2">
      <c r="D81" s="2" t="str" cm="1">
        <f t="array" ref="D81">Fuel_SourceData.Fuel_Scope1EmissionFactorsStationaryGaseous_Title()</f>
        <v>Fuel scope 1 emission factors - Stationary gaseous fuels</v>
      </c>
      <c r="E81" s="152"/>
      <c r="F81" s="152"/>
      <c r="G81" s="152"/>
      <c r="H81" s="152"/>
      <c r="I81" s="152"/>
      <c r="J81" s="152"/>
      <c r="K81" s="152"/>
      <c r="L81" s="152"/>
    </row>
    <row r="82" spans="1:12" ht="20.100000000000001" customHeight="1" x14ac:dyDescent="0.2">
      <c r="D82" s="1" t="str" cm="1">
        <f t="array" ref="D82">Fuel_SourceData.Fuel_Scope1EmissionFactorsStationaryGaseous_Description()</f>
        <v xml:space="preserve">Direct (Scope 1) emission factors for the consumption of gaseous fuels including liquefied natural gas  </v>
      </c>
      <c r="E82" s="152"/>
      <c r="F82" s="152"/>
      <c r="G82" s="152"/>
      <c r="H82" s="152"/>
      <c r="I82" s="152"/>
      <c r="J82" s="152"/>
      <c r="K82" s="152"/>
      <c r="L82" s="152"/>
    </row>
    <row r="83" spans="1:12" ht="20.100000000000001" customHeight="1" x14ac:dyDescent="0.2">
      <c r="D83" s="17" t="str" cm="1">
        <f t="array" ref="D83">Fuel_SourceData.Fuel_Scope1EmissionFactorsStationaryGaseous_Source()</f>
        <v>Australian National Greenhouse Accounts Factors 2025 - Table 5</v>
      </c>
      <c r="E83" s="152"/>
      <c r="F83" s="152"/>
      <c r="G83" s="152"/>
      <c r="H83" s="152"/>
      <c r="I83" s="152"/>
      <c r="J83" s="152"/>
      <c r="K83" s="152"/>
      <c r="L83" s="152"/>
    </row>
    <row r="84" spans="1:12" ht="20.100000000000001" customHeight="1" x14ac:dyDescent="0.2">
      <c r="D84" s="25"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52"/>
      <c r="F84" s="152"/>
      <c r="G84" s="152"/>
      <c r="H84" s="152"/>
      <c r="I84" s="152"/>
      <c r="J84" s="152"/>
      <c r="K84" s="152"/>
      <c r="L84" s="152"/>
    </row>
    <row r="85" spans="1:12" ht="20.100000000000001" customHeight="1" x14ac:dyDescent="0.2">
      <c r="D85" s="152"/>
      <c r="E85" s="152"/>
      <c r="F85" s="152"/>
      <c r="G85" s="152"/>
      <c r="H85" s="152"/>
      <c r="I85" s="152"/>
      <c r="J85" s="152"/>
      <c r="K85" s="152"/>
      <c r="L85" s="152"/>
    </row>
    <row r="86" spans="1:12" ht="20.100000000000001" customHeight="1" x14ac:dyDescent="0.2">
      <c r="D86" s="145" t="s">
        <v>630</v>
      </c>
      <c r="E86" s="179" t="s">
        <v>631</v>
      </c>
      <c r="F86" s="145" t="s">
        <v>632</v>
      </c>
      <c r="G86" s="179" t="s">
        <v>633</v>
      </c>
      <c r="H86" s="179" t="s">
        <v>634</v>
      </c>
      <c r="I86" s="179" t="s">
        <v>635</v>
      </c>
      <c r="J86" s="179" t="s">
        <v>636</v>
      </c>
      <c r="K86" s="152"/>
      <c r="L86" s="152"/>
    </row>
    <row r="87" spans="1:12" ht="20.100000000000001" customHeight="1" x14ac:dyDescent="0.2">
      <c r="D87" s="180" t="str" cm="1">
        <f t="array" ref="D87">Common_InputFunctions.Utility_DisplayArrayInTable(Fuel_SourceData.Fuel_Scope1EmissionFactorsStationaryGaseous_Data(), Table_Fuel_EFs_StationaryGaseous[[#Headers],[Fuel combusted]],0)</f>
        <v>Natural gas distributed in a pipeline</v>
      </c>
      <c r="E87" s="180" cm="1">
        <f t="array" ref="E87">Common_InputFunctions.Utility_DisplayArrayInTable(Fuel_SourceData.Fuel_Scope1EmissionFactorsStationaryGaseous_Data(), Table_Fuel_EFs_StationaryGaseous[[#Headers],[Fuel combusted]],0)</f>
        <v>3.9300000000000002E-2</v>
      </c>
      <c r="F87" s="180" t="str" cm="1">
        <f t="array" ref="F87">Common_InputFunctions.Utility_DisplayArrayInTable(Fuel_SourceData.Fuel_Scope1EmissionFactorsStationaryGaseous_Data(), Table_Fuel_EFs_StationaryGaseous[[#Headers],[Fuel combusted]],0)</f>
        <v>m3</v>
      </c>
      <c r="G87" s="180" cm="1">
        <f t="array" ref="G87">Common_InputFunctions.Utility_DisplayArrayInTable(Fuel_SourceData.Fuel_Scope1EmissionFactorsStationaryGaseous_Data(), Table_Fuel_EFs_StationaryGaseous[[#Headers],[Fuel combusted]],0)</f>
        <v>51.4</v>
      </c>
      <c r="H87" s="180" cm="1">
        <f t="array" ref="H87">Common_InputFunctions.Utility_DisplayArrayInTable(Fuel_SourceData.Fuel_Scope1EmissionFactorsStationaryGaseous_Data(), Table_Fuel_EFs_StationaryGaseous[[#Headers],[Fuel combusted]],0)</f>
        <v>0.1</v>
      </c>
      <c r="I87" s="180" cm="1">
        <f t="array" ref="I87">Common_InputFunctions.Utility_DisplayArrayInTable(Fuel_SourceData.Fuel_Scope1EmissionFactorsStationaryGaseous_Data(), Table_Fuel_EFs_StationaryGaseous[[#Headers],[Fuel combusted]],0)</f>
        <v>0.03</v>
      </c>
      <c r="J87" s="180" cm="1">
        <f t="array" ref="J87">Common_InputFunctions.Utility_DisplayArrayInTable(Fuel_SourceData.Fuel_Scope1EmissionFactorsStationaryGaseous_Data(), Table_Fuel_EFs_StationaryGaseous[[#Headers],[Fuel combusted]],0)</f>
        <v>51.53</v>
      </c>
      <c r="K87" s="152"/>
      <c r="L87" s="152"/>
    </row>
    <row r="88" spans="1:12" ht="20.100000000000001" customHeight="1" x14ac:dyDescent="0.2">
      <c r="D88" s="180" t="str" cm="1">
        <f t="array" ref="D88">Common_InputFunctions.Utility_DisplayArrayInTable(Fuel_SourceData.Fuel_Scope1EmissionFactorsStationaryGaseous_Data(), Table_Fuel_EFs_StationaryGaseous[[#Headers],[Fuel combusted]],0)</f>
        <v>Coal seam methane that is captured for combustion</v>
      </c>
      <c r="E88" s="180" cm="1">
        <f t="array" ref="E88">Common_InputFunctions.Utility_DisplayArrayInTable(Fuel_SourceData.Fuel_Scope1EmissionFactorsStationaryGaseous_Data(), Table_Fuel_EFs_StationaryGaseous[[#Headers],[Fuel combusted]],0)</f>
        <v>3.7699999999999997E-2</v>
      </c>
      <c r="F88" s="180" t="str" cm="1">
        <f t="array" ref="F88">Common_InputFunctions.Utility_DisplayArrayInTable(Fuel_SourceData.Fuel_Scope1EmissionFactorsStationaryGaseous_Data(), Table_Fuel_EFs_StationaryGaseous[[#Headers],[Fuel combusted]],0)</f>
        <v>m3</v>
      </c>
      <c r="G88" s="180" cm="1">
        <f t="array" ref="G88">Common_InputFunctions.Utility_DisplayArrayInTable(Fuel_SourceData.Fuel_Scope1EmissionFactorsStationaryGaseous_Data(), Table_Fuel_EFs_StationaryGaseous[[#Headers],[Fuel combusted]],0)</f>
        <v>51.4</v>
      </c>
      <c r="H88" s="180" cm="1">
        <f t="array" ref="H88">Common_InputFunctions.Utility_DisplayArrayInTable(Fuel_SourceData.Fuel_Scope1EmissionFactorsStationaryGaseous_Data(), Table_Fuel_EFs_StationaryGaseous[[#Headers],[Fuel combusted]],0)</f>
        <v>0.2</v>
      </c>
      <c r="I88" s="180" cm="1">
        <f t="array" ref="I88">Common_InputFunctions.Utility_DisplayArrayInTable(Fuel_SourceData.Fuel_Scope1EmissionFactorsStationaryGaseous_Data(), Table_Fuel_EFs_StationaryGaseous[[#Headers],[Fuel combusted]],0)</f>
        <v>0.03</v>
      </c>
      <c r="J88" s="180" cm="1">
        <f t="array" ref="J88">Common_InputFunctions.Utility_DisplayArrayInTable(Fuel_SourceData.Fuel_Scope1EmissionFactorsStationaryGaseous_Data(), Table_Fuel_EFs_StationaryGaseous[[#Headers],[Fuel combusted]],0)</f>
        <v>51.63</v>
      </c>
      <c r="K88" s="152"/>
      <c r="L88" s="152"/>
    </row>
    <row r="89" spans="1:12" ht="20.100000000000001" customHeight="1" x14ac:dyDescent="0.2">
      <c r="D89" s="180" t="str" cm="1">
        <f t="array" ref="D89">Common_InputFunctions.Utility_DisplayArrayInTable(Fuel_SourceData.Fuel_Scope1EmissionFactorsStationaryGaseous_Data(), Table_Fuel_EFs_StationaryGaseous[[#Headers],[Fuel combusted]],0)</f>
        <v>Coal mine waste gas that is captured for combustion</v>
      </c>
      <c r="E89" s="180" cm="1">
        <f t="array" ref="E89">Common_InputFunctions.Utility_DisplayArrayInTable(Fuel_SourceData.Fuel_Scope1EmissionFactorsStationaryGaseous_Data(), Table_Fuel_EFs_StationaryGaseous[[#Headers],[Fuel combusted]],0)</f>
        <v>3.7699999999999997E-2</v>
      </c>
      <c r="F89" s="180" t="str" cm="1">
        <f t="array" ref="F89">Common_InputFunctions.Utility_DisplayArrayInTable(Fuel_SourceData.Fuel_Scope1EmissionFactorsStationaryGaseous_Data(), Table_Fuel_EFs_StationaryGaseous[[#Headers],[Fuel combusted]],0)</f>
        <v>m3</v>
      </c>
      <c r="G89" s="180" cm="1">
        <f t="array" ref="G89">Common_InputFunctions.Utility_DisplayArrayInTable(Fuel_SourceData.Fuel_Scope1EmissionFactorsStationaryGaseous_Data(), Table_Fuel_EFs_StationaryGaseous[[#Headers],[Fuel combusted]],0)</f>
        <v>51.9</v>
      </c>
      <c r="H89" s="180" cm="1">
        <f t="array" ref="H89">Common_InputFunctions.Utility_DisplayArrayInTable(Fuel_SourceData.Fuel_Scope1EmissionFactorsStationaryGaseous_Data(), Table_Fuel_EFs_StationaryGaseous[[#Headers],[Fuel combusted]],0)</f>
        <v>4.5999999999999996</v>
      </c>
      <c r="I89" s="180" cm="1">
        <f t="array" ref="I89">Common_InputFunctions.Utility_DisplayArrayInTable(Fuel_SourceData.Fuel_Scope1EmissionFactorsStationaryGaseous_Data(), Table_Fuel_EFs_StationaryGaseous[[#Headers],[Fuel combusted]],0)</f>
        <v>0.3</v>
      </c>
      <c r="J89" s="180" cm="1">
        <f t="array" ref="J89">Common_InputFunctions.Utility_DisplayArrayInTable(Fuel_SourceData.Fuel_Scope1EmissionFactorsStationaryGaseous_Data(), Table_Fuel_EFs_StationaryGaseous[[#Headers],[Fuel combusted]],0)</f>
        <v>56.8</v>
      </c>
      <c r="K89" s="152"/>
      <c r="L89" s="152"/>
    </row>
    <row r="90" spans="1:12" ht="20.100000000000001" customHeight="1" x14ac:dyDescent="0.2">
      <c r="D90" s="180" t="str" cm="1">
        <f t="array" ref="D90">Common_InputFunctions.Utility_DisplayArrayInTable(Fuel_SourceData.Fuel_Scope1EmissionFactorsStationaryGaseous_Data(), Table_Fuel_EFs_StationaryGaseous[[#Headers],[Fuel combusted]],0)</f>
        <v>Compressed natural gas(reverting to standard conditions)</v>
      </c>
      <c r="E90" s="180" cm="1">
        <f t="array" ref="E90">Common_InputFunctions.Utility_DisplayArrayInTable(Fuel_SourceData.Fuel_Scope1EmissionFactorsStationaryGaseous_Data(), Table_Fuel_EFs_StationaryGaseous[[#Headers],[Fuel combusted]],0)</f>
        <v>3.9300000000000002E-2</v>
      </c>
      <c r="F90" s="180" t="str" cm="1">
        <f t="array" ref="F90">Common_InputFunctions.Utility_DisplayArrayInTable(Fuel_SourceData.Fuel_Scope1EmissionFactorsStationaryGaseous_Data(), Table_Fuel_EFs_StationaryGaseous[[#Headers],[Fuel combusted]],0)</f>
        <v>m3</v>
      </c>
      <c r="G90" s="180" cm="1">
        <f t="array" ref="G90">Common_InputFunctions.Utility_DisplayArrayInTable(Fuel_SourceData.Fuel_Scope1EmissionFactorsStationaryGaseous_Data(), Table_Fuel_EFs_StationaryGaseous[[#Headers],[Fuel combusted]],0)</f>
        <v>51.4</v>
      </c>
      <c r="H90" s="180" cm="1">
        <f t="array" ref="H90">Common_InputFunctions.Utility_DisplayArrayInTable(Fuel_SourceData.Fuel_Scope1EmissionFactorsStationaryGaseous_Data(), Table_Fuel_EFs_StationaryGaseous[[#Headers],[Fuel combusted]],0)</f>
        <v>0.1</v>
      </c>
      <c r="I90" s="180" cm="1">
        <f t="array" ref="I90">Common_InputFunctions.Utility_DisplayArrayInTable(Fuel_SourceData.Fuel_Scope1EmissionFactorsStationaryGaseous_Data(), Table_Fuel_EFs_StationaryGaseous[[#Headers],[Fuel combusted]],0)</f>
        <v>0.03</v>
      </c>
      <c r="J90" s="180" cm="1">
        <f t="array" ref="J90">Common_InputFunctions.Utility_DisplayArrayInTable(Fuel_SourceData.Fuel_Scope1EmissionFactorsStationaryGaseous_Data(), Table_Fuel_EFs_StationaryGaseous[[#Headers],[Fuel combusted]],0)</f>
        <v>51.53</v>
      </c>
      <c r="K90" s="152"/>
      <c r="L90" s="152"/>
    </row>
    <row r="91" spans="1:12" ht="20.100000000000001" customHeight="1" x14ac:dyDescent="0.2">
      <c r="D91" s="180" t="str" cm="1">
        <f t="array" ref="D91">Common_InputFunctions.Utility_DisplayArrayInTable(Fuel_SourceData.Fuel_Scope1EmissionFactorsStationaryGaseous_Data(), Table_Fuel_EFs_StationaryGaseous[[#Headers],[Fuel combusted]],0)</f>
        <v>Unprocessed natural gas</v>
      </c>
      <c r="E91" s="180" cm="1">
        <f t="array" ref="E91">Common_InputFunctions.Utility_DisplayArrayInTable(Fuel_SourceData.Fuel_Scope1EmissionFactorsStationaryGaseous_Data(), Table_Fuel_EFs_StationaryGaseous[[#Headers],[Fuel combusted]],0)</f>
        <v>3.9300000000000002E-2</v>
      </c>
      <c r="F91" s="180" t="str" cm="1">
        <f t="array" ref="F91">Common_InputFunctions.Utility_DisplayArrayInTable(Fuel_SourceData.Fuel_Scope1EmissionFactorsStationaryGaseous_Data(), Table_Fuel_EFs_StationaryGaseous[[#Headers],[Fuel combusted]],0)</f>
        <v>m3</v>
      </c>
      <c r="G91" s="180" cm="1">
        <f t="array" ref="G91">Common_InputFunctions.Utility_DisplayArrayInTable(Fuel_SourceData.Fuel_Scope1EmissionFactorsStationaryGaseous_Data(), Table_Fuel_EFs_StationaryGaseous[[#Headers],[Fuel combusted]],0)</f>
        <v>51.4</v>
      </c>
      <c r="H91" s="180" cm="1">
        <f t="array" ref="H91">Common_InputFunctions.Utility_DisplayArrayInTable(Fuel_SourceData.Fuel_Scope1EmissionFactorsStationaryGaseous_Data(), Table_Fuel_EFs_StationaryGaseous[[#Headers],[Fuel combusted]],0)</f>
        <v>0.1</v>
      </c>
      <c r="I91" s="180" cm="1">
        <f t="array" ref="I91">Common_InputFunctions.Utility_DisplayArrayInTable(Fuel_SourceData.Fuel_Scope1EmissionFactorsStationaryGaseous_Data(), Table_Fuel_EFs_StationaryGaseous[[#Headers],[Fuel combusted]],0)</f>
        <v>0.03</v>
      </c>
      <c r="J91" s="180" cm="1">
        <f t="array" ref="J91">Common_InputFunctions.Utility_DisplayArrayInTable(Fuel_SourceData.Fuel_Scope1EmissionFactorsStationaryGaseous_Data(), Table_Fuel_EFs_StationaryGaseous[[#Headers],[Fuel combusted]],0)</f>
        <v>51.53</v>
      </c>
      <c r="K91" s="152"/>
      <c r="L91" s="152"/>
    </row>
    <row r="92" spans="1:12" ht="20.100000000000001" customHeight="1" x14ac:dyDescent="0.2">
      <c r="D92" s="180" t="str" cm="1">
        <f t="array" ref="D92">Common_InputFunctions.Utility_DisplayArrayInTable(Fuel_SourceData.Fuel_Scope1EmissionFactorsStationaryGaseous_Data(), Table_Fuel_EFs_StationaryGaseous[[#Headers],[Fuel combusted]],0)</f>
        <v>Ethane</v>
      </c>
      <c r="E92" s="180" cm="1">
        <f t="array" ref="E92">Common_InputFunctions.Utility_DisplayArrayInTable(Fuel_SourceData.Fuel_Scope1EmissionFactorsStationaryGaseous_Data(), Table_Fuel_EFs_StationaryGaseous[[#Headers],[Fuel combusted]],0)</f>
        <v>6.2899999999999998E-2</v>
      </c>
      <c r="F92" s="180" t="str" cm="1">
        <f t="array" ref="F92">Common_InputFunctions.Utility_DisplayArrayInTable(Fuel_SourceData.Fuel_Scope1EmissionFactorsStationaryGaseous_Data(), Table_Fuel_EFs_StationaryGaseous[[#Headers],[Fuel combusted]],0)</f>
        <v>m3</v>
      </c>
      <c r="G92" s="180" cm="1">
        <f t="array" ref="G92">Common_InputFunctions.Utility_DisplayArrayInTable(Fuel_SourceData.Fuel_Scope1EmissionFactorsStationaryGaseous_Data(), Table_Fuel_EFs_StationaryGaseous[[#Headers],[Fuel combusted]],0)</f>
        <v>56.5</v>
      </c>
      <c r="H92" s="180" cm="1">
        <f t="array" ref="H92">Common_InputFunctions.Utility_DisplayArrayInTable(Fuel_SourceData.Fuel_Scope1EmissionFactorsStationaryGaseous_Data(), Table_Fuel_EFs_StationaryGaseous[[#Headers],[Fuel combusted]],0)</f>
        <v>0.03</v>
      </c>
      <c r="I92" s="180" cm="1">
        <f t="array" ref="I92">Common_InputFunctions.Utility_DisplayArrayInTable(Fuel_SourceData.Fuel_Scope1EmissionFactorsStationaryGaseous_Data(), Table_Fuel_EFs_StationaryGaseous[[#Headers],[Fuel combusted]],0)</f>
        <v>0.03</v>
      </c>
      <c r="J92" s="180" cm="1">
        <f t="array" ref="J92">Common_InputFunctions.Utility_DisplayArrayInTable(Fuel_SourceData.Fuel_Scope1EmissionFactorsStationaryGaseous_Data(), Table_Fuel_EFs_StationaryGaseous[[#Headers],[Fuel combusted]],0)</f>
        <v>56.56</v>
      </c>
      <c r="K92" s="152"/>
      <c r="L92" s="152"/>
    </row>
    <row r="93" spans="1:12" ht="20.100000000000001" customHeight="1" x14ac:dyDescent="0.2">
      <c r="D93" s="180" t="str" cm="1">
        <f t="array" ref="D93">Common_InputFunctions.Utility_DisplayArrayInTable(Fuel_SourceData.Fuel_Scope1EmissionFactorsStationaryGaseous_Data(), Table_Fuel_EFs_StationaryGaseous[[#Headers],[Fuel combusted]],0)</f>
        <v>Coke oven gas</v>
      </c>
      <c r="E93" s="180" cm="1">
        <f t="array" ref="E93">Common_InputFunctions.Utility_DisplayArrayInTable(Fuel_SourceData.Fuel_Scope1EmissionFactorsStationaryGaseous_Data(), Table_Fuel_EFs_StationaryGaseous[[#Headers],[Fuel combusted]],0)</f>
        <v>1.8100000000000002E-2</v>
      </c>
      <c r="F93" s="180" t="str" cm="1">
        <f t="array" ref="F93">Common_InputFunctions.Utility_DisplayArrayInTable(Fuel_SourceData.Fuel_Scope1EmissionFactorsStationaryGaseous_Data(), Table_Fuel_EFs_StationaryGaseous[[#Headers],[Fuel combusted]],0)</f>
        <v>m3</v>
      </c>
      <c r="G93" s="180" cm="1">
        <f t="array" ref="G93">Common_InputFunctions.Utility_DisplayArrayInTable(Fuel_SourceData.Fuel_Scope1EmissionFactorsStationaryGaseous_Data(), Table_Fuel_EFs_StationaryGaseous[[#Headers],[Fuel combusted]],0)</f>
        <v>37</v>
      </c>
      <c r="H93" s="180" cm="1">
        <f t="array" ref="H93">Common_InputFunctions.Utility_DisplayArrayInTable(Fuel_SourceData.Fuel_Scope1EmissionFactorsStationaryGaseous_Data(), Table_Fuel_EFs_StationaryGaseous[[#Headers],[Fuel combusted]],0)</f>
        <v>0.03</v>
      </c>
      <c r="I93" s="180" cm="1">
        <f t="array" ref="I93">Common_InputFunctions.Utility_DisplayArrayInTable(Fuel_SourceData.Fuel_Scope1EmissionFactorsStationaryGaseous_Data(), Table_Fuel_EFs_StationaryGaseous[[#Headers],[Fuel combusted]],0)</f>
        <v>0.05</v>
      </c>
      <c r="J93" s="180" cm="1">
        <f t="array" ref="J93">Common_InputFunctions.Utility_DisplayArrayInTable(Fuel_SourceData.Fuel_Scope1EmissionFactorsStationaryGaseous_Data(), Table_Fuel_EFs_StationaryGaseous[[#Headers],[Fuel combusted]],0)</f>
        <v>37.08</v>
      </c>
      <c r="K93" s="152"/>
      <c r="L93" s="152"/>
    </row>
    <row r="94" spans="1:12" ht="20.100000000000001" customHeight="1" x14ac:dyDescent="0.2">
      <c r="D94" s="180" t="str" cm="1">
        <f t="array" ref="D94">Common_InputFunctions.Utility_DisplayArrayInTable(Fuel_SourceData.Fuel_Scope1EmissionFactorsStationaryGaseous_Data(), Table_Fuel_EFs_StationaryGaseous[[#Headers],[Fuel combusted]],0)</f>
        <v>Blast furnace gas</v>
      </c>
      <c r="E94" s="180" cm="1">
        <f t="array" ref="E94">Common_InputFunctions.Utility_DisplayArrayInTable(Fuel_SourceData.Fuel_Scope1EmissionFactorsStationaryGaseous_Data(), Table_Fuel_EFs_StationaryGaseous[[#Headers],[Fuel combusted]],0)</f>
        <v>4.0000000000000001E-3</v>
      </c>
      <c r="F94" s="180" t="str" cm="1">
        <f t="array" ref="F94">Common_InputFunctions.Utility_DisplayArrayInTable(Fuel_SourceData.Fuel_Scope1EmissionFactorsStationaryGaseous_Data(), Table_Fuel_EFs_StationaryGaseous[[#Headers],[Fuel combusted]],0)</f>
        <v>m3</v>
      </c>
      <c r="G94" s="180" cm="1">
        <f t="array" ref="G94">Common_InputFunctions.Utility_DisplayArrayInTable(Fuel_SourceData.Fuel_Scope1EmissionFactorsStationaryGaseous_Data(), Table_Fuel_EFs_StationaryGaseous[[#Headers],[Fuel combusted]],0)</f>
        <v>234</v>
      </c>
      <c r="H94" s="180" cm="1">
        <f t="array" ref="H94">Common_InputFunctions.Utility_DisplayArrayInTable(Fuel_SourceData.Fuel_Scope1EmissionFactorsStationaryGaseous_Data(), Table_Fuel_EFs_StationaryGaseous[[#Headers],[Fuel combusted]],0)</f>
        <v>0.03</v>
      </c>
      <c r="I94" s="180" cm="1">
        <f t="array" ref="I94">Common_InputFunctions.Utility_DisplayArrayInTable(Fuel_SourceData.Fuel_Scope1EmissionFactorsStationaryGaseous_Data(), Table_Fuel_EFs_StationaryGaseous[[#Headers],[Fuel combusted]],0)</f>
        <v>0.02</v>
      </c>
      <c r="J94" s="180" cm="1">
        <f t="array" ref="J94">Common_InputFunctions.Utility_DisplayArrayInTable(Fuel_SourceData.Fuel_Scope1EmissionFactorsStationaryGaseous_Data(), Table_Fuel_EFs_StationaryGaseous[[#Headers],[Fuel combusted]],0)</f>
        <v>234.05</v>
      </c>
      <c r="K94" s="152"/>
      <c r="L94" s="152"/>
    </row>
    <row r="95" spans="1:12" ht="20.100000000000001" customHeight="1" x14ac:dyDescent="0.2">
      <c r="D95" s="180" t="str" cm="1">
        <f t="array" ref="D95">Common_InputFunctions.Utility_DisplayArrayInTable(Fuel_SourceData.Fuel_Scope1EmissionFactorsStationaryGaseous_Data(), Table_Fuel_EFs_StationaryGaseous[[#Headers],[Fuel combusted]],0)</f>
        <v>Town gas</v>
      </c>
      <c r="E95" s="180" cm="1">
        <f t="array" ref="E95">Common_InputFunctions.Utility_DisplayArrayInTable(Fuel_SourceData.Fuel_Scope1EmissionFactorsStationaryGaseous_Data(), Table_Fuel_EFs_StationaryGaseous[[#Headers],[Fuel combusted]],0)</f>
        <v>3.9E-2</v>
      </c>
      <c r="F95" s="180" t="str" cm="1">
        <f t="array" ref="F95">Common_InputFunctions.Utility_DisplayArrayInTable(Fuel_SourceData.Fuel_Scope1EmissionFactorsStationaryGaseous_Data(), Table_Fuel_EFs_StationaryGaseous[[#Headers],[Fuel combusted]],0)</f>
        <v>m3</v>
      </c>
      <c r="G95" s="180" cm="1">
        <f t="array" ref="G95">Common_InputFunctions.Utility_DisplayArrayInTable(Fuel_SourceData.Fuel_Scope1EmissionFactorsStationaryGaseous_Data(), Table_Fuel_EFs_StationaryGaseous[[#Headers],[Fuel combusted]],0)</f>
        <v>60.2</v>
      </c>
      <c r="H95" s="180" cm="1">
        <f t="array" ref="H95">Common_InputFunctions.Utility_DisplayArrayInTable(Fuel_SourceData.Fuel_Scope1EmissionFactorsStationaryGaseous_Data(), Table_Fuel_EFs_StationaryGaseous[[#Headers],[Fuel combusted]],0)</f>
        <v>0.04</v>
      </c>
      <c r="I95" s="180" cm="1">
        <f t="array" ref="I95">Common_InputFunctions.Utility_DisplayArrayInTable(Fuel_SourceData.Fuel_Scope1EmissionFactorsStationaryGaseous_Data(), Table_Fuel_EFs_StationaryGaseous[[#Headers],[Fuel combusted]],0)</f>
        <v>0.03</v>
      </c>
      <c r="J95" s="180" cm="1">
        <f t="array" ref="J95">Common_InputFunctions.Utility_DisplayArrayInTable(Fuel_SourceData.Fuel_Scope1EmissionFactorsStationaryGaseous_Data(), Table_Fuel_EFs_StationaryGaseous[[#Headers],[Fuel combusted]],0)</f>
        <v>60.27</v>
      </c>
      <c r="K95" s="152"/>
      <c r="L95" s="152"/>
    </row>
    <row r="96" spans="1:12" ht="20.100000000000001" customHeight="1" x14ac:dyDescent="0.2">
      <c r="A96" s="79" t="str">
        <f>HYPERLINK("#A1", "▲ Back to top")</f>
        <v>▲ Back to top</v>
      </c>
      <c r="D96" s="180" t="str" cm="1">
        <f t="array" ref="D96">Common_InputFunctions.Utility_DisplayArrayInTable(Fuel_SourceData.Fuel_Scope1EmissionFactorsStationaryGaseous_Data(), Table_Fuel_EFs_StationaryGaseous[[#Headers],[Fuel combusted]],0)</f>
        <v>Liquefied natural gas</v>
      </c>
      <c r="E96" s="180" cm="1">
        <f t="array" ref="E96">Common_InputFunctions.Utility_DisplayArrayInTable(Fuel_SourceData.Fuel_Scope1EmissionFactorsStationaryGaseous_Data(), Table_Fuel_EFs_StationaryGaseous[[#Headers],[Fuel combusted]],0)</f>
        <v>25.3</v>
      </c>
      <c r="F96" s="180" t="str" cm="1">
        <f t="array" ref="F96">Common_InputFunctions.Utility_DisplayArrayInTable(Fuel_SourceData.Fuel_Scope1EmissionFactorsStationaryGaseous_Data(), Table_Fuel_EFs_StationaryGaseous[[#Headers],[Fuel combusted]],0)</f>
        <v>kL</v>
      </c>
      <c r="G96" s="180" cm="1">
        <f t="array" ref="G96">Common_InputFunctions.Utility_DisplayArrayInTable(Fuel_SourceData.Fuel_Scope1EmissionFactorsStationaryGaseous_Data(), Table_Fuel_EFs_StationaryGaseous[[#Headers],[Fuel combusted]],0)</f>
        <v>51.4</v>
      </c>
      <c r="H96" s="180" cm="1">
        <f t="array" ref="H96">Common_InputFunctions.Utility_DisplayArrayInTable(Fuel_SourceData.Fuel_Scope1EmissionFactorsStationaryGaseous_Data(), Table_Fuel_EFs_StationaryGaseous[[#Headers],[Fuel combusted]],0)</f>
        <v>0.1</v>
      </c>
      <c r="I96" s="180" cm="1">
        <f t="array" ref="I96">Common_InputFunctions.Utility_DisplayArrayInTable(Fuel_SourceData.Fuel_Scope1EmissionFactorsStationaryGaseous_Data(), Table_Fuel_EFs_StationaryGaseous[[#Headers],[Fuel combusted]],0)</f>
        <v>0.03</v>
      </c>
      <c r="J96" s="180" cm="1">
        <f t="array" ref="J96">Common_InputFunctions.Utility_DisplayArrayInTable(Fuel_SourceData.Fuel_Scope1EmissionFactorsStationaryGaseous_Data(), Table_Fuel_EFs_StationaryGaseous[[#Headers],[Fuel combusted]],0)</f>
        <v>51.53</v>
      </c>
      <c r="K96" s="152"/>
      <c r="L96" s="152"/>
    </row>
    <row r="97" spans="4:13" ht="20.100000000000001" customHeight="1" x14ac:dyDescent="0.2">
      <c r="D97" s="180" t="str" cm="1">
        <f t="array" ref="D97">Common_InputFunctions.Utility_DisplayArrayInTable(Fuel_SourceData.Fuel_Scope1EmissionFactorsStationaryGaseous_Data(), Table_Fuel_EFs_StationaryGaseous[[#Headers],[Fuel combusted]],0)</f>
        <v>Gaseous fossil fuels other than those mentioned in the items above</v>
      </c>
      <c r="E97" s="180" cm="1">
        <f t="array" ref="E97">Common_InputFunctions.Utility_DisplayArrayInTable(Fuel_SourceData.Fuel_Scope1EmissionFactorsStationaryGaseous_Data(), Table_Fuel_EFs_StationaryGaseous[[#Headers],[Fuel combusted]],0)</f>
        <v>3.9E-2</v>
      </c>
      <c r="F97" s="180" t="str" cm="1">
        <f t="array" ref="F97">Common_InputFunctions.Utility_DisplayArrayInTable(Fuel_SourceData.Fuel_Scope1EmissionFactorsStationaryGaseous_Data(), Table_Fuel_EFs_StationaryGaseous[[#Headers],[Fuel combusted]],0)</f>
        <v>m3</v>
      </c>
      <c r="G97" s="180" cm="1">
        <f t="array" ref="G97">Common_InputFunctions.Utility_DisplayArrayInTable(Fuel_SourceData.Fuel_Scope1EmissionFactorsStationaryGaseous_Data(), Table_Fuel_EFs_StationaryGaseous[[#Headers],[Fuel combusted]],0)</f>
        <v>51.4</v>
      </c>
      <c r="H97" s="180" cm="1">
        <f t="array" ref="H97">Common_InputFunctions.Utility_DisplayArrayInTable(Fuel_SourceData.Fuel_Scope1EmissionFactorsStationaryGaseous_Data(), Table_Fuel_EFs_StationaryGaseous[[#Headers],[Fuel combusted]],0)</f>
        <v>0.1</v>
      </c>
      <c r="I97" s="180" cm="1">
        <f t="array" ref="I97">Common_InputFunctions.Utility_DisplayArrayInTable(Fuel_SourceData.Fuel_Scope1EmissionFactorsStationaryGaseous_Data(), Table_Fuel_EFs_StationaryGaseous[[#Headers],[Fuel combusted]],0)</f>
        <v>0.03</v>
      </c>
      <c r="J97" s="180" cm="1">
        <f t="array" ref="J97">Common_InputFunctions.Utility_DisplayArrayInTable(Fuel_SourceData.Fuel_Scope1EmissionFactorsStationaryGaseous_Data(), Table_Fuel_EFs_StationaryGaseous[[#Headers],[Fuel combusted]],0)</f>
        <v>51.53</v>
      </c>
      <c r="K97" s="152"/>
      <c r="L97" s="152"/>
    </row>
    <row r="98" spans="4:13" ht="20.100000000000001" customHeight="1" x14ac:dyDescent="0.2">
      <c r="D98" s="180" t="str" cm="1">
        <f t="array" ref="D98">Common_InputFunctions.Utility_DisplayArrayInTable(Fuel_SourceData.Fuel_Scope1EmissionFactorsStationaryGaseous_Data(), Table_Fuel_EFs_StationaryGaseous[[#Headers],[Fuel combusted]],0)</f>
        <v>Landfill biogas that is captured for combustion (methane only)</v>
      </c>
      <c r="E98" s="180" cm="1">
        <f t="array" ref="E98">Common_InputFunctions.Utility_DisplayArrayInTable(Fuel_SourceData.Fuel_Scope1EmissionFactorsStationaryGaseous_Data(), Table_Fuel_EFs_StationaryGaseous[[#Headers],[Fuel combusted]],0)</f>
        <v>3.7699999999999997E-2</v>
      </c>
      <c r="F98" s="180" t="str" cm="1">
        <f t="array" ref="F98">Common_InputFunctions.Utility_DisplayArrayInTable(Fuel_SourceData.Fuel_Scope1EmissionFactorsStationaryGaseous_Data(), Table_Fuel_EFs_StationaryGaseous[[#Headers],[Fuel combusted]],0)</f>
        <v>m3</v>
      </c>
      <c r="G98" s="180" cm="1">
        <f t="array" ref="G98">Common_InputFunctions.Utility_DisplayArrayInTable(Fuel_SourceData.Fuel_Scope1EmissionFactorsStationaryGaseous_Data(), Table_Fuel_EFs_StationaryGaseous[[#Headers],[Fuel combusted]],0)</f>
        <v>0</v>
      </c>
      <c r="H98" s="180" cm="1">
        <f t="array" ref="H98">Common_InputFunctions.Utility_DisplayArrayInTable(Fuel_SourceData.Fuel_Scope1EmissionFactorsStationaryGaseous_Data(), Table_Fuel_EFs_StationaryGaseous[[#Headers],[Fuel combusted]],0)</f>
        <v>6.4</v>
      </c>
      <c r="I98" s="180" cm="1">
        <f t="array" ref="I98">Common_InputFunctions.Utility_DisplayArrayInTable(Fuel_SourceData.Fuel_Scope1EmissionFactorsStationaryGaseous_Data(), Table_Fuel_EFs_StationaryGaseous[[#Headers],[Fuel combusted]],0)</f>
        <v>0.03</v>
      </c>
      <c r="J98" s="180" cm="1">
        <f t="array" ref="J98">Common_InputFunctions.Utility_DisplayArrayInTable(Fuel_SourceData.Fuel_Scope1EmissionFactorsStationaryGaseous_Data(), Table_Fuel_EFs_StationaryGaseous[[#Headers],[Fuel combusted]],0)</f>
        <v>6.43</v>
      </c>
      <c r="K98" s="152"/>
      <c r="L98" s="152"/>
    </row>
    <row r="99" spans="4:13" ht="20.100000000000001" customHeight="1" x14ac:dyDescent="0.2">
      <c r="D99" s="180" t="str" cm="1">
        <f t="array" ref="D99">Common_InputFunctions.Utility_DisplayArrayInTable(Fuel_SourceData.Fuel_Scope1EmissionFactorsStationaryGaseous_Data(), Table_Fuel_EFs_StationaryGaseous[[#Headers],[Fuel combusted]],0)</f>
        <v>Sludge biogas that is captured for combustion (methane only)</v>
      </c>
      <c r="E99" s="180" cm="1">
        <f t="array" ref="E99">Common_InputFunctions.Utility_DisplayArrayInTable(Fuel_SourceData.Fuel_Scope1EmissionFactorsStationaryGaseous_Data(), Table_Fuel_EFs_StationaryGaseous[[#Headers],[Fuel combusted]],0)</f>
        <v>3.7699999999999997E-2</v>
      </c>
      <c r="F99" s="180" t="str" cm="1">
        <f t="array" ref="F99">Common_InputFunctions.Utility_DisplayArrayInTable(Fuel_SourceData.Fuel_Scope1EmissionFactorsStationaryGaseous_Data(), Table_Fuel_EFs_StationaryGaseous[[#Headers],[Fuel combusted]],0)</f>
        <v>m3</v>
      </c>
      <c r="G99" s="180" cm="1">
        <f t="array" ref="G99">Common_InputFunctions.Utility_DisplayArrayInTable(Fuel_SourceData.Fuel_Scope1EmissionFactorsStationaryGaseous_Data(), Table_Fuel_EFs_StationaryGaseous[[#Headers],[Fuel combusted]],0)</f>
        <v>0</v>
      </c>
      <c r="H99" s="180" cm="1">
        <f t="array" ref="H99">Common_InputFunctions.Utility_DisplayArrayInTable(Fuel_SourceData.Fuel_Scope1EmissionFactorsStationaryGaseous_Data(), Table_Fuel_EFs_StationaryGaseous[[#Headers],[Fuel combusted]],0)</f>
        <v>6.4</v>
      </c>
      <c r="I99" s="180" cm="1">
        <f t="array" ref="I99">Common_InputFunctions.Utility_DisplayArrayInTable(Fuel_SourceData.Fuel_Scope1EmissionFactorsStationaryGaseous_Data(), Table_Fuel_EFs_StationaryGaseous[[#Headers],[Fuel combusted]],0)</f>
        <v>0.03</v>
      </c>
      <c r="J99" s="180" cm="1">
        <f t="array" ref="J99">Common_InputFunctions.Utility_DisplayArrayInTable(Fuel_SourceData.Fuel_Scope1EmissionFactorsStationaryGaseous_Data(), Table_Fuel_EFs_StationaryGaseous[[#Headers],[Fuel combusted]],0)</f>
        <v>6.43</v>
      </c>
      <c r="K99" s="152"/>
      <c r="L99" s="152"/>
    </row>
    <row r="100" spans="4:13" ht="20.100000000000001" customHeight="1" x14ac:dyDescent="0.2">
      <c r="D100" s="180"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80" cm="1">
        <f t="array" ref="E100">Common_InputFunctions.Utility_DisplayArrayInTable(Fuel_SourceData.Fuel_Scope1EmissionFactorsStationaryGaseous_Data(), Table_Fuel_EFs_StationaryGaseous[[#Headers],[Fuel combusted]],0)</f>
        <v>3.6999999999999998E-2</v>
      </c>
      <c r="F100" s="180" t="str" cm="1">
        <f t="array" ref="F100">Common_InputFunctions.Utility_DisplayArrayInTable(Fuel_SourceData.Fuel_Scope1EmissionFactorsStationaryGaseous_Data(), Table_Fuel_EFs_StationaryGaseous[[#Headers],[Fuel combusted]],0)</f>
        <v>m3</v>
      </c>
      <c r="G100" s="180" cm="1">
        <f t="array" ref="G100">Common_InputFunctions.Utility_DisplayArrayInTable(Fuel_SourceData.Fuel_Scope1EmissionFactorsStationaryGaseous_Data(), Table_Fuel_EFs_StationaryGaseous[[#Headers],[Fuel combusted]],0)</f>
        <v>0</v>
      </c>
      <c r="H100" s="180" cm="1">
        <f t="array" ref="H100">Common_InputFunctions.Utility_DisplayArrayInTable(Fuel_SourceData.Fuel_Scope1EmissionFactorsStationaryGaseous_Data(), Table_Fuel_EFs_StationaryGaseous[[#Headers],[Fuel combusted]],0)</f>
        <v>6.4</v>
      </c>
      <c r="I100" s="180" cm="1">
        <f t="array" ref="I100">Common_InputFunctions.Utility_DisplayArrayInTable(Fuel_SourceData.Fuel_Scope1EmissionFactorsStationaryGaseous_Data(), Table_Fuel_EFs_StationaryGaseous[[#Headers],[Fuel combusted]],0)</f>
        <v>0.03</v>
      </c>
      <c r="J100" s="180" cm="1">
        <f t="array" ref="J100">Common_InputFunctions.Utility_DisplayArrayInTable(Fuel_SourceData.Fuel_Scope1EmissionFactorsStationaryGaseous_Data(), Table_Fuel_EFs_StationaryGaseous[[#Headers],[Fuel combusted]],0)</f>
        <v>6.43</v>
      </c>
      <c r="K100" s="152"/>
      <c r="L100" s="152"/>
    </row>
    <row r="101" spans="4:13" ht="20.100000000000001" customHeight="1" x14ac:dyDescent="0.2">
      <c r="D101" s="180" t="str" cm="1">
        <f t="array" ref="D101">Common_InputFunctions.Utility_DisplayArrayInTable(Fuel_SourceData.Fuel_Scope1EmissionFactorsStationaryGaseous_Data(), Table_Fuel_EFs_StationaryGaseous[[#Headers],[Fuel combusted]],0)</f>
        <v>Biomethane</v>
      </c>
      <c r="E101" s="180" cm="1">
        <f t="array" ref="E101">Common_InputFunctions.Utility_DisplayArrayInTable(Fuel_SourceData.Fuel_Scope1EmissionFactorsStationaryGaseous_Data(), Table_Fuel_EFs_StationaryGaseous[[#Headers],[Fuel combusted]],0)</f>
        <v>3.9300000000000002E-2</v>
      </c>
      <c r="F101" s="180" t="str" cm="1">
        <f t="array" ref="F101">Common_InputFunctions.Utility_DisplayArrayInTable(Fuel_SourceData.Fuel_Scope1EmissionFactorsStationaryGaseous_Data(), Table_Fuel_EFs_StationaryGaseous[[#Headers],[Fuel combusted]],0)</f>
        <v>m3</v>
      </c>
      <c r="G101" s="180" cm="1">
        <f t="array" ref="G101">Common_InputFunctions.Utility_DisplayArrayInTable(Fuel_SourceData.Fuel_Scope1EmissionFactorsStationaryGaseous_Data(), Table_Fuel_EFs_StationaryGaseous[[#Headers],[Fuel combusted]],0)</f>
        <v>0</v>
      </c>
      <c r="H101" s="180" cm="1">
        <f t="array" ref="H101">Common_InputFunctions.Utility_DisplayArrayInTable(Fuel_SourceData.Fuel_Scope1EmissionFactorsStationaryGaseous_Data(), Table_Fuel_EFs_StationaryGaseous[[#Headers],[Fuel combusted]],0)</f>
        <v>0.1</v>
      </c>
      <c r="I101" s="180" cm="1">
        <f t="array" ref="I101">Common_InputFunctions.Utility_DisplayArrayInTable(Fuel_SourceData.Fuel_Scope1EmissionFactorsStationaryGaseous_Data(), Table_Fuel_EFs_StationaryGaseous[[#Headers],[Fuel combusted]],0)</f>
        <v>0.03</v>
      </c>
      <c r="J101" s="180" cm="1">
        <f t="array" ref="J101">Common_InputFunctions.Utility_DisplayArrayInTable(Fuel_SourceData.Fuel_Scope1EmissionFactorsStationaryGaseous_Data(), Table_Fuel_EFs_StationaryGaseous[[#Headers],[Fuel combusted]],0)</f>
        <v>0.13</v>
      </c>
      <c r="K101" s="152"/>
      <c r="L101" s="152"/>
    </row>
    <row r="102" spans="4:13" ht="20.100000000000001" customHeight="1" x14ac:dyDescent="0.2">
      <c r="D102" s="180" t="str" cm="1">
        <f t="array" ref="D102">Common_InputFunctions.Utility_DisplayArrayInTable(Fuel_SourceData.Fuel_Scope1EmissionFactorsStationaryGaseous_Data(), Table_Fuel_EFs_StationaryGaseous[[#Headers],[Fuel combusted]],0)</f>
        <v>Hydrogen</v>
      </c>
      <c r="E102" s="180" cm="1">
        <f t="array" ref="E102">Common_InputFunctions.Utility_DisplayArrayInTable(Fuel_SourceData.Fuel_Scope1EmissionFactorsStationaryGaseous_Data(), Table_Fuel_EFs_StationaryGaseous[[#Headers],[Fuel combusted]],0)</f>
        <v>1.2200000000000001E-2</v>
      </c>
      <c r="F102" s="180" t="str" cm="1">
        <f t="array" ref="F102">Common_InputFunctions.Utility_DisplayArrayInTable(Fuel_SourceData.Fuel_Scope1EmissionFactorsStationaryGaseous_Data(), Table_Fuel_EFs_StationaryGaseous[[#Headers],[Fuel combusted]],0)</f>
        <v>m3</v>
      </c>
      <c r="G102" s="180" cm="1">
        <f t="array" ref="G102">Common_InputFunctions.Utility_DisplayArrayInTable(Fuel_SourceData.Fuel_Scope1EmissionFactorsStationaryGaseous_Data(), Table_Fuel_EFs_StationaryGaseous[[#Headers],[Fuel combusted]],0)</f>
        <v>0</v>
      </c>
      <c r="H102" s="180" cm="1">
        <f t="array" ref="H102">Common_InputFunctions.Utility_DisplayArrayInTable(Fuel_SourceData.Fuel_Scope1EmissionFactorsStationaryGaseous_Data(), Table_Fuel_EFs_StationaryGaseous[[#Headers],[Fuel combusted]],0)</f>
        <v>0</v>
      </c>
      <c r="I102" s="180" cm="1">
        <f t="array" ref="I102">Common_InputFunctions.Utility_DisplayArrayInTable(Fuel_SourceData.Fuel_Scope1EmissionFactorsStationaryGaseous_Data(), Table_Fuel_EFs_StationaryGaseous[[#Headers],[Fuel combusted]],0)</f>
        <v>0.5</v>
      </c>
      <c r="J102" s="180" cm="1">
        <f t="array" ref="J102">Common_InputFunctions.Utility_DisplayArrayInTable(Fuel_SourceData.Fuel_Scope1EmissionFactorsStationaryGaseous_Data(), Table_Fuel_EFs_StationaryGaseous[[#Headers],[Fuel combusted]],0)</f>
        <v>0.5</v>
      </c>
      <c r="K102" s="152"/>
      <c r="L102" s="152"/>
    </row>
    <row r="103" spans="4:13" ht="20.100000000000001" customHeight="1" x14ac:dyDescent="0.2">
      <c r="D103" s="180" t="str" cm="1">
        <f t="array" ref="D103">Common_InputFunctions.Utility_DisplayArrayInTable(Fuel_SourceData.Fuel_Scope1EmissionFactorsStationaryGaseous_Data(), Table_Fuel_EFs_StationaryGaseous[[#Headers],[Fuel combusted]],0)</f>
        <v>Natural gas distributed in a pipeline - Gigajoules</v>
      </c>
      <c r="E103" s="180" cm="1">
        <f t="array" ref="E103">Common_InputFunctions.Utility_DisplayArrayInTable(Fuel_SourceData.Fuel_Scope1EmissionFactorsStationaryGaseous_Data(), Table_Fuel_EFs_StationaryGaseous[[#Headers],[Fuel combusted]],0)</f>
        <v>1</v>
      </c>
      <c r="F103" s="180" t="str" cm="1">
        <f t="array" ref="F103">Common_InputFunctions.Utility_DisplayArrayInTable(Fuel_SourceData.Fuel_Scope1EmissionFactorsStationaryGaseous_Data(), Table_Fuel_EFs_StationaryGaseous[[#Headers],[Fuel combusted]],0)</f>
        <v>GJ</v>
      </c>
      <c r="G103" s="180" cm="1">
        <f t="array" ref="G103">Common_InputFunctions.Utility_DisplayArrayInTable(Fuel_SourceData.Fuel_Scope1EmissionFactorsStationaryGaseous_Data(), Table_Fuel_EFs_StationaryGaseous[[#Headers],[Fuel combusted]],0)</f>
        <v>51.4</v>
      </c>
      <c r="H103" s="180" cm="1">
        <f t="array" ref="H103">Common_InputFunctions.Utility_DisplayArrayInTable(Fuel_SourceData.Fuel_Scope1EmissionFactorsStationaryGaseous_Data(), Table_Fuel_EFs_StationaryGaseous[[#Headers],[Fuel combusted]],0)</f>
        <v>0.1</v>
      </c>
      <c r="I103" s="180" cm="1">
        <f t="array" ref="I103">Common_InputFunctions.Utility_DisplayArrayInTable(Fuel_SourceData.Fuel_Scope1EmissionFactorsStationaryGaseous_Data(), Table_Fuel_EFs_StationaryGaseous[[#Headers],[Fuel combusted]],0)</f>
        <v>0.03</v>
      </c>
      <c r="J103" s="180" cm="1">
        <f t="array" ref="J103">Common_InputFunctions.Utility_DisplayArrayInTable(Fuel_SourceData.Fuel_Scope1EmissionFactorsStationaryGaseous_Data(), Table_Fuel_EFs_StationaryGaseous[[#Headers],[Fuel combusted]],0)</f>
        <v>51.53</v>
      </c>
      <c r="K103" s="152"/>
      <c r="L103" s="152"/>
    </row>
    <row r="104" spans="4:13" ht="20.100000000000001" customHeight="1" x14ac:dyDescent="0.2">
      <c r="D104" s="180" t="str" cm="1">
        <f t="array" ref="D104">Common_InputFunctions.Utility_DisplayArrayInTable(Fuel_SourceData.Fuel_Scope1EmissionFactorsStationaryGaseous_Data(), Table_Fuel_EFs_StationaryGaseous[[#Headers],[Fuel combusted]],0)</f>
        <v>Town gas - Gigajoules</v>
      </c>
      <c r="E104" s="180" cm="1">
        <f t="array" ref="E104">Common_InputFunctions.Utility_DisplayArrayInTable(Fuel_SourceData.Fuel_Scope1EmissionFactorsStationaryGaseous_Data(), Table_Fuel_EFs_StationaryGaseous[[#Headers],[Fuel combusted]],0)</f>
        <v>1</v>
      </c>
      <c r="F104" s="180" t="str" cm="1">
        <f t="array" ref="F104">Common_InputFunctions.Utility_DisplayArrayInTable(Fuel_SourceData.Fuel_Scope1EmissionFactorsStationaryGaseous_Data(), Table_Fuel_EFs_StationaryGaseous[[#Headers],[Fuel combusted]],0)</f>
        <v>GJ</v>
      </c>
      <c r="G104" s="180" cm="1">
        <f t="array" ref="G104">Common_InputFunctions.Utility_DisplayArrayInTable(Fuel_SourceData.Fuel_Scope1EmissionFactorsStationaryGaseous_Data(), Table_Fuel_EFs_StationaryGaseous[[#Headers],[Fuel combusted]],0)</f>
        <v>60.2</v>
      </c>
      <c r="H104" s="180" cm="1">
        <f t="array" ref="H104">Common_InputFunctions.Utility_DisplayArrayInTable(Fuel_SourceData.Fuel_Scope1EmissionFactorsStationaryGaseous_Data(), Table_Fuel_EFs_StationaryGaseous[[#Headers],[Fuel combusted]],0)</f>
        <v>0.04</v>
      </c>
      <c r="I104" s="180" cm="1">
        <f t="array" ref="I104">Common_InputFunctions.Utility_DisplayArrayInTable(Fuel_SourceData.Fuel_Scope1EmissionFactorsStationaryGaseous_Data(), Table_Fuel_EFs_StationaryGaseous[[#Headers],[Fuel combusted]],0)</f>
        <v>0.03</v>
      </c>
      <c r="J104" s="180" cm="1">
        <f t="array" ref="J104">Common_InputFunctions.Utility_DisplayArrayInTable(Fuel_SourceData.Fuel_Scope1EmissionFactorsStationaryGaseous_Data(), Table_Fuel_EFs_StationaryGaseous[[#Headers],[Fuel combusted]],0)</f>
        <v>60.27</v>
      </c>
      <c r="K104" s="152"/>
      <c r="L104" s="152"/>
    </row>
    <row r="105" spans="4:13" ht="20.100000000000001" customHeight="1" x14ac:dyDescent="0.2">
      <c r="D105" s="152"/>
      <c r="E105" s="152"/>
      <c r="F105" s="152"/>
      <c r="G105" s="152"/>
      <c r="H105" s="152"/>
      <c r="I105" s="152"/>
      <c r="J105" s="152"/>
      <c r="K105" s="152"/>
      <c r="L105" s="152"/>
      <c r="M105" s="152"/>
    </row>
    <row r="106" spans="4:13" ht="20.100000000000001" customHeight="1" x14ac:dyDescent="0.2">
      <c r="D106" s="152"/>
      <c r="E106" s="152"/>
      <c r="F106" s="152"/>
      <c r="G106" s="152"/>
      <c r="H106" s="152"/>
      <c r="I106" s="152"/>
      <c r="J106" s="152"/>
      <c r="K106" s="152"/>
      <c r="L106" s="152"/>
      <c r="M106" s="152"/>
    </row>
    <row r="107" spans="4:13" ht="20.100000000000001" customHeight="1" x14ac:dyDescent="0.2">
      <c r="D107" s="2" t="str" cm="1">
        <f t="array" ref="D107">Fuel_SourceData.Fuel_Scope3EmissionFactorsStationaryGaseous_Title()</f>
        <v>Fuel scope 3 emission factors - Stationary gaseous fuels</v>
      </c>
      <c r="E107" s="152"/>
      <c r="F107" s="152"/>
      <c r="G107" s="152"/>
      <c r="H107" s="152"/>
      <c r="I107" s="152"/>
      <c r="J107" s="152"/>
      <c r="K107" s="152"/>
      <c r="L107" s="152"/>
    </row>
    <row r="108" spans="4:13" ht="20.100000000000001" customHeight="1" x14ac:dyDescent="0.2">
      <c r="D108" s="1" t="str" cm="1">
        <f t="array" ref="D108">Fuel_SourceData.Fuel_Scope3EmissionFactorsStationaryGaseous_Description()</f>
        <v>Indirect (Scope 3) emission factors for the consumption of natural gas.</v>
      </c>
      <c r="E108" s="152"/>
      <c r="F108" s="152"/>
      <c r="G108" s="152"/>
      <c r="H108" s="152"/>
      <c r="I108" s="152"/>
      <c r="J108" s="152"/>
      <c r="K108" s="152"/>
      <c r="L108" s="152"/>
    </row>
    <row r="109" spans="4:13" ht="20.100000000000001" customHeight="1" x14ac:dyDescent="0.2">
      <c r="D109" s="17" t="str" cm="1">
        <f t="array" ref="D109">Fuel_SourceData.Fuel_Scope3EmissionFactorsStationaryGaseous_Source()</f>
        <v>Australian National Greenhouse Accounts Factors 2025 - Table 6</v>
      </c>
      <c r="E109" s="152"/>
      <c r="F109" s="152"/>
      <c r="G109" s="152"/>
      <c r="H109" s="152"/>
      <c r="I109" s="152"/>
      <c r="J109" s="152"/>
      <c r="K109" s="152"/>
      <c r="L109" s="152"/>
    </row>
    <row r="110" spans="4:13" ht="20.100000000000001" customHeight="1" x14ac:dyDescent="0.2">
      <c r="D110" s="25"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52"/>
      <c r="F110" s="152"/>
      <c r="G110" s="152"/>
      <c r="H110" s="152"/>
      <c r="I110" s="152"/>
      <c r="J110" s="152"/>
      <c r="K110" s="152"/>
      <c r="L110" s="152"/>
    </row>
    <row r="111" spans="4:13" ht="20.100000000000001" customHeight="1" x14ac:dyDescent="0.2">
      <c r="D111" s="152"/>
      <c r="E111" s="152"/>
      <c r="F111" s="152"/>
      <c r="G111" s="152"/>
      <c r="H111" s="152"/>
      <c r="I111" s="152"/>
      <c r="J111" s="152"/>
      <c r="K111" s="152"/>
      <c r="L111" s="152"/>
    </row>
    <row r="112" spans="4:13" ht="20.100000000000001" customHeight="1" x14ac:dyDescent="0.2">
      <c r="D112" s="145" t="s">
        <v>645</v>
      </c>
      <c r="E112" s="179" t="s">
        <v>580</v>
      </c>
      <c r="F112" s="179" t="s">
        <v>646</v>
      </c>
      <c r="G112" s="152"/>
      <c r="H112" s="75" t="s">
        <v>647</v>
      </c>
      <c r="I112" s="152"/>
      <c r="J112" s="152"/>
      <c r="K112" s="152"/>
      <c r="L112" s="152"/>
    </row>
    <row r="113" spans="1:13" ht="20.100000000000001" customHeight="1" x14ac:dyDescent="0.2">
      <c r="D113" s="182" t="str" cm="1">
        <f t="array" ref="D113">Common_InputFunctions.Utility_DisplayArrayInTable(Fuel_SourceData.Fuel_Scope3EmissionFactorsStationaryGaseous_Data(), Table_Fuel_EFs_StationaryGaseous34[[#Headers],[State or territory]],0)</f>
        <v>New South Wales</v>
      </c>
      <c r="E113" s="182" cm="1">
        <f t="array" ref="E113">Common_InputFunctions.Utility_DisplayArrayInTable(Fuel_SourceData.Fuel_Scope3EmissionFactorsStationaryGaseous_Data(), Table_Fuel_EFs_StationaryGaseous34[[#Headers],[State or territory]],0)</f>
        <v>13.1</v>
      </c>
      <c r="F113" s="182" cm="1">
        <f t="array" ref="F113">Common_InputFunctions.Utility_DisplayArrayInTable(Fuel_SourceData.Fuel_Scope3EmissionFactorsStationaryGaseous_Data(), Table_Fuel_EFs_StationaryGaseous34[[#Headers],[State or territory]],0)</f>
        <v>14</v>
      </c>
      <c r="G113" s="183"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52"/>
      <c r="J113" s="152"/>
      <c r="K113" s="152"/>
      <c r="L113" s="152"/>
    </row>
    <row r="114" spans="1:13" ht="20.100000000000001" customHeight="1" x14ac:dyDescent="0.2">
      <c r="D114" s="182" t="str" cm="1">
        <f t="array" ref="D114">Common_InputFunctions.Utility_DisplayArrayInTable(Fuel_SourceData.Fuel_Scope3EmissionFactorsStationaryGaseous_Data(), Table_Fuel_EFs_StationaryGaseous34[[#Headers],[State or territory]],0)</f>
        <v>ACT</v>
      </c>
      <c r="E114" s="182" cm="1">
        <f t="array" ref="E114">Common_InputFunctions.Utility_DisplayArrayInTable(Fuel_SourceData.Fuel_Scope3EmissionFactorsStationaryGaseous_Data(), Table_Fuel_EFs_StationaryGaseous34[[#Headers],[State or territory]],0)</f>
        <v>13.1</v>
      </c>
      <c r="F114" s="182" cm="1">
        <f t="array" ref="F114">Common_InputFunctions.Utility_DisplayArrayInTable(Fuel_SourceData.Fuel_Scope3EmissionFactorsStationaryGaseous_Data(), Table_Fuel_EFs_StationaryGaseous34[[#Headers],[State or territory]],0)</f>
        <v>14</v>
      </c>
      <c r="G114" s="183" t="str">
        <v/>
      </c>
      <c r="H114" s="1" t="str">
        <v>Gas reaches end users either from the metro distribution networks or direct from the high - pressure distribution pipelines.</v>
      </c>
      <c r="I114" s="152"/>
      <c r="J114" s="152"/>
      <c r="K114" s="152"/>
      <c r="L114" s="152"/>
    </row>
    <row r="115" spans="1:13" ht="20.100000000000001" customHeight="1" x14ac:dyDescent="0.2">
      <c r="D115" s="182" t="str" cm="1">
        <f t="array" ref="D115">Common_InputFunctions.Utility_DisplayArrayInTable(Fuel_SourceData.Fuel_Scope3EmissionFactorsStationaryGaseous_Data(), Table_Fuel_EFs_StationaryGaseous34[[#Headers],[State or territory]],0)</f>
        <v>Victoria</v>
      </c>
      <c r="E115" s="182" cm="1">
        <f t="array" ref="E115">Common_InputFunctions.Utility_DisplayArrayInTable(Fuel_SourceData.Fuel_Scope3EmissionFactorsStationaryGaseous_Data(), Table_Fuel_EFs_StationaryGaseous34[[#Headers],[State or territory]],0)</f>
        <v>4</v>
      </c>
      <c r="F115" s="182" cm="1">
        <f t="array" ref="F115">Common_InputFunctions.Utility_DisplayArrayInTable(Fuel_SourceData.Fuel_Scope3EmissionFactorsStationaryGaseous_Data(), Table_Fuel_EFs_StationaryGaseous34[[#Headers],[State or territory]],0)</f>
        <v>4</v>
      </c>
      <c r="G115" s="183" t="str">
        <v/>
      </c>
      <c r="H115" s="1" t="str">
        <v>Households and commercial users tend to be served by the former, and electricity generators and large industrial plants from the latter.</v>
      </c>
      <c r="I115" s="152"/>
      <c r="J115" s="152"/>
      <c r="K115" s="152"/>
      <c r="L115" s="152"/>
    </row>
    <row r="116" spans="1:13" ht="20.100000000000001" customHeight="1" x14ac:dyDescent="0.2">
      <c r="D116" s="182" t="str" cm="1">
        <f t="array" ref="D116">Common_InputFunctions.Utility_DisplayArrayInTable(Fuel_SourceData.Fuel_Scope3EmissionFactorsStationaryGaseous_Data(), Table_Fuel_EFs_StationaryGaseous34[[#Headers],[State or territory]],0)</f>
        <v>Queensland</v>
      </c>
      <c r="E116" s="182" cm="1">
        <f t="array" ref="E116">Common_InputFunctions.Utility_DisplayArrayInTable(Fuel_SourceData.Fuel_Scope3EmissionFactorsStationaryGaseous_Data(), Table_Fuel_EFs_StationaryGaseous34[[#Headers],[State or territory]],0)</f>
        <v>8.8000000000000007</v>
      </c>
      <c r="F116" s="182" cm="1">
        <f t="array" ref="F116">Common_InputFunctions.Utility_DisplayArrayInTable(Fuel_SourceData.Fuel_Scope3EmissionFactorsStationaryGaseous_Data(), Table_Fuel_EFs_StationaryGaseous34[[#Headers],[State or territory]],0)</f>
        <v>7.9</v>
      </c>
      <c r="G116" s="183" t="str">
        <v>-</v>
      </c>
      <c r="H116" s="1" t="str">
        <v>Metro is defined as located on or east of the dividing range in NSW, including Canberra and Queanbeyan, Melbourne, Brisbane, Adelaide or Perth.</v>
      </c>
      <c r="I116" s="152"/>
      <c r="J116" s="152"/>
      <c r="K116" s="152"/>
      <c r="L116" s="152"/>
    </row>
    <row r="117" spans="1:13" ht="20.100000000000001" customHeight="1" x14ac:dyDescent="0.2">
      <c r="D117" s="182" t="str" cm="1">
        <f t="array" ref="D117">Common_InputFunctions.Utility_DisplayArrayInTable(Fuel_SourceData.Fuel_Scope3EmissionFactorsStationaryGaseous_Data(), Table_Fuel_EFs_StationaryGaseous34[[#Headers],[State or territory]],0)</f>
        <v>South Australia</v>
      </c>
      <c r="E117" s="182" cm="1">
        <f t="array" ref="E117">Common_InputFunctions.Utility_DisplayArrayInTable(Fuel_SourceData.Fuel_Scope3EmissionFactorsStationaryGaseous_Data(), Table_Fuel_EFs_StationaryGaseous34[[#Headers],[State or territory]],0)</f>
        <v>10.7</v>
      </c>
      <c r="F117" s="182" cm="1">
        <f t="array" ref="F117">Common_InputFunctions.Utility_DisplayArrayInTable(Fuel_SourceData.Fuel_Scope3EmissionFactorsStationaryGaseous_Data(), Table_Fuel_EFs_StationaryGaseous34[[#Headers],[State or territory]],0)</f>
        <v>10.6</v>
      </c>
      <c r="G117" s="183" t="str">
        <v/>
      </c>
      <c r="H117" s="1" t="str">
        <v>Otherwise, the non - metro factor should be used.</v>
      </c>
      <c r="I117" s="152"/>
      <c r="J117" s="152"/>
      <c r="K117" s="152"/>
      <c r="L117" s="152"/>
    </row>
    <row r="118" spans="1:13" ht="20.100000000000001" customHeight="1" x14ac:dyDescent="0.2">
      <c r="D118" s="182" t="str" cm="1">
        <f t="array" ref="D118">Common_InputFunctions.Utility_DisplayArrayInTable(Fuel_SourceData.Fuel_Scope3EmissionFactorsStationaryGaseous_Data(), Table_Fuel_EFs_StationaryGaseous34[[#Headers],[State or territory]],0)</f>
        <v>Western Australia</v>
      </c>
      <c r="E118" s="182" cm="1">
        <f t="array" ref="E118">Common_InputFunctions.Utility_DisplayArrayInTable(Fuel_SourceData.Fuel_Scope3EmissionFactorsStationaryGaseous_Data(), Table_Fuel_EFs_StationaryGaseous34[[#Headers],[State or territory]],0)</f>
        <v>4.0999999999999996</v>
      </c>
      <c r="F118" s="182" cm="1">
        <f t="array" ref="F118">Common_InputFunctions.Utility_DisplayArrayInTable(Fuel_SourceData.Fuel_Scope3EmissionFactorsStationaryGaseous_Data(), Table_Fuel_EFs_StationaryGaseous34[[#Headers],[State or territory]],0)</f>
        <v>4</v>
      </c>
      <c r="G118" s="183" t="str">
        <v>-</v>
      </c>
      <c r="H118" s="1" t="str">
        <v>Factors are calculated for all natural gas distributed in a pipeline which may include coal seam methane.</v>
      </c>
      <c r="I118" s="152"/>
      <c r="J118" s="152"/>
      <c r="K118" s="152"/>
      <c r="L118" s="152"/>
    </row>
    <row r="119" spans="1:13" ht="20.100000000000001" customHeight="1" x14ac:dyDescent="0.2">
      <c r="D119" s="182" t="str" cm="1">
        <f t="array" ref="D119">Common_InputFunctions.Utility_DisplayArrayInTable(Fuel_SourceData.Fuel_Scope3EmissionFactorsStationaryGaseous_Data(), Table_Fuel_EFs_StationaryGaseous34[[#Headers],[State or territory]],0)</f>
        <v>Tasmania</v>
      </c>
      <c r="E119" s="182" cm="1">
        <f t="array" ref="E119">Common_InputFunctions.Utility_DisplayArrayInTable(Fuel_SourceData.Fuel_Scope3EmissionFactorsStationaryGaseous_Data(), Table_Fuel_EFs_StationaryGaseous34[[#Headers],[State or territory]],0)</f>
        <v>4</v>
      </c>
      <c r="F119" s="182" cm="1">
        <f t="array" ref="F119">Common_InputFunctions.Utility_DisplayArrayInTable(Fuel_SourceData.Fuel_Scope3EmissionFactorsStationaryGaseous_Data(), Table_Fuel_EFs_StationaryGaseous34[[#Headers],[State or territory]],0)</f>
        <v>4</v>
      </c>
      <c r="G119" s="183" t="str">
        <v>-</v>
      </c>
      <c r="H119" s="1" t="str">
        <v>Table 6 is not applicable to ethane. See Table 7 Indirect (Scope 3) emissions from the consumption of ethane.</v>
      </c>
      <c r="I119" s="152"/>
      <c r="J119" s="152"/>
      <c r="K119" s="152"/>
      <c r="L119" s="152"/>
    </row>
    <row r="120" spans="1:13" ht="20.100000000000001" customHeight="1" x14ac:dyDescent="0.2">
      <c r="D120" s="182" t="str" cm="1">
        <f t="array" ref="D120">Common_InputFunctions.Utility_DisplayArrayInTable(Fuel_SourceData.Fuel_Scope3EmissionFactorsStationaryGaseous_Data(), Table_Fuel_EFs_StationaryGaseous34[[#Headers],[State or territory]],0)</f>
        <v>Northern Territory</v>
      </c>
      <c r="E120" s="182" cm="1">
        <f t="array" ref="E120">Common_InputFunctions.Utility_DisplayArrayInTable(Fuel_SourceData.Fuel_Scope3EmissionFactorsStationaryGaseous_Data(), Table_Fuel_EFs_StationaryGaseous34[[#Headers],[State or territory]],0)</f>
        <v>4.0999999999999996</v>
      </c>
      <c r="F120" s="182" cm="1">
        <f t="array" ref="F120">Common_InputFunctions.Utility_DisplayArrayInTable(Fuel_SourceData.Fuel_Scope3EmissionFactorsStationaryGaseous_Data(), Table_Fuel_EFs_StationaryGaseous34[[#Headers],[State or territory]],0)</f>
        <v>4</v>
      </c>
      <c r="G120" s="183" t="str">
        <v>-</v>
      </c>
      <c r="H120" s="1" t="str">
        <v>C = Confidential. Scope 3 emission factors for Tasmania and the Northern Territory are not available due to confidentiality constraints that arise</v>
      </c>
      <c r="I120" s="152"/>
      <c r="J120" s="152"/>
      <c r="K120" s="152"/>
      <c r="L120" s="152"/>
    </row>
    <row r="121" spans="1:13" ht="20.100000000000001" customHeight="1" x14ac:dyDescent="0.2">
      <c r="D121" s="8"/>
      <c r="E121" s="8"/>
      <c r="F121" s="8"/>
      <c r="G121" s="183" t="str">
        <v/>
      </c>
      <c r="H121" s="1" t="str">
        <v>from the use of a limited number of NGER data inputs. It is suggested that for Tasmania the use of the Victorian emission factors is appropriate,</v>
      </c>
      <c r="I121" s="152"/>
      <c r="J121" s="152"/>
      <c r="K121" s="152"/>
      <c r="L121" s="152"/>
    </row>
    <row r="122" spans="1:13" ht="20.100000000000001" customHeight="1" x14ac:dyDescent="0.2">
      <c r="D122" s="152"/>
      <c r="F122" s="184"/>
      <c r="G122" s="183" t="str">
        <v/>
      </c>
      <c r="H122" s="1" t="str">
        <v>while for Northern Territory the use of the Western Australian emission factors is appropriate.</v>
      </c>
      <c r="I122" s="152"/>
      <c r="J122" s="152"/>
      <c r="K122" s="152"/>
      <c r="L122" s="152"/>
    </row>
    <row r="123" spans="1:13" ht="20.100000000000001" customHeight="1" x14ac:dyDescent="0.2">
      <c r="D123" s="185"/>
      <c r="F123" s="184"/>
      <c r="G123" s="183" t="str">
        <v>-</v>
      </c>
      <c r="H123" s="1" t="str">
        <v>Scope 3 emission factors do not include fugitive emission leakage from low pressure natural gas distribution pipeline networks while those from high pressure</v>
      </c>
      <c r="I123" s="152"/>
      <c r="J123" s="152"/>
      <c r="K123" s="152"/>
      <c r="L123" s="152"/>
    </row>
    <row r="124" spans="1:13" ht="20.100000000000001" customHeight="1" x14ac:dyDescent="0.2">
      <c r="D124" s="185"/>
      <c r="F124" s="184"/>
      <c r="G124" s="152" t="str">
        <v/>
      </c>
      <c r="H124" s="1" t="str">
        <v>gas networks are considered negligible.</v>
      </c>
      <c r="I124" s="152"/>
      <c r="J124" s="152"/>
      <c r="K124" s="152"/>
      <c r="L124" s="152"/>
    </row>
    <row r="125" spans="1:13" ht="20.100000000000001" customHeight="1" x14ac:dyDescent="0.2">
      <c r="D125" s="185"/>
      <c r="F125" s="184"/>
      <c r="G125" s="152"/>
      <c r="H125" s="152"/>
      <c r="I125" s="152"/>
      <c r="J125" s="152"/>
      <c r="K125" s="152"/>
      <c r="L125" s="152"/>
    </row>
    <row r="126" spans="1:13" ht="20.100000000000001" customHeight="1" x14ac:dyDescent="0.2">
      <c r="A126" s="79" t="str">
        <f>HYPERLINK("#A1", "▲ Back to top")</f>
        <v>▲ Back to top</v>
      </c>
      <c r="D126" s="152"/>
      <c r="E126" s="152"/>
      <c r="F126" s="152"/>
      <c r="G126" s="152"/>
      <c r="H126" s="152"/>
      <c r="I126" s="152"/>
      <c r="J126" s="152"/>
      <c r="K126" s="152"/>
      <c r="L126" s="152"/>
      <c r="M126" s="152"/>
    </row>
    <row r="127" spans="1:13" ht="20.100000000000001" customHeight="1" x14ac:dyDescent="0.2">
      <c r="D127" s="152"/>
      <c r="E127" s="152"/>
      <c r="F127" s="152"/>
      <c r="G127" s="152"/>
      <c r="H127" s="152"/>
      <c r="I127" s="152"/>
      <c r="J127" s="152"/>
      <c r="K127" s="152"/>
      <c r="L127" s="152"/>
      <c r="M127" s="152"/>
    </row>
    <row r="128" spans="1:13" ht="20.100000000000001" customHeight="1" x14ac:dyDescent="0.2">
      <c r="D128" s="152"/>
      <c r="E128" s="152"/>
      <c r="F128" s="152"/>
      <c r="G128" s="152"/>
      <c r="H128" s="152"/>
      <c r="I128" s="152"/>
      <c r="J128" s="152"/>
      <c r="K128" s="152"/>
      <c r="L128" s="152"/>
      <c r="M128" s="152"/>
    </row>
    <row r="129" spans="4:33" ht="20.100000000000001" customHeight="1" x14ac:dyDescent="0.2">
      <c r="D129" s="186"/>
      <c r="E129" s="152"/>
      <c r="F129" s="152"/>
      <c r="G129" s="152"/>
      <c r="H129" s="152"/>
      <c r="I129" s="152"/>
      <c r="J129" s="152"/>
      <c r="K129" s="152"/>
      <c r="L129" s="152"/>
    </row>
    <row r="130" spans="4:33" ht="20.100000000000001" customHeight="1" x14ac:dyDescent="0.2">
      <c r="D130" s="187" t="s">
        <v>648</v>
      </c>
      <c r="E130" s="187" t="s">
        <v>589</v>
      </c>
      <c r="F130" s="187" t="s">
        <v>649</v>
      </c>
      <c r="G130" s="187" t="s">
        <v>592</v>
      </c>
      <c r="H130" s="187" t="s">
        <v>594</v>
      </c>
      <c r="I130" s="187" t="s">
        <v>595</v>
      </c>
      <c r="J130" s="152"/>
      <c r="K130" s="152"/>
      <c r="L130" s="152"/>
    </row>
    <row r="131" spans="4:33" ht="20.100000000000001" customHeight="1" x14ac:dyDescent="0.2">
      <c r="D131" s="188" t="str">
        <f>$D$143</f>
        <v>Petrol</v>
      </c>
      <c r="E131" s="188" t="str">
        <f>$D$143</f>
        <v>Petrol</v>
      </c>
      <c r="F131" s="188" t="str">
        <f>$D$150</f>
        <v>Avgas</v>
      </c>
      <c r="G131" s="188" t="str">
        <f>$D$143</f>
        <v>Petrol</v>
      </c>
      <c r="H131" s="188" t="str">
        <f>$D$144</f>
        <v>Diesel</v>
      </c>
      <c r="I131" s="188" t="str">
        <f>$D$143</f>
        <v>Petrol</v>
      </c>
      <c r="J131" s="152"/>
      <c r="K131" s="152"/>
      <c r="L131" s="152"/>
    </row>
    <row r="132" spans="4:33" ht="20.100000000000001" customHeight="1" x14ac:dyDescent="0.2">
      <c r="D132" s="188" t="str">
        <f>$D$144</f>
        <v>Diesel</v>
      </c>
      <c r="E132" s="188" t="str">
        <f>$D$144</f>
        <v>Diesel</v>
      </c>
      <c r="F132" s="188" t="str">
        <f>$D$151</f>
        <v>Jet A1, Jet B</v>
      </c>
      <c r="G132" s="188" t="str">
        <f>$D$144</f>
        <v>Diesel</v>
      </c>
      <c r="H132" s="188"/>
      <c r="I132" s="188" t="str">
        <f>$D$144</f>
        <v>Diesel</v>
      </c>
      <c r="J132" s="152"/>
      <c r="K132" s="152"/>
      <c r="L132" s="152"/>
    </row>
    <row r="133" spans="4:33" ht="20.100000000000001" customHeight="1" x14ac:dyDescent="0.2">
      <c r="D133" s="188" t="str">
        <f>$D$145</f>
        <v>Liquefied petroleum gas (LPG)</v>
      </c>
      <c r="E133" s="188" t="str">
        <f>$D$145</f>
        <v>Liquefied petroleum gas (LPG)</v>
      </c>
      <c r="F133" s="188" t="str">
        <f>$D$152</f>
        <v>Renewable aviation kerosene</v>
      </c>
      <c r="G133" s="188" t="str">
        <f>$D$145</f>
        <v>Liquefied petroleum gas (LPG)</v>
      </c>
      <c r="H133" s="188"/>
      <c r="I133" s="188" t="s">
        <v>596</v>
      </c>
      <c r="J133" s="152"/>
      <c r="K133" s="152"/>
      <c r="L133" s="152"/>
    </row>
    <row r="134" spans="4:33" ht="20.100000000000001" customHeight="1" x14ac:dyDescent="0.2">
      <c r="D134" s="188" t="str">
        <f>$D$146</f>
        <v>Biodiesel</v>
      </c>
      <c r="E134" s="188" t="str">
        <f>$D$146</f>
        <v>Biodiesel</v>
      </c>
      <c r="F134" s="187"/>
      <c r="G134" s="188" t="str">
        <f>$D$160</f>
        <v>Fuel oil</v>
      </c>
      <c r="H134" s="188"/>
      <c r="I134" s="188"/>
      <c r="J134" s="152"/>
      <c r="K134" s="152"/>
      <c r="L134" s="152"/>
    </row>
    <row r="135" spans="4:33" ht="20.100000000000001" customHeight="1" x14ac:dyDescent="0.2">
      <c r="D135" s="188" t="str">
        <f>$D$147</f>
        <v>Ethanol</v>
      </c>
      <c r="E135" s="188" t="str">
        <f>$D$147</f>
        <v>Ethanol</v>
      </c>
      <c r="F135" s="187"/>
      <c r="G135" s="188" t="str">
        <f>$D$147</f>
        <v>Ethanol</v>
      </c>
      <c r="H135" s="188"/>
      <c r="I135" s="188"/>
      <c r="J135" s="152"/>
      <c r="K135" s="152"/>
      <c r="L135" s="152"/>
    </row>
    <row r="136" spans="4:33" ht="20.100000000000001" customHeight="1" x14ac:dyDescent="0.2">
      <c r="D136" s="188" t="str">
        <f>$D$148</f>
        <v>Other biofuels</v>
      </c>
      <c r="E136" s="188" t="str">
        <f>$D$148</f>
        <v>Other biofuels</v>
      </c>
      <c r="F136" s="187"/>
      <c r="G136" s="188" t="str">
        <f>$D$146</f>
        <v>Biodiesel</v>
      </c>
      <c r="H136" s="188"/>
      <c r="I136" s="188"/>
      <c r="J136" s="152"/>
      <c r="K136" s="152"/>
      <c r="L136" s="152"/>
    </row>
    <row r="137" spans="4:33" ht="20.100000000000001" customHeight="1" x14ac:dyDescent="0.2">
      <c r="D137" s="188" t="str">
        <f>$D$149</f>
        <v>Renewable diesel</v>
      </c>
      <c r="E137" s="188" t="str">
        <f>$D$149</f>
        <v>Renewable diesel</v>
      </c>
      <c r="F137" s="187"/>
      <c r="G137" s="188" t="str">
        <f>$D$149</f>
        <v>Renewable diesel</v>
      </c>
      <c r="H137" s="188"/>
      <c r="I137" s="188"/>
      <c r="J137" s="152"/>
      <c r="K137" s="152"/>
      <c r="L137" s="152"/>
    </row>
    <row r="138" spans="4:33" ht="20.100000000000001" customHeight="1" x14ac:dyDescent="0.2">
      <c r="D138" s="187"/>
      <c r="E138" s="189" t="str">
        <f>$D$161</f>
        <v>Natural gas (via pipeline) in GJ</v>
      </c>
      <c r="F138" s="189"/>
      <c r="G138" s="188" t="str">
        <f>$D$148</f>
        <v>Other biofuels</v>
      </c>
      <c r="H138" s="188"/>
      <c r="I138" s="188"/>
      <c r="J138" s="152"/>
      <c r="K138" s="152"/>
      <c r="L138" s="152"/>
    </row>
    <row r="139" spans="4:33" ht="20.100000000000001" customHeight="1" x14ac:dyDescent="0.2">
      <c r="D139" s="189"/>
      <c r="E139" s="189" t="str">
        <f>$D$162</f>
        <v>Town gas in GJ</v>
      </c>
      <c r="F139" s="189"/>
      <c r="G139" s="189"/>
      <c r="H139" s="189"/>
      <c r="I139" s="189"/>
      <c r="J139" s="152"/>
      <c r="K139" s="152"/>
      <c r="L139" s="152"/>
    </row>
    <row r="140" spans="4:33" ht="20.100000000000001" customHeight="1" x14ac:dyDescent="0.2">
      <c r="D140" s="152"/>
      <c r="E140" s="152"/>
      <c r="F140" s="152"/>
      <c r="G140" s="152"/>
      <c r="H140" s="152"/>
      <c r="I140" s="152"/>
      <c r="J140" s="152"/>
      <c r="K140" s="152"/>
      <c r="L140" s="152"/>
    </row>
    <row r="141" spans="4:33" ht="20.100000000000001" customHeight="1" x14ac:dyDescent="0.2">
      <c r="D141" s="152"/>
      <c r="E141" s="152"/>
      <c r="F141" s="152"/>
      <c r="G141" s="152"/>
      <c r="H141" s="152"/>
      <c r="I141" s="152"/>
      <c r="J141" s="152"/>
      <c r="K141" s="152"/>
      <c r="L141" s="152"/>
    </row>
    <row r="142" spans="4:33" ht="20.100000000000001" customHeight="1" x14ac:dyDescent="0.2">
      <c r="D142" t="s">
        <v>650</v>
      </c>
      <c r="E142" t="s">
        <v>118</v>
      </c>
      <c r="F142" t="s">
        <v>651</v>
      </c>
      <c r="G142" s="152"/>
      <c r="H142" s="152"/>
      <c r="I142" s="152"/>
      <c r="J142" s="152"/>
      <c r="K142" s="152"/>
      <c r="L142" s="152"/>
      <c r="M142" s="152"/>
      <c r="AG142" s="1"/>
    </row>
    <row r="143" spans="4:33" ht="20.100000000000001" customHeight="1" x14ac:dyDescent="0.2">
      <c r="D143" s="188" t="s">
        <v>591</v>
      </c>
      <c r="E143" t="s">
        <v>652</v>
      </c>
      <c r="F143" t="s">
        <v>653</v>
      </c>
      <c r="G143" s="152"/>
      <c r="H143" s="152"/>
      <c r="I143" s="152"/>
      <c r="J143" s="152"/>
      <c r="K143" s="152"/>
      <c r="L143" s="152"/>
      <c r="M143" s="152"/>
      <c r="AG143" s="1"/>
    </row>
    <row r="144" spans="4:33" ht="20.100000000000001" customHeight="1" x14ac:dyDescent="0.2">
      <c r="D144" s="188" t="s">
        <v>593</v>
      </c>
      <c r="E144" t="s">
        <v>652</v>
      </c>
      <c r="F144" t="s">
        <v>653</v>
      </c>
      <c r="G144" s="152"/>
      <c r="H144" s="152"/>
      <c r="I144" s="152"/>
      <c r="J144" s="152"/>
      <c r="K144" s="152"/>
      <c r="L144" s="152"/>
      <c r="M144" s="152"/>
      <c r="AG144" s="1"/>
    </row>
    <row r="145" spans="1:33" ht="20.100000000000001" customHeight="1" x14ac:dyDescent="0.2">
      <c r="D145" s="188" t="s">
        <v>654</v>
      </c>
      <c r="E145" t="s">
        <v>652</v>
      </c>
      <c r="F145" t="s">
        <v>653</v>
      </c>
      <c r="G145" s="152"/>
      <c r="H145" s="152"/>
      <c r="I145" s="152"/>
      <c r="J145" s="152"/>
      <c r="K145" s="152"/>
      <c r="L145" s="152"/>
      <c r="M145" s="152"/>
      <c r="AG145" s="1"/>
    </row>
    <row r="146" spans="1:33" ht="20.100000000000001" customHeight="1" x14ac:dyDescent="0.2">
      <c r="D146" s="188" t="s">
        <v>655</v>
      </c>
      <c r="E146" t="s">
        <v>652</v>
      </c>
      <c r="F146" t="s">
        <v>653</v>
      </c>
      <c r="G146" s="152"/>
      <c r="H146" s="152"/>
      <c r="I146" s="152"/>
      <c r="J146" s="152"/>
      <c r="K146" s="152"/>
      <c r="L146" s="152"/>
      <c r="M146" s="152"/>
      <c r="AG146" s="1"/>
    </row>
    <row r="147" spans="1:33" ht="20.100000000000001" customHeight="1" x14ac:dyDescent="0.2">
      <c r="D147" s="188" t="s">
        <v>656</v>
      </c>
      <c r="E147" t="s">
        <v>652</v>
      </c>
      <c r="F147" t="s">
        <v>653</v>
      </c>
      <c r="G147" s="152"/>
      <c r="H147" s="152"/>
      <c r="I147" s="152"/>
      <c r="J147" s="152"/>
      <c r="K147" s="152"/>
      <c r="L147" s="152"/>
      <c r="M147" s="152"/>
      <c r="AG147" s="1"/>
    </row>
    <row r="148" spans="1:33" ht="20.100000000000001" customHeight="1" x14ac:dyDescent="0.2">
      <c r="D148" s="188" t="s">
        <v>657</v>
      </c>
      <c r="E148" t="s">
        <v>652</v>
      </c>
      <c r="F148" t="s">
        <v>653</v>
      </c>
      <c r="G148" s="152"/>
      <c r="H148" s="152"/>
      <c r="I148" s="152"/>
      <c r="J148" s="152"/>
      <c r="K148" s="152"/>
      <c r="L148" s="152"/>
      <c r="M148" s="152"/>
      <c r="AG148" s="1"/>
    </row>
    <row r="149" spans="1:33" ht="20.100000000000001" customHeight="1" x14ac:dyDescent="0.2">
      <c r="D149" s="188" t="s">
        <v>658</v>
      </c>
      <c r="E149" t="s">
        <v>652</v>
      </c>
      <c r="F149" t="s">
        <v>653</v>
      </c>
      <c r="G149" s="152"/>
      <c r="H149" s="152"/>
      <c r="I149" s="152"/>
      <c r="J149" s="152"/>
      <c r="K149" s="152"/>
      <c r="L149" s="152"/>
      <c r="M149" s="152"/>
      <c r="AG149" s="1"/>
    </row>
    <row r="150" spans="1:33" ht="20.100000000000001" customHeight="1" x14ac:dyDescent="0.2">
      <c r="D150" s="188" t="s">
        <v>659</v>
      </c>
      <c r="E150" t="s">
        <v>652</v>
      </c>
      <c r="F150" t="s">
        <v>653</v>
      </c>
      <c r="G150" s="152"/>
      <c r="H150" s="152"/>
      <c r="I150" s="152"/>
      <c r="J150" s="152"/>
      <c r="K150" s="152"/>
      <c r="L150" s="152"/>
      <c r="M150" s="152"/>
      <c r="AG150" s="1"/>
    </row>
    <row r="151" spans="1:33" ht="20.100000000000001" customHeight="1" x14ac:dyDescent="0.2">
      <c r="D151" s="188" t="s">
        <v>660</v>
      </c>
      <c r="E151" t="s">
        <v>652</v>
      </c>
      <c r="F151" t="s">
        <v>653</v>
      </c>
      <c r="G151" s="152"/>
      <c r="H151" s="152"/>
      <c r="I151" s="152"/>
      <c r="J151" s="152"/>
      <c r="K151" s="152"/>
      <c r="L151" s="152"/>
      <c r="M151" s="152"/>
      <c r="AG151" s="1"/>
    </row>
    <row r="152" spans="1:33" ht="20.100000000000001" customHeight="1" x14ac:dyDescent="0.2">
      <c r="D152" s="190" t="s">
        <v>661</v>
      </c>
      <c r="E152" s="8" t="s">
        <v>652</v>
      </c>
      <c r="F152" t="s">
        <v>653</v>
      </c>
      <c r="G152" s="152"/>
      <c r="H152" s="152"/>
      <c r="I152" s="152"/>
      <c r="J152" s="152"/>
      <c r="K152" s="152"/>
      <c r="L152" s="152"/>
      <c r="M152" s="152"/>
      <c r="AG152" s="1"/>
    </row>
    <row r="153" spans="1:33" ht="20.100000000000001" customHeight="1" x14ac:dyDescent="0.2">
      <c r="D153" s="190" t="s">
        <v>662</v>
      </c>
      <c r="E153" s="8" t="s">
        <v>652</v>
      </c>
      <c r="F153" t="s">
        <v>653</v>
      </c>
      <c r="G153" s="152"/>
      <c r="H153" s="152"/>
      <c r="I153" s="152"/>
      <c r="J153" s="152"/>
      <c r="K153" s="152"/>
      <c r="L153" s="152"/>
      <c r="M153" s="152"/>
      <c r="AG153" s="1"/>
    </row>
    <row r="154" spans="1:33" ht="20.100000000000001" customHeight="1" x14ac:dyDescent="0.2">
      <c r="D154" s="190" t="s">
        <v>663</v>
      </c>
      <c r="E154" s="8" t="s">
        <v>652</v>
      </c>
      <c r="F154" t="s">
        <v>653</v>
      </c>
      <c r="G154" s="152"/>
      <c r="H154" s="152"/>
      <c r="I154" s="152"/>
      <c r="J154" s="152"/>
      <c r="K154" s="152"/>
      <c r="L154" s="152"/>
      <c r="M154" s="152"/>
      <c r="AG154" s="1"/>
    </row>
    <row r="155" spans="1:33" ht="20.100000000000001" customHeight="1" x14ac:dyDescent="0.2">
      <c r="D155" s="190" t="s">
        <v>664</v>
      </c>
      <c r="E155" s="8" t="s">
        <v>652</v>
      </c>
      <c r="F155" t="s">
        <v>653</v>
      </c>
      <c r="G155" s="152"/>
      <c r="H155" s="152"/>
      <c r="I155" s="152"/>
      <c r="J155" s="152"/>
      <c r="K155" s="152"/>
      <c r="L155" s="152"/>
      <c r="M155" s="152"/>
      <c r="AG155" s="1"/>
    </row>
    <row r="156" spans="1:33" ht="20.100000000000001" customHeight="1" x14ac:dyDescent="0.2">
      <c r="A156" s="79" t="str">
        <f>HYPERLINK("#A1", "▲ Back to top")</f>
        <v>▲ Back to top</v>
      </c>
      <c r="D156" s="190" t="s">
        <v>665</v>
      </c>
      <c r="E156" s="8" t="s">
        <v>652</v>
      </c>
      <c r="F156" t="s">
        <v>653</v>
      </c>
      <c r="G156" s="152"/>
      <c r="H156" s="152"/>
      <c r="I156" s="152"/>
      <c r="J156" s="152"/>
      <c r="K156" s="152"/>
      <c r="L156" s="152"/>
      <c r="M156" s="152"/>
      <c r="AG156" s="1"/>
    </row>
    <row r="157" spans="1:33" ht="20.100000000000001" customHeight="1" x14ac:dyDescent="0.2">
      <c r="D157" s="190" t="s">
        <v>666</v>
      </c>
      <c r="E157" s="8" t="s">
        <v>652</v>
      </c>
      <c r="F157" t="s">
        <v>653</v>
      </c>
      <c r="G157" s="152"/>
      <c r="H157" s="152"/>
      <c r="I157" s="152"/>
      <c r="J157" s="152"/>
      <c r="K157" s="152"/>
      <c r="L157" s="152"/>
      <c r="M157" s="152"/>
      <c r="AG157" s="1"/>
    </row>
    <row r="158" spans="1:33" ht="20.100000000000001" customHeight="1" x14ac:dyDescent="0.2">
      <c r="D158" s="190" t="s">
        <v>667</v>
      </c>
      <c r="E158" s="8" t="s">
        <v>652</v>
      </c>
      <c r="F158" t="s">
        <v>653</v>
      </c>
      <c r="G158" s="152"/>
      <c r="H158" s="152"/>
      <c r="I158" s="152"/>
      <c r="J158" s="152"/>
      <c r="K158" s="152"/>
      <c r="L158" s="152"/>
      <c r="M158" s="152"/>
      <c r="AG158" s="1"/>
    </row>
    <row r="159" spans="1:33" ht="20.100000000000001" customHeight="1" x14ac:dyDescent="0.2">
      <c r="D159" s="190" t="s">
        <v>668</v>
      </c>
      <c r="E159" s="8" t="s">
        <v>652</v>
      </c>
      <c r="F159" t="s">
        <v>653</v>
      </c>
      <c r="G159" s="152"/>
      <c r="H159" s="152"/>
      <c r="I159" s="152"/>
      <c r="J159" s="152"/>
      <c r="K159" s="152"/>
      <c r="L159" s="152"/>
      <c r="M159" s="152"/>
      <c r="AG159" s="1"/>
    </row>
    <row r="160" spans="1:33" ht="20.100000000000001" customHeight="1" x14ac:dyDescent="0.2">
      <c r="D160" s="190" t="s">
        <v>596</v>
      </c>
      <c r="E160" s="8" t="s">
        <v>652</v>
      </c>
      <c r="F160" t="s">
        <v>653</v>
      </c>
      <c r="G160" s="152"/>
      <c r="H160" s="152"/>
      <c r="I160" s="152"/>
      <c r="J160" s="152"/>
      <c r="K160" s="152"/>
      <c r="L160" s="152"/>
      <c r="M160" s="152"/>
      <c r="AG160" s="1"/>
    </row>
    <row r="161" spans="4:33" ht="20.100000000000001" customHeight="1" x14ac:dyDescent="0.2">
      <c r="D161" s="189" t="s">
        <v>669</v>
      </c>
      <c r="E161" s="152" t="s">
        <v>670</v>
      </c>
      <c r="F161" s="152" t="s">
        <v>670</v>
      </c>
      <c r="G161" s="152"/>
      <c r="H161" s="152"/>
      <c r="I161" s="152"/>
      <c r="J161" s="152"/>
      <c r="K161" s="152"/>
      <c r="L161" s="152"/>
      <c r="M161" s="152"/>
      <c r="AG161" s="1"/>
    </row>
    <row r="162" spans="4:33" ht="20.100000000000001" customHeight="1" x14ac:dyDescent="0.2">
      <c r="D162" s="152" t="s">
        <v>590</v>
      </c>
      <c r="E162" s="152" t="s">
        <v>670</v>
      </c>
      <c r="F162" s="152" t="s">
        <v>670</v>
      </c>
      <c r="G162" s="152"/>
      <c r="H162" s="152"/>
      <c r="I162" s="152"/>
      <c r="J162" s="152"/>
      <c r="K162" s="152"/>
      <c r="L162" s="152"/>
      <c r="M162" s="152"/>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A3057-0DD9-4C85-B510-502FDC02CC89}">
  <sheetPr>
    <tabColor theme="2" tint="-0.499984740745262"/>
  </sheetPr>
  <dimension ref="A1:R247"/>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Emissions Intensity")</f>
        <v>Results - Product Emissions Intensity</v>
      </c>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Feedlot'!A1", "Feedlot")</f>
        <v>Feedlot</v>
      </c>
    </row>
    <row r="12" spans="1:17" ht="20.100000000000001" customHeight="1" x14ac:dyDescent="0.2">
      <c r="A12" s="5" t="str">
        <f>HYPERLINK("#'Input - Livestock sales'!A1", "Livestock sales")</f>
        <v>Livestock sales</v>
      </c>
    </row>
    <row r="13" spans="1:17" ht="20.100000000000001" customHeight="1" x14ac:dyDescent="0.2">
      <c r="A13" s="5" t="str">
        <f>HYPERLINK("#'Input - Beef cattle purchases'!A1", "Beef cattle purchases")</f>
        <v>Beef cattle purchases</v>
      </c>
    </row>
    <row r="14" spans="1:17" ht="20.100000000000001" customHeight="1" x14ac:dyDescent="0.2">
      <c r="A14" s="5" t="str">
        <f>HYPERLINK("#'Input - Fuel'!A1", "Fuel")</f>
        <v>Fuel</v>
      </c>
    </row>
    <row r="15" spans="1:17" ht="20.100000000000001" customHeight="1" x14ac:dyDescent="0.2">
      <c r="A15" s="5" t="str">
        <f>HYPERLINK("#'Input - Electricity'!A1", "Electricity")</f>
        <v>Electricity</v>
      </c>
    </row>
    <row r="16" spans="1:17" ht="20.100000000000001" customHeight="1" x14ac:dyDescent="0.2">
      <c r="A16" s="5" t="str">
        <f>HYPERLINK("#'Input - Common farm inputs'!A1", "Common farm inputs")</f>
        <v>Common farm inputs</v>
      </c>
    </row>
    <row r="17" spans="1:12" ht="20.100000000000001" customHeight="1" x14ac:dyDescent="0.2">
      <c r="A17" s="5" t="str">
        <f>HYPERLINK("#'Input - Livestock farm Inputs'!A1", "Livestock farm Inputs")</f>
        <v>Livestock farm Inputs</v>
      </c>
    </row>
    <row r="18" spans="1:12" ht="20.100000000000001" customHeight="1" x14ac:dyDescent="0.2">
      <c r="A18" s="5" t="str">
        <f>HYPERLINK("#'Input - Freight'!A1", "Freight")</f>
        <v>Freight</v>
      </c>
    </row>
    <row r="19" spans="1:12" ht="20.100000000000001" customHeight="1" x14ac:dyDescent="0.2">
      <c r="A19" s="5" t="str">
        <f>HYPERLINK("#'Input - Solid waste'!A1", "Solid waste")</f>
        <v>Solid waste</v>
      </c>
    </row>
    <row r="20" spans="1:12" ht="20.100000000000001" customHeight="1" x14ac:dyDescent="0.2">
      <c r="A20" s="5" t="str">
        <f>HYPERLINK("#'Input - Manure sent off-site'!A1", "Manure sent off-site")</f>
        <v>Manure sent off-site</v>
      </c>
    </row>
    <row r="21" spans="1:12" ht="20.100000000000001" customHeight="1" x14ac:dyDescent="0.2">
      <c r="A21" s="5" t="str">
        <f>HYPERLINK("#'Input - Data quality'!A1", "Data quality")</f>
        <v>Data quality</v>
      </c>
    </row>
    <row r="22" spans="1:12" ht="20.100000000000001" customHeight="1" x14ac:dyDescent="0.2">
      <c r="A22" s="5" t="str">
        <f>HYPERLINK("#'Input - Fert Prod System'!A1", "Fert Prod System")</f>
        <v>Fert Prod System</v>
      </c>
    </row>
    <row r="23" spans="1:12" ht="20.100000000000001" customHeight="1" x14ac:dyDescent="0.2">
      <c r="A23" s="5" t="str">
        <f>HYPERLINK("#'Input - Fertiliser'!A1", "Fertiliser")</f>
        <v>Fertiliser</v>
      </c>
    </row>
    <row r="26" spans="1:12" ht="20.100000000000001" customHeight="1" x14ac:dyDescent="0.2">
      <c r="A26" s="6" t="s">
        <v>2</v>
      </c>
    </row>
    <row r="27" spans="1:12" ht="20.100000000000001" customHeight="1" x14ac:dyDescent="0.2">
      <c r="A27" s="5" t="str">
        <f>HYPERLINK("#'3.1.1.1-2 Enteric Methane'!A1", "3.1.1.1-2 Enteric Methane")</f>
        <v>3.1.1.1-2 Enteric Methane</v>
      </c>
    </row>
    <row r="28" spans="1:12" ht="20.100000000000001" customHeight="1" x14ac:dyDescent="0.2">
      <c r="A28" s="5" t="str">
        <f>HYPERLINK("#'4.1.1.1-2 Methane'!A1", "4.1.1.1-2 Manure Methane")</f>
        <v>4.1.1.1-2 Manure Methane</v>
      </c>
    </row>
    <row r="29" spans="1:12" ht="20.100000000000001" customHeight="1" x14ac:dyDescent="0.2">
      <c r="A29" s="5" t="str">
        <f>HYPERLINK("#'4.1.1.3-4 Direct N20'!A1", "4.1.1.3-4 Manure Direct N2O")</f>
        <v>4.1.1.3-4 Manure Direct N2O</v>
      </c>
    </row>
    <row r="30" spans="1:12" ht="20.100000000000001" customHeight="1" x14ac:dyDescent="0.2">
      <c r="A30" s="5" t="str">
        <f>HYPERLINK("#'4.1.1.5-6 Atmos Deposition'!A1", "4.1.1.5-6 Manure Atmos Dep")</f>
        <v>4.1.1.5-6 Manure Atmos Dep</v>
      </c>
    </row>
    <row r="31" spans="1:12" ht="20.100000000000001" customHeight="1" x14ac:dyDescent="0.2">
      <c r="A31" s="5" t="str">
        <f>HYPERLINK("#'4.1.1.9 Manure applied to soils'!A1", "4.1.1.9 Manure applied to soils")</f>
        <v>4.1.1.9 Manure applied to soils</v>
      </c>
    </row>
    <row r="32" spans="1:12" ht="20.100000000000001" customHeight="1" x14ac:dyDescent="0.2">
      <c r="A32" s="5" t="str">
        <f>HYPERLINK("#'8.1.1.1-2 Transport fuel'!A1", "8.1.1.1-2 Transport fuel")</f>
        <v>8.1.1.1-2 Transport fuel</v>
      </c>
      <c r="D32" s="2" t="s">
        <v>1157</v>
      </c>
      <c r="L32" s="1" t="s">
        <v>1158</v>
      </c>
    </row>
    <row r="33" spans="1:13" ht="20.100000000000001" customHeight="1" x14ac:dyDescent="0.2">
      <c r="A33" s="5" t="str">
        <f>HYPERLINK("#'8.2.1.1-2 Stationary fuel'!A1", "8.2.1.1-2 Stationary fuel")</f>
        <v>8.2.1.1-2 Stationary fuel</v>
      </c>
      <c r="D33" s="19" t="s">
        <v>1159</v>
      </c>
      <c r="E33" s="19" t="s">
        <v>132</v>
      </c>
      <c r="F33" s="19" t="s">
        <v>1160</v>
      </c>
      <c r="G33" s="19" t="s">
        <v>1161</v>
      </c>
      <c r="H33" s="19" t="s">
        <v>1162</v>
      </c>
      <c r="I33" s="19" t="s">
        <v>1163</v>
      </c>
      <c r="J33" s="19" t="s">
        <v>560</v>
      </c>
      <c r="L33" s="19" t="s">
        <v>1164</v>
      </c>
      <c r="M33" s="19" t="s">
        <v>1165</v>
      </c>
    </row>
    <row r="34" spans="1:13" ht="20.100000000000001" customHeight="1" x14ac:dyDescent="0.2">
      <c r="A34" s="5" t="str">
        <f>HYPERLINK("#'10.1.1-2 Solid waste treatment'!A1", "10.1.1.1-2 Solid waste")</f>
        <v>10.1.1.1-2 Solid waste</v>
      </c>
      <c r="D34" s="19" t="str" cm="1">
        <f t="array" ref="D34">Common_InputFunctions.Utility_DisplayArrayInTable(Scope3_SourceData.Scope3_Livestock_Data(), Table_SourceData_Scope3_Animals[[#Headers],[Category]], 0, 2)</f>
        <v>Beef cattle</v>
      </c>
      <c r="E34" s="19" t="str" cm="1">
        <f t="array" ref="E34">Common_InputFunctions.Utility_DisplayArrayInTable(Scope3_SourceData.Scope3_Livestock_Data(), Table_SourceData_Scope3_Animals[[#Headers],[Category]], 0, 2)</f>
        <v>Cattle, for manufacturing beef</v>
      </c>
      <c r="F34" s="19" t="str" cm="1">
        <f t="array" ref="F34">Common_InputFunctions.Utility_DisplayArrayInTable(Scope3_SourceData.Scope3_Livestock_Data(), Table_SourceData_Scope3_Animals[[#Headers],[Category]], 0, 2)</f>
        <v>Australia</v>
      </c>
      <c r="G34" s="19" t="str" cm="1">
        <f t="array" ref="G34">Common_InputFunctions.Utility_DisplayArrayInTable(Scope3_SourceData.Scope3_Livestock_Data(), Table_SourceData_Scope3_Animals[[#Headers],[Category]], 0, 2)</f>
        <v>kg liveweight</v>
      </c>
      <c r="H34" s="19" cm="1">
        <f t="array" ref="H34">Common_InputFunctions.Utility_DisplayArrayInTable(Scope3_SourceData.Scope3_Livestock_Data(), Table_SourceData_Scope3_Animals[[#Headers],[Category]], 0, 2)</f>
        <v>11</v>
      </c>
      <c r="I34" s="19" t="str" cm="1">
        <f t="array" ref="I34">Common_InputFunctions.Utility_DisplayArrayInTable(Scope3_SourceData.Scope3_Livestock_Data(), Table_SourceData_Scope3_Animals[[#Headers],[Category]], 0, 2)</f>
        <v>at market</v>
      </c>
      <c r="J34" s="19" t="s">
        <v>1166</v>
      </c>
      <c r="L34" s="19" t="s">
        <v>498</v>
      </c>
      <c r="M34" s="19" t="s">
        <v>497</v>
      </c>
    </row>
    <row r="35" spans="1:13" ht="20.100000000000001" customHeight="1" x14ac:dyDescent="0.2">
      <c r="A35" s="5" t="str">
        <f>HYPERLINK("#'14.1.1-2 Purchased electricity'!A1", "14.1.1-2 Purchased electricity")</f>
        <v>14.1.1-2 Purchased electricity</v>
      </c>
      <c r="D35" s="19" t="str" cm="1">
        <f t="array" ref="D35">Common_InputFunctions.Utility_DisplayArrayInTable(Scope3_SourceData.Scope3_Livestock_Data(), Table_SourceData_Scope3_Animals[[#Headers],[Category]], 0, 2)</f>
        <v>Beef cattle</v>
      </c>
      <c r="E35" s="19" t="str" cm="1">
        <f t="array" ref="E35">Common_InputFunctions.Utility_DisplayArrayInTable(Scope3_SourceData.Scope3_Livestock_Data(), Table_SourceData_Scope3_Animals[[#Headers],[Category]], 0, 2)</f>
        <v>Cattle, for manufacturing beef</v>
      </c>
      <c r="F35" s="19" t="str" cm="1">
        <f t="array" ref="F35">Common_InputFunctions.Utility_DisplayArrayInTable(Scope3_SourceData.Scope3_Livestock_Data(), Table_SourceData_Scope3_Animals[[#Headers],[Category]], 0, 2)</f>
        <v>NSW</v>
      </c>
      <c r="G35" s="19" t="str" cm="1">
        <f t="array" ref="G35">Common_InputFunctions.Utility_DisplayArrayInTable(Scope3_SourceData.Scope3_Livestock_Data(), Table_SourceData_Scope3_Animals[[#Headers],[Category]], 0, 2)</f>
        <v>kg liveweight</v>
      </c>
      <c r="H35" s="19" cm="1">
        <f t="array" ref="H35">Common_InputFunctions.Utility_DisplayArrayInTable(Scope3_SourceData.Scope3_Livestock_Data(), Table_SourceData_Scope3_Animals[[#Headers],[Category]], 0, 2)</f>
        <v>8.2100000000000009</v>
      </c>
      <c r="I35" s="19" t="str" cm="1">
        <f t="array" ref="I35">Common_InputFunctions.Utility_DisplayArrayInTable(Scope3_SourceData.Scope3_Livestock_Data(), Table_SourceData_Scope3_Animals[[#Headers],[Category]], 0, 2)</f>
        <v>at market</v>
      </c>
      <c r="J35" s="19" t="s">
        <v>1166</v>
      </c>
      <c r="L35" s="19" t="s">
        <v>497</v>
      </c>
      <c r="M35" s="19" t="s">
        <v>497</v>
      </c>
    </row>
    <row r="36" spans="1:13" ht="20.100000000000001" customHeight="1" x14ac:dyDescent="0.2">
      <c r="A36" s="5" t="str">
        <f>HYPERLINK("#'15 Scope 3'!A1", "15 Scope 3")</f>
        <v>15 Scope 3</v>
      </c>
      <c r="D36" s="19" t="str" cm="1">
        <f t="array" ref="D36">Common_InputFunctions.Utility_DisplayArrayInTable(Scope3_SourceData.Scope3_Livestock_Data(), Table_SourceData_Scope3_Animals[[#Headers],[Category]], 0, 2)</f>
        <v>Beef cattle</v>
      </c>
      <c r="E36" s="19" t="str" cm="1">
        <f t="array" ref="E36">Common_InputFunctions.Utility_DisplayArrayInTable(Scope3_SourceData.Scope3_Livestock_Data(), Table_SourceData_Scope3_Animals[[#Headers],[Category]], 0, 2)</f>
        <v>Cattle, for manufacturing beef</v>
      </c>
      <c r="F36" s="19" t="str" cm="1">
        <f t="array" ref="F36">Common_InputFunctions.Utility_DisplayArrayInTable(Scope3_SourceData.Scope3_Livestock_Data(), Table_SourceData_Scope3_Animals[[#Headers],[Category]], 0, 2)</f>
        <v>NT</v>
      </c>
      <c r="G36" s="19" t="str" cm="1">
        <f t="array" ref="G36">Common_InputFunctions.Utility_DisplayArrayInTable(Scope3_SourceData.Scope3_Livestock_Data(), Table_SourceData_Scope3_Animals[[#Headers],[Category]], 0, 2)</f>
        <v>kg liveweight</v>
      </c>
      <c r="H36" s="19" cm="1">
        <f t="array" ref="H36">Common_InputFunctions.Utility_DisplayArrayInTable(Scope3_SourceData.Scope3_Livestock_Data(), Table_SourceData_Scope3_Animals[[#Headers],[Category]], 0, 2)</f>
        <v>12.2</v>
      </c>
      <c r="I36" s="19" t="str" cm="1">
        <f t="array" ref="I36">Common_InputFunctions.Utility_DisplayArrayInTable(Scope3_SourceData.Scope3_Livestock_Data(), Table_SourceData_Scope3_Animals[[#Headers],[Category]], 0, 2)</f>
        <v>at market</v>
      </c>
      <c r="J36" s="19" t="s">
        <v>1166</v>
      </c>
      <c r="L36" s="19" t="s">
        <v>501</v>
      </c>
      <c r="M36" s="19" t="s">
        <v>501</v>
      </c>
    </row>
    <row r="37" spans="1:13" ht="20.100000000000001" customHeight="1" x14ac:dyDescent="0.2">
      <c r="A37" s="5" t="str">
        <f>HYPERLINK("#'Calcs - Manure sent off-site'!A1", "Calcs - Manure sent off-site")</f>
        <v>Calcs - Manure sent off-site</v>
      </c>
      <c r="D37" s="19" t="str" cm="1">
        <f t="array" ref="D37">Common_InputFunctions.Utility_DisplayArrayInTable(Scope3_SourceData.Scope3_Livestock_Data(), Table_SourceData_Scope3_Animals[[#Headers],[Category]], 0, 2)</f>
        <v>Beef cattle</v>
      </c>
      <c r="E37" s="19" t="str" cm="1">
        <f t="array" ref="E37">Common_InputFunctions.Utility_DisplayArrayInTable(Scope3_SourceData.Scope3_Livestock_Data(), Table_SourceData_Scope3_Animals[[#Headers],[Category]], 0, 2)</f>
        <v>Cattle, for manufacturing beef</v>
      </c>
      <c r="F37" s="19" t="str" cm="1">
        <f t="array" ref="F37">Common_InputFunctions.Utility_DisplayArrayInTable(Scope3_SourceData.Scope3_Livestock_Data(), Table_SourceData_Scope3_Animals[[#Headers],[Category]], 0, 2)</f>
        <v>QLD</v>
      </c>
      <c r="G37" s="19" t="str" cm="1">
        <f t="array" ref="G37">Common_InputFunctions.Utility_DisplayArrayInTable(Scope3_SourceData.Scope3_Livestock_Data(), Table_SourceData_Scope3_Animals[[#Headers],[Category]], 0, 2)</f>
        <v>kg liveweight</v>
      </c>
      <c r="H37" s="19" cm="1">
        <f t="array" ref="H37">Common_InputFunctions.Utility_DisplayArrayInTable(Scope3_SourceData.Scope3_Livestock_Data(), Table_SourceData_Scope3_Animals[[#Headers],[Category]], 0, 2)</f>
        <v>10.9</v>
      </c>
      <c r="I37" s="19" t="str" cm="1">
        <f t="array" ref="I37">Common_InputFunctions.Utility_DisplayArrayInTable(Scope3_SourceData.Scope3_Livestock_Data(), Table_SourceData_Scope3_Animals[[#Headers],[Category]], 0, 2)</f>
        <v>at market</v>
      </c>
      <c r="J37" s="19" t="s">
        <v>1166</v>
      </c>
      <c r="L37" s="19" t="s">
        <v>504</v>
      </c>
      <c r="M37" s="19" t="s">
        <v>504</v>
      </c>
    </row>
    <row r="38" spans="1:13" ht="20.100000000000001" customHeight="1" x14ac:dyDescent="0.2">
      <c r="A38" s="5" t="str">
        <f>HYPERLINK("#'5.1.1.1-2 Inorganic fert N2O'!A1", "5.1.1.1-2 Inorganic fert N2O")</f>
        <v>5.1.1.1-2 Inorganic fert N2O</v>
      </c>
      <c r="D38" s="19" t="str" cm="1">
        <f t="array" ref="D38">Common_InputFunctions.Utility_DisplayArrayInTable(Scope3_SourceData.Scope3_Livestock_Data(), Table_SourceData_Scope3_Animals[[#Headers],[Category]], 0, 2)</f>
        <v>Beef cattle</v>
      </c>
      <c r="E38" s="19" t="str" cm="1">
        <f t="array" ref="E38">Common_InputFunctions.Utility_DisplayArrayInTable(Scope3_SourceData.Scope3_Livestock_Data(), Table_SourceData_Scope3_Animals[[#Headers],[Category]], 0, 2)</f>
        <v>Cattle, for manufacturing beef</v>
      </c>
      <c r="F38" s="19" t="str" cm="1">
        <f t="array" ref="F38">Common_InputFunctions.Utility_DisplayArrayInTable(Scope3_SourceData.Scope3_Livestock_Data(), Table_SourceData_Scope3_Animals[[#Headers],[Category]], 0, 2)</f>
        <v>SA</v>
      </c>
      <c r="G38" s="19" t="str" cm="1">
        <f t="array" ref="G38">Common_InputFunctions.Utility_DisplayArrayInTable(Scope3_SourceData.Scope3_Livestock_Data(), Table_SourceData_Scope3_Animals[[#Headers],[Category]], 0, 2)</f>
        <v>kg liveweight</v>
      </c>
      <c r="H38" s="19" cm="1">
        <f t="array" ref="H38">Common_InputFunctions.Utility_DisplayArrayInTable(Scope3_SourceData.Scope3_Livestock_Data(), Table_SourceData_Scope3_Animals[[#Headers],[Category]], 0, 2)</f>
        <v>7.63</v>
      </c>
      <c r="I38" s="19" t="str" cm="1">
        <f t="array" ref="I38">Common_InputFunctions.Utility_DisplayArrayInTable(Scope3_SourceData.Scope3_Livestock_Data(), Table_SourceData_Scope3_Animals[[#Headers],[Category]], 0, 2)</f>
        <v>at market</v>
      </c>
      <c r="J38" s="19" t="s">
        <v>1166</v>
      </c>
      <c r="L38" s="19" t="s">
        <v>502</v>
      </c>
      <c r="M38" s="19" t="s">
        <v>502</v>
      </c>
    </row>
    <row r="39" spans="1:13" ht="20.100000000000001" customHeight="1" x14ac:dyDescent="0.2">
      <c r="A39" s="5" t="str">
        <f>HYPERLINK("#'5.1.1.3-4 Inorganic fert CO2'!A1", "5.1.1.3-4 Inorganic fert CO2")</f>
        <v>5.1.1.3-4 Inorganic fert CO2</v>
      </c>
      <c r="D39" s="19" t="str" cm="1">
        <f t="array" ref="D39">Common_InputFunctions.Utility_DisplayArrayInTable(Scope3_SourceData.Scope3_Livestock_Data(), Table_SourceData_Scope3_Animals[[#Headers],[Category]], 0, 2)</f>
        <v>Beef cattle</v>
      </c>
      <c r="E39" s="19" t="str" cm="1">
        <f t="array" ref="E39">Common_InputFunctions.Utility_DisplayArrayInTable(Scope3_SourceData.Scope3_Livestock_Data(), Table_SourceData_Scope3_Animals[[#Headers],[Category]], 0, 2)</f>
        <v>Cattle, for manufacturing beef</v>
      </c>
      <c r="F39" s="19" t="str" cm="1">
        <f t="array" ref="F39">Common_InputFunctions.Utility_DisplayArrayInTable(Scope3_SourceData.Scope3_Livestock_Data(), Table_SourceData_Scope3_Animals[[#Headers],[Category]], 0, 2)</f>
        <v>TAS</v>
      </c>
      <c r="G39" s="19" t="str" cm="1">
        <f t="array" ref="G39">Common_InputFunctions.Utility_DisplayArrayInTable(Scope3_SourceData.Scope3_Livestock_Data(), Table_SourceData_Scope3_Animals[[#Headers],[Category]], 0, 2)</f>
        <v>kg liveweight</v>
      </c>
      <c r="H39" s="19" cm="1">
        <f t="array" ref="H39">Common_InputFunctions.Utility_DisplayArrayInTable(Scope3_SourceData.Scope3_Livestock_Data(), Table_SourceData_Scope3_Animals[[#Headers],[Category]], 0, 2)</f>
        <v>8.75</v>
      </c>
      <c r="I39" s="19" t="str" cm="1">
        <f t="array" ref="I39">Common_InputFunctions.Utility_DisplayArrayInTable(Scope3_SourceData.Scope3_Livestock_Data(), Table_SourceData_Scope3_Animals[[#Headers],[Category]], 0, 2)</f>
        <v>at market</v>
      </c>
      <c r="J39" s="19" t="s">
        <v>1166</v>
      </c>
      <c r="L39" s="19" t="s">
        <v>945</v>
      </c>
      <c r="M39" s="19" t="s">
        <v>503</v>
      </c>
    </row>
    <row r="40" spans="1:13" ht="20.100000000000001" customHeight="1" x14ac:dyDescent="0.2">
      <c r="A40" s="5" t="str">
        <f>HYPERLINK("#'5.2.1.1-2 Organic Fert N2O'!A1", "5.2.1.1-2 Organic Fert N2O")</f>
        <v>5.2.1.1-2 Organic Fert N2O</v>
      </c>
      <c r="D40" s="19" t="str" cm="1">
        <f t="array" ref="D40">Common_InputFunctions.Utility_DisplayArrayInTable(Scope3_SourceData.Scope3_Livestock_Data(), Table_SourceData_Scope3_Animals[[#Headers],[Category]], 0, 2)</f>
        <v>Beef cattle</v>
      </c>
      <c r="E40" s="19" t="str" cm="1">
        <f t="array" ref="E40">Common_InputFunctions.Utility_DisplayArrayInTable(Scope3_SourceData.Scope3_Livestock_Data(), Table_SourceData_Scope3_Animals[[#Headers],[Category]], 0, 2)</f>
        <v>Cattle, for manufacturing beef</v>
      </c>
      <c r="F40" s="19" t="str" cm="1">
        <f t="array" ref="F40">Common_InputFunctions.Utility_DisplayArrayInTable(Scope3_SourceData.Scope3_Livestock_Data(), Table_SourceData_Scope3_Animals[[#Headers],[Category]], 0, 2)</f>
        <v>VIC</v>
      </c>
      <c r="G40" s="19" t="str" cm="1">
        <f t="array" ref="G40">Common_InputFunctions.Utility_DisplayArrayInTable(Scope3_SourceData.Scope3_Livestock_Data(), Table_SourceData_Scope3_Animals[[#Headers],[Category]], 0, 2)</f>
        <v>kg liveweight</v>
      </c>
      <c r="H40" s="19" cm="1">
        <f t="array" ref="H40">Common_InputFunctions.Utility_DisplayArrayInTable(Scope3_SourceData.Scope3_Livestock_Data(), Table_SourceData_Scope3_Animals[[#Headers],[Category]], 0, 2)</f>
        <v>8.17</v>
      </c>
      <c r="I40" s="19" t="str" cm="1">
        <f t="array" ref="I40">Common_InputFunctions.Utility_DisplayArrayInTable(Scope3_SourceData.Scope3_Livestock_Data(), Table_SourceData_Scope3_Animals[[#Headers],[Category]], 0, 2)</f>
        <v>at market</v>
      </c>
      <c r="J40" s="19" t="s">
        <v>1166</v>
      </c>
      <c r="L40" s="19" t="s">
        <v>1167</v>
      </c>
      <c r="M40" s="19" t="s">
        <v>503</v>
      </c>
    </row>
    <row r="41" spans="1:13" ht="20.100000000000001" customHeight="1" x14ac:dyDescent="0.2">
      <c r="A41" s="5" t="str">
        <f>HYPERLINK("#'5.3.1.1-2 Lime CO2'!A1", "5.3.1.1-2 Lime CO2")</f>
        <v>5.3.1.1-2 Lime CO2</v>
      </c>
      <c r="D41" s="19" t="str" cm="1">
        <f t="array" ref="D41">Common_InputFunctions.Utility_DisplayArrayInTable(Scope3_SourceData.Scope3_Livestock_Data(), Table_SourceData_Scope3_Animals[[#Headers],[Category]], 0, 2)</f>
        <v>Beef cattle</v>
      </c>
      <c r="E41" s="19" t="str" cm="1">
        <f t="array" ref="E41">Common_InputFunctions.Utility_DisplayArrayInTable(Scope3_SourceData.Scope3_Livestock_Data(), Table_SourceData_Scope3_Animals[[#Headers],[Category]], 0, 2)</f>
        <v>Cattle, for manufacturing beef</v>
      </c>
      <c r="F41" s="19" t="str" cm="1">
        <f t="array" ref="F41">Common_InputFunctions.Utility_DisplayArrayInTable(Scope3_SourceData.Scope3_Livestock_Data(), Table_SourceData_Scope3_Animals[[#Headers],[Category]], 0, 2)</f>
        <v>WA</v>
      </c>
      <c r="G41" s="19" t="str" cm="1">
        <f t="array" ref="G41">Common_InputFunctions.Utility_DisplayArrayInTable(Scope3_SourceData.Scope3_Livestock_Data(), Table_SourceData_Scope3_Animals[[#Headers],[Category]], 0, 2)</f>
        <v>kg liveweight</v>
      </c>
      <c r="H41" s="19" cm="1">
        <f t="array" ref="H41">Common_InputFunctions.Utility_DisplayArrayInTable(Scope3_SourceData.Scope3_Livestock_Data(), Table_SourceData_Scope3_Animals[[#Headers],[Category]], 0, 2)</f>
        <v>13.1</v>
      </c>
      <c r="I41" s="19" t="str" cm="1">
        <f t="array" ref="I41">Common_InputFunctions.Utility_DisplayArrayInTable(Scope3_SourceData.Scope3_Livestock_Data(), Table_SourceData_Scope3_Animals[[#Headers],[Category]], 0, 2)</f>
        <v>at market</v>
      </c>
      <c r="J41" s="19" t="s">
        <v>1166</v>
      </c>
      <c r="L41" s="19" t="s">
        <v>942</v>
      </c>
      <c r="M41" s="19" t="s">
        <v>503</v>
      </c>
    </row>
    <row r="42" spans="1:13" ht="20.100000000000001" customHeight="1" x14ac:dyDescent="0.2">
      <c r="A42" s="5" t="str">
        <f>HYPERLINK("#'5.4.1.1-4 Atmos deposition'!A1", "5.4.1.1-4 Atmos deposition")</f>
        <v>5.4.1.1-4 Atmos deposition</v>
      </c>
      <c r="D42" s="19" t="str" cm="1">
        <f t="array" ref="D42">Common_InputFunctions.Utility_DisplayArrayInTable(Scope3_SourceData.Scope3_Livestock_Data(), Table_SourceData_Scope3_Animals[[#Headers],[Category]], 0, 2)</f>
        <v>Beef cattle</v>
      </c>
      <c r="E42" s="19" t="str" cm="1">
        <f t="array" ref="E42">Common_InputFunctions.Utility_DisplayArrayInTable(Scope3_SourceData.Scope3_Livestock_Data(), Table_SourceData_Scope3_Animals[[#Headers],[Category]], 0, 2)</f>
        <v>Cattle, for prime beef</v>
      </c>
      <c r="F42" s="19" t="str" cm="1">
        <f t="array" ref="F42">Common_InputFunctions.Utility_DisplayArrayInTable(Scope3_SourceData.Scope3_Livestock_Data(), Table_SourceData_Scope3_Animals[[#Headers],[Category]], 0, 2)</f>
        <v>Australia</v>
      </c>
      <c r="G42" s="19" t="str" cm="1">
        <f t="array" ref="G42">Common_InputFunctions.Utility_DisplayArrayInTable(Scope3_SourceData.Scope3_Livestock_Data(), Table_SourceData_Scope3_Animals[[#Headers],[Category]], 0, 2)</f>
        <v>kg liveweight</v>
      </c>
      <c r="H42" s="19" cm="1">
        <f t="array" ref="H42">Common_InputFunctions.Utility_DisplayArrayInTable(Scope3_SourceData.Scope3_Livestock_Data(), Table_SourceData_Scope3_Animals[[#Headers],[Category]], 0, 2)</f>
        <v>14.5</v>
      </c>
      <c r="I42" s="19" t="str" cm="1">
        <f t="array" ref="I42">Common_InputFunctions.Utility_DisplayArrayInTable(Scope3_SourceData.Scope3_Livestock_Data(), Table_SourceData_Scope3_Animals[[#Headers],[Category]], 0, 2)</f>
        <v>at market</v>
      </c>
      <c r="J42" s="19" t="s">
        <v>1166</v>
      </c>
      <c r="L42" s="19" t="s">
        <v>1168</v>
      </c>
      <c r="M42" s="19" t="s">
        <v>500</v>
      </c>
    </row>
    <row r="43" spans="1:13" ht="20.100000000000001" customHeight="1" x14ac:dyDescent="0.2">
      <c r="A43" s="5" t="str">
        <f>HYPERLINK("#'5.5.1.1-2 Leaching and runoff'!A1", "5.5.1.1-2 Leaching and runoff")</f>
        <v>5.5.1.1-2 Leaching and runoff</v>
      </c>
      <c r="D43" s="19" t="str" cm="1">
        <f t="array" ref="D43">Common_InputFunctions.Utility_DisplayArrayInTable(Scope3_SourceData.Scope3_Livestock_Data(), Table_SourceData_Scope3_Animals[[#Headers],[Category]], 0, 2)</f>
        <v>Beef cattle</v>
      </c>
      <c r="E43" s="19" t="str" cm="1">
        <f t="array" ref="E43">Common_InputFunctions.Utility_DisplayArrayInTable(Scope3_SourceData.Scope3_Livestock_Data(), Table_SourceData_Scope3_Animals[[#Headers],[Category]], 0, 2)</f>
        <v>Cattle, for prime beef</v>
      </c>
      <c r="F43" s="19" t="str" cm="1">
        <f t="array" ref="F43">Common_InputFunctions.Utility_DisplayArrayInTable(Scope3_SourceData.Scope3_Livestock_Data(), Table_SourceData_Scope3_Animals[[#Headers],[Category]], 0, 2)</f>
        <v>NSW</v>
      </c>
      <c r="G43" s="19" t="str" cm="1">
        <f t="array" ref="G43">Common_InputFunctions.Utility_DisplayArrayInTable(Scope3_SourceData.Scope3_Livestock_Data(), Table_SourceData_Scope3_Animals[[#Headers],[Category]], 0, 2)</f>
        <v>kg liveweight</v>
      </c>
      <c r="H43" s="19" cm="1">
        <f t="array" ref="H43">Common_InputFunctions.Utility_DisplayArrayInTable(Scope3_SourceData.Scope3_Livestock_Data(), Table_SourceData_Scope3_Animals[[#Headers],[Category]], 0, 2)</f>
        <v>11.3</v>
      </c>
      <c r="I43" s="19" t="str" cm="1">
        <f t="array" ref="I43">Common_InputFunctions.Utility_DisplayArrayInTable(Scope3_SourceData.Scope3_Livestock_Data(), Table_SourceData_Scope3_Animals[[#Headers],[Category]], 0, 2)</f>
        <v>at market</v>
      </c>
      <c r="J43" s="19" t="s">
        <v>1166</v>
      </c>
      <c r="L43" s="19" t="s">
        <v>1169</v>
      </c>
      <c r="M43" s="19" t="s">
        <v>500</v>
      </c>
    </row>
    <row r="44" spans="1:13" ht="20.100000000000001" customHeight="1" x14ac:dyDescent="0.2">
      <c r="D44" s="19" t="str" cm="1">
        <f t="array" ref="D44">Common_InputFunctions.Utility_DisplayArrayInTable(Scope3_SourceData.Scope3_Livestock_Data(), Table_SourceData_Scope3_Animals[[#Headers],[Category]], 0, 2)</f>
        <v>Beef cattle</v>
      </c>
      <c r="E44" s="19" t="str" cm="1">
        <f t="array" ref="E44">Common_InputFunctions.Utility_DisplayArrayInTable(Scope3_SourceData.Scope3_Livestock_Data(), Table_SourceData_Scope3_Animals[[#Headers],[Category]], 0, 2)</f>
        <v>Cattle, for prime beef</v>
      </c>
      <c r="F44" s="19" t="str" cm="1">
        <f t="array" ref="F44">Common_InputFunctions.Utility_DisplayArrayInTable(Scope3_SourceData.Scope3_Livestock_Data(), Table_SourceData_Scope3_Animals[[#Headers],[Category]], 0, 2)</f>
        <v>NT</v>
      </c>
      <c r="G44" s="19" t="str" cm="1">
        <f t="array" ref="G44">Common_InputFunctions.Utility_DisplayArrayInTable(Scope3_SourceData.Scope3_Livestock_Data(), Table_SourceData_Scope3_Animals[[#Headers],[Category]], 0, 2)</f>
        <v>kg liveweight</v>
      </c>
      <c r="H44" s="19" cm="1">
        <f t="array" ref="H44">Common_InputFunctions.Utility_DisplayArrayInTable(Scope3_SourceData.Scope3_Livestock_Data(), Table_SourceData_Scope3_Animals[[#Headers],[Category]], 0, 2)</f>
        <v>18.899999999999999</v>
      </c>
      <c r="I44" s="19" t="str" cm="1">
        <f t="array" ref="I44">Common_InputFunctions.Utility_DisplayArrayInTable(Scope3_SourceData.Scope3_Livestock_Data(), Table_SourceData_Scope3_Animals[[#Headers],[Category]], 0, 2)</f>
        <v>at market</v>
      </c>
      <c r="J44" s="19" t="s">
        <v>1166</v>
      </c>
      <c r="L44" s="19" t="s">
        <v>1170</v>
      </c>
      <c r="M44" s="19" t="s">
        <v>500</v>
      </c>
    </row>
    <row r="45" spans="1:13" ht="20.100000000000001" customHeight="1" x14ac:dyDescent="0.2">
      <c r="D45" s="19" t="str" cm="1">
        <f t="array" ref="D45">Common_InputFunctions.Utility_DisplayArrayInTable(Scope3_SourceData.Scope3_Livestock_Data(), Table_SourceData_Scope3_Animals[[#Headers],[Category]], 0, 2)</f>
        <v>Beef cattle</v>
      </c>
      <c r="E45" s="19" t="str" cm="1">
        <f t="array" ref="E45">Common_InputFunctions.Utility_DisplayArrayInTable(Scope3_SourceData.Scope3_Livestock_Data(), Table_SourceData_Scope3_Animals[[#Headers],[Category]], 0, 2)</f>
        <v>Cattle, for prime beef</v>
      </c>
      <c r="F45" s="19" t="str" cm="1">
        <f t="array" ref="F45">Common_InputFunctions.Utility_DisplayArrayInTable(Scope3_SourceData.Scope3_Livestock_Data(), Table_SourceData_Scope3_Animals[[#Headers],[Category]], 0, 2)</f>
        <v>QLD</v>
      </c>
      <c r="G45" s="19" t="str" cm="1">
        <f t="array" ref="G45">Common_InputFunctions.Utility_DisplayArrayInTable(Scope3_SourceData.Scope3_Livestock_Data(), Table_SourceData_Scope3_Animals[[#Headers],[Category]], 0, 2)</f>
        <v>kg liveweight</v>
      </c>
      <c r="H45" s="19" cm="1">
        <f t="array" ref="H45">Common_InputFunctions.Utility_DisplayArrayInTable(Scope3_SourceData.Scope3_Livestock_Data(), Table_SourceData_Scope3_Animals[[#Headers],[Category]], 0, 2)</f>
        <v>13.9</v>
      </c>
      <c r="I45" s="19" t="str" cm="1">
        <f t="array" ref="I45">Common_InputFunctions.Utility_DisplayArrayInTable(Scope3_SourceData.Scope3_Livestock_Data(), Table_SourceData_Scope3_Animals[[#Headers],[Category]], 0, 2)</f>
        <v>at market</v>
      </c>
      <c r="J45" s="19" t="s">
        <v>1166</v>
      </c>
      <c r="L45" s="19" t="s">
        <v>1171</v>
      </c>
      <c r="M45" s="19" t="s">
        <v>499</v>
      </c>
    </row>
    <row r="46" spans="1:13" ht="20.100000000000001" customHeight="1" x14ac:dyDescent="0.2">
      <c r="A46" s="80" t="s">
        <v>1</v>
      </c>
      <c r="D46" s="19" t="str" cm="1">
        <f t="array" ref="D46">Common_InputFunctions.Utility_DisplayArrayInTable(Scope3_SourceData.Scope3_Livestock_Data(), Table_SourceData_Scope3_Animals[[#Headers],[Category]], 0, 2)</f>
        <v>Beef cattle</v>
      </c>
      <c r="E46" s="19" t="str" cm="1">
        <f t="array" ref="E46">Common_InputFunctions.Utility_DisplayArrayInTable(Scope3_SourceData.Scope3_Livestock_Data(), Table_SourceData_Scope3_Animals[[#Headers],[Category]], 0, 2)</f>
        <v>Cattle, for prime beef</v>
      </c>
      <c r="F46" s="19" t="str" cm="1">
        <f t="array" ref="F46">Common_InputFunctions.Utility_DisplayArrayInTable(Scope3_SourceData.Scope3_Livestock_Data(), Table_SourceData_Scope3_Animals[[#Headers],[Category]], 0, 2)</f>
        <v>SA</v>
      </c>
      <c r="G46" s="19" t="str" cm="1">
        <f t="array" ref="G46">Common_InputFunctions.Utility_DisplayArrayInTable(Scope3_SourceData.Scope3_Livestock_Data(), Table_SourceData_Scope3_Animals[[#Headers],[Category]], 0, 2)</f>
        <v>kg liveweight</v>
      </c>
      <c r="H46" s="19" cm="1">
        <f t="array" ref="H46">Common_InputFunctions.Utility_DisplayArrayInTable(Scope3_SourceData.Scope3_Livestock_Data(), Table_SourceData_Scope3_Animals[[#Headers],[Category]], 0, 2)</f>
        <v>12.3</v>
      </c>
      <c r="I46" s="19" t="str" cm="1">
        <f t="array" ref="I46">Common_InputFunctions.Utility_DisplayArrayInTable(Scope3_SourceData.Scope3_Livestock_Data(), Table_SourceData_Scope3_Animals[[#Headers],[Category]], 0, 2)</f>
        <v>at market</v>
      </c>
      <c r="J46" s="19" t="s">
        <v>1166</v>
      </c>
      <c r="L46" s="19" t="s">
        <v>1172</v>
      </c>
      <c r="M46" s="19" t="s">
        <v>499</v>
      </c>
    </row>
    <row r="47" spans="1:13" ht="20.100000000000001" customHeight="1" x14ac:dyDescent="0.2">
      <c r="A47" s="5" t="str">
        <f>HYPERLINK("#'Constants - Feedlot'!A1", "Constants - Feedlot")</f>
        <v>Constants - Feedlot</v>
      </c>
      <c r="D47" s="19" t="str" cm="1">
        <f t="array" ref="D47">Common_InputFunctions.Utility_DisplayArrayInTable(Scope3_SourceData.Scope3_Livestock_Data(), Table_SourceData_Scope3_Animals[[#Headers],[Category]], 0, 2)</f>
        <v>Beef cattle</v>
      </c>
      <c r="E47" s="19" t="str" cm="1">
        <f t="array" ref="E47">Common_InputFunctions.Utility_DisplayArrayInTable(Scope3_SourceData.Scope3_Livestock_Data(), Table_SourceData_Scope3_Animals[[#Headers],[Category]], 0, 2)</f>
        <v>Cattle, for prime beef</v>
      </c>
      <c r="F47" s="19" t="str" cm="1">
        <f t="array" ref="F47">Common_InputFunctions.Utility_DisplayArrayInTable(Scope3_SourceData.Scope3_Livestock_Data(), Table_SourceData_Scope3_Animals[[#Headers],[Category]], 0, 2)</f>
        <v>TAS</v>
      </c>
      <c r="G47" s="19" t="str" cm="1">
        <f t="array" ref="G47">Common_InputFunctions.Utility_DisplayArrayInTable(Scope3_SourceData.Scope3_Livestock_Data(), Table_SourceData_Scope3_Animals[[#Headers],[Category]], 0, 2)</f>
        <v>kg liveweight</v>
      </c>
      <c r="H47" s="19" cm="1">
        <f t="array" ref="H47">Common_InputFunctions.Utility_DisplayArrayInTable(Scope3_SourceData.Scope3_Livestock_Data(), Table_SourceData_Scope3_Animals[[#Headers],[Category]], 0, 2)</f>
        <v>11.5</v>
      </c>
      <c r="I47" s="19" t="str" cm="1">
        <f t="array" ref="I47">Common_InputFunctions.Utility_DisplayArrayInTable(Scope3_SourceData.Scope3_Livestock_Data(), Table_SourceData_Scope3_Animals[[#Headers],[Category]], 0, 2)</f>
        <v>at market</v>
      </c>
      <c r="J47" s="19" t="s">
        <v>1166</v>
      </c>
      <c r="L47" s="19" t="s">
        <v>1173</v>
      </c>
      <c r="M47" s="19" t="s">
        <v>499</v>
      </c>
    </row>
    <row r="48" spans="1:13" ht="20.100000000000001" customHeight="1" x14ac:dyDescent="0.2">
      <c r="A48" s="5" t="str">
        <f>HYPERLINK("#'Constants - Common livestock'!A1", "Constants - Common Livestock")</f>
        <v>Constants - Common Livestock</v>
      </c>
      <c r="D48" s="19" t="str" cm="1">
        <f t="array" ref="D48">Common_InputFunctions.Utility_DisplayArrayInTable(Scope3_SourceData.Scope3_Livestock_Data(), Table_SourceData_Scope3_Animals[[#Headers],[Category]], 0, 2)</f>
        <v>Beef cattle</v>
      </c>
      <c r="E48" s="19" t="str" cm="1">
        <f t="array" ref="E48">Common_InputFunctions.Utility_DisplayArrayInTable(Scope3_SourceData.Scope3_Livestock_Data(), Table_SourceData_Scope3_Animals[[#Headers],[Category]], 0, 2)</f>
        <v>Cattle, for prime beef</v>
      </c>
      <c r="F48" s="19" t="str" cm="1">
        <f t="array" ref="F48">Common_InputFunctions.Utility_DisplayArrayInTable(Scope3_SourceData.Scope3_Livestock_Data(), Table_SourceData_Scope3_Animals[[#Headers],[Category]], 0, 2)</f>
        <v>VIC</v>
      </c>
      <c r="G48" s="19" t="str" cm="1">
        <f t="array" ref="G48">Common_InputFunctions.Utility_DisplayArrayInTable(Scope3_SourceData.Scope3_Livestock_Data(), Table_SourceData_Scope3_Animals[[#Headers],[Category]], 0, 2)</f>
        <v>kg liveweight</v>
      </c>
      <c r="H48" s="19" cm="1">
        <f t="array" ref="H48">Common_InputFunctions.Utility_DisplayArrayInTable(Scope3_SourceData.Scope3_Livestock_Data(), Table_SourceData_Scope3_Animals[[#Headers],[Category]], 0, 2)</f>
        <v>11.5</v>
      </c>
      <c r="I48" s="19" t="str" cm="1">
        <f t="array" ref="I48">Common_InputFunctions.Utility_DisplayArrayInTable(Scope3_SourceData.Scope3_Livestock_Data(), Table_SourceData_Scope3_Animals[[#Headers],[Category]], 0, 2)</f>
        <v>at market</v>
      </c>
      <c r="J48" s="19" t="s">
        <v>1166</v>
      </c>
      <c r="L48" s="19" t="s">
        <v>1174</v>
      </c>
      <c r="M48" s="19" t="s">
        <v>499</v>
      </c>
    </row>
    <row r="49" spans="1:13" ht="20.100000000000001" customHeight="1" x14ac:dyDescent="0.2">
      <c r="A49" s="5" t="str">
        <f>HYPERLINK("#'Constants - Electricity'!A1", "Constants - Electricity")</f>
        <v>Constants - Electricity</v>
      </c>
      <c r="D49" s="19" t="str" cm="1">
        <f t="array" ref="D49">Common_InputFunctions.Utility_DisplayArrayInTable(Scope3_SourceData.Scope3_Livestock_Data(), Table_SourceData_Scope3_Animals[[#Headers],[Category]], 0, 2)</f>
        <v>Beef cattle</v>
      </c>
      <c r="E49" s="19" t="str" cm="1">
        <f t="array" ref="E49">Common_InputFunctions.Utility_DisplayArrayInTable(Scope3_SourceData.Scope3_Livestock_Data(), Table_SourceData_Scope3_Animals[[#Headers],[Category]], 0, 2)</f>
        <v>Cattle, for prime beef</v>
      </c>
      <c r="F49" s="19" t="str" cm="1">
        <f t="array" ref="F49">Common_InputFunctions.Utility_DisplayArrayInTable(Scope3_SourceData.Scope3_Livestock_Data(), Table_SourceData_Scope3_Animals[[#Headers],[Category]], 0, 2)</f>
        <v>WA</v>
      </c>
      <c r="G49" s="19" t="str" cm="1">
        <f t="array" ref="G49">Common_InputFunctions.Utility_DisplayArrayInTable(Scope3_SourceData.Scope3_Livestock_Data(), Table_SourceData_Scope3_Animals[[#Headers],[Category]], 0, 2)</f>
        <v>kg liveweight</v>
      </c>
      <c r="H49" s="19" cm="1">
        <f t="array" ref="H49">Common_InputFunctions.Utility_DisplayArrayInTable(Scope3_SourceData.Scope3_Livestock_Data(), Table_SourceData_Scope3_Animals[[#Headers],[Category]], 0, 2)</f>
        <v>20.8</v>
      </c>
      <c r="I49" s="19" t="str" cm="1">
        <f t="array" ref="I49">Common_InputFunctions.Utility_DisplayArrayInTable(Scope3_SourceData.Scope3_Livestock_Data(), Table_SourceData_Scope3_Animals[[#Headers],[Category]], 0, 2)</f>
        <v>at market</v>
      </c>
      <c r="J49" s="19" t="s">
        <v>1166</v>
      </c>
      <c r="L49" s="1" t="s">
        <v>987</v>
      </c>
      <c r="M49" s="1" t="s">
        <v>987</v>
      </c>
    </row>
    <row r="50" spans="1:13" ht="20.100000000000001" customHeight="1" x14ac:dyDescent="0.2">
      <c r="A50" s="5" t="str">
        <f>HYPERLINK("#'Constants - Fertiliser'!A1", "Constants - Fertiliser")</f>
        <v>Constants - Fertiliser</v>
      </c>
      <c r="D50" s="19" t="str" cm="1">
        <f t="array" ref="D50">Common_InputFunctions.Utility_DisplayArrayInTable(Scope3_SourceData.Scope3_Livestock_Data(), Table_SourceData_Scope3_Animals[[#Headers],[Category]], 0, 2)</f>
        <v>Beef cattle</v>
      </c>
      <c r="E50" s="19" t="str" cm="1">
        <f t="array" ref="E50">Common_InputFunctions.Utility_DisplayArrayInTable(Scope3_SourceData.Scope3_Livestock_Data(), Table_SourceData_Scope3_Animals[[#Headers],[Category]], 0, 2)</f>
        <v>Cattle, weaners</v>
      </c>
      <c r="F50" s="19" t="str" cm="1">
        <f t="array" ref="F50">Common_InputFunctions.Utility_DisplayArrayInTable(Scope3_SourceData.Scope3_Livestock_Data(), Table_SourceData_Scope3_Animals[[#Headers],[Category]], 0, 2)</f>
        <v>Australia</v>
      </c>
      <c r="G50" s="19" t="str" cm="1">
        <f t="array" ref="G50">Common_InputFunctions.Utility_DisplayArrayInTable(Scope3_SourceData.Scope3_Livestock_Data(), Table_SourceData_Scope3_Animals[[#Headers],[Category]], 0, 2)</f>
        <v>kg liveweight</v>
      </c>
      <c r="H50" s="19" cm="1">
        <f t="array" ref="H50">Common_InputFunctions.Utility_DisplayArrayInTable(Scope3_SourceData.Scope3_Livestock_Data(), Table_SourceData_Scope3_Animals[[#Headers],[Category]], 0, 2)</f>
        <v>15.5</v>
      </c>
      <c r="I50" s="19" t="str" cm="1">
        <f t="array" ref="I50">Common_InputFunctions.Utility_DisplayArrayInTable(Scope3_SourceData.Scope3_Livestock_Data(), Table_SourceData_Scope3_Animals[[#Headers],[Category]], 0, 2)</f>
        <v>at market</v>
      </c>
      <c r="J50" s="19" t="s">
        <v>1166</v>
      </c>
    </row>
    <row r="51" spans="1:13" ht="20.100000000000001" customHeight="1" x14ac:dyDescent="0.2">
      <c r="A51" s="5" t="str">
        <f>HYPERLINK("#'Constants - Fuel'!A1", "Constants - Fuel")</f>
        <v>Constants - Fuel</v>
      </c>
      <c r="D51" s="19" t="str" cm="1">
        <f t="array" ref="D51">Common_InputFunctions.Utility_DisplayArrayInTable(Scope3_SourceData.Scope3_Livestock_Data(), Table_SourceData_Scope3_Animals[[#Headers],[Category]], 0, 2)</f>
        <v>Beef cattle</v>
      </c>
      <c r="E51" s="19" t="str" cm="1">
        <f t="array" ref="E51">Common_InputFunctions.Utility_DisplayArrayInTable(Scope3_SourceData.Scope3_Livestock_Data(), Table_SourceData_Scope3_Animals[[#Headers],[Category]], 0, 2)</f>
        <v>Cattle, weaners</v>
      </c>
      <c r="F51" s="19" t="str" cm="1">
        <f t="array" ref="F51">Common_InputFunctions.Utility_DisplayArrayInTable(Scope3_SourceData.Scope3_Livestock_Data(), Table_SourceData_Scope3_Animals[[#Headers],[Category]], 0, 2)</f>
        <v>NSW</v>
      </c>
      <c r="G51" s="19" t="str" cm="1">
        <f t="array" ref="G51">Common_InputFunctions.Utility_DisplayArrayInTable(Scope3_SourceData.Scope3_Livestock_Data(), Table_SourceData_Scope3_Animals[[#Headers],[Category]], 0, 2)</f>
        <v>kg liveweight</v>
      </c>
      <c r="H51" s="19" cm="1">
        <f t="array" ref="H51">Common_InputFunctions.Utility_DisplayArrayInTable(Scope3_SourceData.Scope3_Livestock_Data(), Table_SourceData_Scope3_Animals[[#Headers],[Category]], 0, 2)</f>
        <v>12.7</v>
      </c>
      <c r="I51" s="19" t="str" cm="1">
        <f t="array" ref="I51">Common_InputFunctions.Utility_DisplayArrayInTable(Scope3_SourceData.Scope3_Livestock_Data(), Table_SourceData_Scope3_Animals[[#Headers],[Category]], 0, 2)</f>
        <v>at market</v>
      </c>
      <c r="J51" s="19" t="s">
        <v>1166</v>
      </c>
    </row>
    <row r="52" spans="1:13" ht="20.100000000000001" customHeight="1" x14ac:dyDescent="0.2">
      <c r="A52" s="81" t="str">
        <f>HYPERLINK("#'Constants - Scope 3'!A1", "Constants - Scope 3")</f>
        <v>Constants - Scope 3</v>
      </c>
      <c r="D52" s="19" t="str" cm="1">
        <f t="array" ref="D52">Common_InputFunctions.Utility_DisplayArrayInTable(Scope3_SourceData.Scope3_Livestock_Data(), Table_SourceData_Scope3_Animals[[#Headers],[Category]], 0, 2)</f>
        <v>Beef cattle</v>
      </c>
      <c r="E52" s="19" t="str" cm="1">
        <f t="array" ref="E52">Common_InputFunctions.Utility_DisplayArrayInTable(Scope3_SourceData.Scope3_Livestock_Data(), Table_SourceData_Scope3_Animals[[#Headers],[Category]], 0, 2)</f>
        <v>Cattle, weaners</v>
      </c>
      <c r="F52" s="19" t="str" cm="1">
        <f t="array" ref="F52">Common_InputFunctions.Utility_DisplayArrayInTable(Scope3_SourceData.Scope3_Livestock_Data(), Table_SourceData_Scope3_Animals[[#Headers],[Category]], 0, 2)</f>
        <v>NT</v>
      </c>
      <c r="G52" s="19" t="str" cm="1">
        <f t="array" ref="G52">Common_InputFunctions.Utility_DisplayArrayInTable(Scope3_SourceData.Scope3_Livestock_Data(), Table_SourceData_Scope3_Animals[[#Headers],[Category]], 0, 2)</f>
        <v>kg liveweight</v>
      </c>
      <c r="H52" s="19" cm="1">
        <f t="array" ref="H52">Common_InputFunctions.Utility_DisplayArrayInTable(Scope3_SourceData.Scope3_Livestock_Data(), Table_SourceData_Scope3_Animals[[#Headers],[Category]], 0, 2)</f>
        <v>19.100000000000001</v>
      </c>
      <c r="I52" s="19" t="str" cm="1">
        <f t="array" ref="I52">Common_InputFunctions.Utility_DisplayArrayInTable(Scope3_SourceData.Scope3_Livestock_Data(), Table_SourceData_Scope3_Animals[[#Headers],[Category]], 0, 2)</f>
        <v>at market</v>
      </c>
      <c r="J52" s="19" t="s">
        <v>1166</v>
      </c>
    </row>
    <row r="53" spans="1:13" ht="20.100000000000001" customHeight="1" x14ac:dyDescent="0.2">
      <c r="A53" s="5" t="str">
        <f>HYPERLINK("#'Constants - Solid Waste'!A1", "Constants - Solid Waste")</f>
        <v>Constants - Solid Waste</v>
      </c>
      <c r="D53" s="19" t="str" cm="1">
        <f t="array" ref="D53">Common_InputFunctions.Utility_DisplayArrayInTable(Scope3_SourceData.Scope3_Livestock_Data(), Table_SourceData_Scope3_Animals[[#Headers],[Category]], 0, 2)</f>
        <v>Beef cattle</v>
      </c>
      <c r="E53" s="19" t="str" cm="1">
        <f t="array" ref="E53">Common_InputFunctions.Utility_DisplayArrayInTable(Scope3_SourceData.Scope3_Livestock_Data(), Table_SourceData_Scope3_Animals[[#Headers],[Category]], 0, 2)</f>
        <v>Cattle, weaners</v>
      </c>
      <c r="F53" s="19" t="str" cm="1">
        <f t="array" ref="F53">Common_InputFunctions.Utility_DisplayArrayInTable(Scope3_SourceData.Scope3_Livestock_Data(), Table_SourceData_Scope3_Animals[[#Headers],[Category]], 0, 2)</f>
        <v>QLD</v>
      </c>
      <c r="G53" s="19" t="str" cm="1">
        <f t="array" ref="G53">Common_InputFunctions.Utility_DisplayArrayInTable(Scope3_SourceData.Scope3_Livestock_Data(), Table_SourceData_Scope3_Animals[[#Headers],[Category]], 0, 2)</f>
        <v>kg liveweight</v>
      </c>
      <c r="H53" s="19" cm="1">
        <f t="array" ref="H53">Common_InputFunctions.Utility_DisplayArrayInTable(Scope3_SourceData.Scope3_Livestock_Data(), Table_SourceData_Scope3_Animals[[#Headers],[Category]], 0, 2)</f>
        <v>20.5</v>
      </c>
      <c r="I53" s="19" t="str" cm="1">
        <f t="array" ref="I53">Common_InputFunctions.Utility_DisplayArrayInTable(Scope3_SourceData.Scope3_Livestock_Data(), Table_SourceData_Scope3_Animals[[#Headers],[Category]], 0, 2)</f>
        <v>at market</v>
      </c>
      <c r="J53" s="19" t="s">
        <v>1166</v>
      </c>
    </row>
    <row r="54" spans="1:13" ht="20.100000000000001" customHeight="1" x14ac:dyDescent="0.2">
      <c r="A54" s="5" t="str">
        <f>HYPERLINK("#'Constants - Common'!A1", "Constants - Common")</f>
        <v>Constants - Common</v>
      </c>
      <c r="D54" s="19" t="str" cm="1">
        <f t="array" ref="D54">Common_InputFunctions.Utility_DisplayArrayInTable(Scope3_SourceData.Scope3_Livestock_Data(), Table_SourceData_Scope3_Animals[[#Headers],[Category]], 0, 2)</f>
        <v>Beef cattle</v>
      </c>
      <c r="E54" s="19" t="str" cm="1">
        <f t="array" ref="E54">Common_InputFunctions.Utility_DisplayArrayInTable(Scope3_SourceData.Scope3_Livestock_Data(), Table_SourceData_Scope3_Animals[[#Headers],[Category]], 0, 2)</f>
        <v>Cattle, weaners</v>
      </c>
      <c r="F54" s="19" t="str" cm="1">
        <f t="array" ref="F54">Common_InputFunctions.Utility_DisplayArrayInTable(Scope3_SourceData.Scope3_Livestock_Data(), Table_SourceData_Scope3_Animals[[#Headers],[Category]], 0, 2)</f>
        <v>SA</v>
      </c>
      <c r="G54" s="19" t="str" cm="1">
        <f t="array" ref="G54">Common_InputFunctions.Utility_DisplayArrayInTable(Scope3_SourceData.Scope3_Livestock_Data(), Table_SourceData_Scope3_Animals[[#Headers],[Category]], 0, 2)</f>
        <v>kg liveweight</v>
      </c>
      <c r="H54" s="19" cm="1">
        <f t="array" ref="H54">Common_InputFunctions.Utility_DisplayArrayInTable(Scope3_SourceData.Scope3_Livestock_Data(), Table_SourceData_Scope3_Animals[[#Headers],[Category]], 0, 2)</f>
        <v>10.8</v>
      </c>
      <c r="I54" s="19" t="str" cm="1">
        <f t="array" ref="I54">Common_InputFunctions.Utility_DisplayArrayInTable(Scope3_SourceData.Scope3_Livestock_Data(), Table_SourceData_Scope3_Animals[[#Headers],[Category]], 0, 2)</f>
        <v>at market</v>
      </c>
      <c r="J54" s="19" t="s">
        <v>1166</v>
      </c>
    </row>
    <row r="55" spans="1:13" ht="20.100000000000001" customHeight="1" x14ac:dyDescent="0.2">
      <c r="A55" s="5" t="str">
        <f>HYPERLINK("#'Acknowledgements'!A1", "Acknowledgements")</f>
        <v>Acknowledgements</v>
      </c>
      <c r="D55" s="19" t="str" cm="1">
        <f t="array" ref="D55">Common_InputFunctions.Utility_DisplayArrayInTable(Scope3_SourceData.Scope3_Livestock_Data(), Table_SourceData_Scope3_Animals[[#Headers],[Category]], 0, 2)</f>
        <v>Beef cattle</v>
      </c>
      <c r="E55" s="19" t="str" cm="1">
        <f t="array" ref="E55">Common_InputFunctions.Utility_DisplayArrayInTable(Scope3_SourceData.Scope3_Livestock_Data(), Table_SourceData_Scope3_Animals[[#Headers],[Category]], 0, 2)</f>
        <v>Cattle, weaners</v>
      </c>
      <c r="F55" s="19" t="str" cm="1">
        <f t="array" ref="F55">Common_InputFunctions.Utility_DisplayArrayInTable(Scope3_SourceData.Scope3_Livestock_Data(), Table_SourceData_Scope3_Animals[[#Headers],[Category]], 0, 2)</f>
        <v>TAS</v>
      </c>
      <c r="G55" s="19" t="str" cm="1">
        <f t="array" ref="G55">Common_InputFunctions.Utility_DisplayArrayInTable(Scope3_SourceData.Scope3_Livestock_Data(), Table_SourceData_Scope3_Animals[[#Headers],[Category]], 0, 2)</f>
        <v>kg liveweight</v>
      </c>
      <c r="H55" s="19" cm="1">
        <f t="array" ref="H55">Common_InputFunctions.Utility_DisplayArrayInTable(Scope3_SourceData.Scope3_Livestock_Data(), Table_SourceData_Scope3_Animals[[#Headers],[Category]], 0, 2)</f>
        <v>13.4</v>
      </c>
      <c r="I55" s="19" t="str" cm="1">
        <f t="array" ref="I55">Common_InputFunctions.Utility_DisplayArrayInTable(Scope3_SourceData.Scope3_Livestock_Data(), Table_SourceData_Scope3_Animals[[#Headers],[Category]], 0, 2)</f>
        <v>at market</v>
      </c>
      <c r="J55" s="19" t="s">
        <v>1166</v>
      </c>
    </row>
    <row r="56" spans="1:13" ht="20.100000000000001" customHeight="1" x14ac:dyDescent="0.2">
      <c r="D56" s="19" t="str" cm="1">
        <f t="array" ref="D56">Common_InputFunctions.Utility_DisplayArrayInTable(Scope3_SourceData.Scope3_Livestock_Data(), Table_SourceData_Scope3_Animals[[#Headers],[Category]], 0, 2)</f>
        <v>Beef cattle</v>
      </c>
      <c r="E56" s="19" t="str" cm="1">
        <f t="array" ref="E56">Common_InputFunctions.Utility_DisplayArrayInTable(Scope3_SourceData.Scope3_Livestock_Data(), Table_SourceData_Scope3_Animals[[#Headers],[Category]], 0, 2)</f>
        <v>Cattle, weaners</v>
      </c>
      <c r="F56" s="19" t="str" cm="1">
        <f t="array" ref="F56">Common_InputFunctions.Utility_DisplayArrayInTable(Scope3_SourceData.Scope3_Livestock_Data(), Table_SourceData_Scope3_Animals[[#Headers],[Category]], 0, 2)</f>
        <v>VIC</v>
      </c>
      <c r="G56" s="19" t="str" cm="1">
        <f t="array" ref="G56">Common_InputFunctions.Utility_DisplayArrayInTable(Scope3_SourceData.Scope3_Livestock_Data(), Table_SourceData_Scope3_Animals[[#Headers],[Category]], 0, 2)</f>
        <v>kg liveweight</v>
      </c>
      <c r="H56" s="19" cm="1">
        <f t="array" ref="H56">Common_InputFunctions.Utility_DisplayArrayInTable(Scope3_SourceData.Scope3_Livestock_Data(), Table_SourceData_Scope3_Animals[[#Headers],[Category]], 0, 2)</f>
        <v>12</v>
      </c>
      <c r="I56" s="19" t="str" cm="1">
        <f t="array" ref="I56">Common_InputFunctions.Utility_DisplayArrayInTable(Scope3_SourceData.Scope3_Livestock_Data(), Table_SourceData_Scope3_Animals[[#Headers],[Category]], 0, 2)</f>
        <v>at market</v>
      </c>
      <c r="J56" s="19" t="s">
        <v>1166</v>
      </c>
    </row>
    <row r="57" spans="1:13" ht="20.100000000000001" customHeight="1" x14ac:dyDescent="0.2">
      <c r="D57" s="19" t="str" cm="1">
        <f t="array" ref="D57">Common_InputFunctions.Utility_DisplayArrayInTable(Scope3_SourceData.Scope3_Livestock_Data(), Table_SourceData_Scope3_Animals[[#Headers],[Category]], 0, 2)</f>
        <v>Beef cattle</v>
      </c>
      <c r="E57" s="19" t="str" cm="1">
        <f t="array" ref="E57">Common_InputFunctions.Utility_DisplayArrayInTable(Scope3_SourceData.Scope3_Livestock_Data(), Table_SourceData_Scope3_Animals[[#Headers],[Category]], 0, 2)</f>
        <v>Cattle, weaners</v>
      </c>
      <c r="F57" s="19" t="str" cm="1">
        <f t="array" ref="F57">Common_InputFunctions.Utility_DisplayArrayInTable(Scope3_SourceData.Scope3_Livestock_Data(), Table_SourceData_Scope3_Animals[[#Headers],[Category]], 0, 2)</f>
        <v>WA</v>
      </c>
      <c r="G57" s="19" t="str" cm="1">
        <f t="array" ref="G57">Common_InputFunctions.Utility_DisplayArrayInTable(Scope3_SourceData.Scope3_Livestock_Data(), Table_SourceData_Scope3_Animals[[#Headers],[Category]], 0, 2)</f>
        <v>kg liveweight</v>
      </c>
      <c r="H57" s="19" cm="1">
        <f t="array" ref="H57">Common_InputFunctions.Utility_DisplayArrayInTable(Scope3_SourceData.Scope3_Livestock_Data(), Table_SourceData_Scope3_Animals[[#Headers],[Category]], 0, 2)</f>
        <v>12.4</v>
      </c>
      <c r="I57" s="19" t="str" cm="1">
        <f t="array" ref="I57">Common_InputFunctions.Utility_DisplayArrayInTable(Scope3_SourceData.Scope3_Livestock_Data(), Table_SourceData_Scope3_Animals[[#Headers],[Category]], 0, 2)</f>
        <v>at market</v>
      </c>
      <c r="J57" s="19" t="s">
        <v>1166</v>
      </c>
    </row>
    <row r="58" spans="1:13" ht="20.100000000000001" customHeight="1" x14ac:dyDescent="0.2">
      <c r="D58" s="19" t="str" cm="1">
        <f t="array" ref="D58">Common_InputFunctions.Utility_DisplayArrayInTable(Scope3_SourceData.Scope3_Livestock_Data(), Table_SourceData_Scope3_Animals[[#Headers],[Category]], 0, 2)</f>
        <v>Chickens</v>
      </c>
      <c r="E58" s="19" t="str" cm="1">
        <f t="array" ref="E58">Common_InputFunctions.Utility_DisplayArrayInTable(Scope3_SourceData.Scope3_Livestock_Data(), Table_SourceData_Scope3_Animals[[#Headers],[Category]], 0, 2)</f>
        <v>Chickens</v>
      </c>
      <c r="F58" s="19" t="str" cm="1">
        <f t="array" ref="F58">Common_InputFunctions.Utility_DisplayArrayInTable(Scope3_SourceData.Scope3_Livestock_Data(), Table_SourceData_Scope3_Animals[[#Headers],[Category]], 0, 2)</f>
        <v>Australia</v>
      </c>
      <c r="G58" s="19" t="str" cm="1">
        <f t="array" ref="G58">Common_InputFunctions.Utility_DisplayArrayInTable(Scope3_SourceData.Scope3_Livestock_Data(), Table_SourceData_Scope3_Animals[[#Headers],[Category]], 0, 2)</f>
        <v>kg liveweight</v>
      </c>
      <c r="H58" s="19" cm="1">
        <f t="array" ref="H58">Common_InputFunctions.Utility_DisplayArrayInTable(Scope3_SourceData.Scope3_Livestock_Data(), Table_SourceData_Scope3_Animals[[#Headers],[Category]], 0, 2)</f>
        <v>1.36</v>
      </c>
      <c r="I58" s="19" t="str" cm="1">
        <f t="array" ref="I58">Common_InputFunctions.Utility_DisplayArrayInTable(Scope3_SourceData.Scope3_Livestock_Data(), Table_SourceData_Scope3_Animals[[#Headers],[Category]], 0, 2)</f>
        <v>at market</v>
      </c>
      <c r="J58" s="19" t="s">
        <v>1166</v>
      </c>
    </row>
    <row r="59" spans="1:13" ht="20.100000000000001" customHeight="1" x14ac:dyDescent="0.2">
      <c r="D59" s="19" t="str" cm="1">
        <f t="array" ref="D59">Common_InputFunctions.Utility_DisplayArrayInTable(Scope3_SourceData.Scope3_Livestock_Data(), Table_SourceData_Scope3_Animals[[#Headers],[Category]], 0, 2)</f>
        <v>Dairy cattle</v>
      </c>
      <c r="E59" s="19" t="str" cm="1">
        <f t="array" ref="E59">Common_InputFunctions.Utility_DisplayArrayInTable(Scope3_SourceData.Scope3_Livestock_Data(), Table_SourceData_Scope3_Animals[[#Headers],[Category]], 0, 2)</f>
        <v>Dairy cows</v>
      </c>
      <c r="F59" s="19" t="str" cm="1">
        <f t="array" ref="F59">Common_InputFunctions.Utility_DisplayArrayInTable(Scope3_SourceData.Scope3_Livestock_Data(), Table_SourceData_Scope3_Animals[[#Headers],[Category]], 0, 2)</f>
        <v>VIC</v>
      </c>
      <c r="G59" s="19" t="str" cm="1">
        <f t="array" ref="G59">Common_InputFunctions.Utility_DisplayArrayInTable(Scope3_SourceData.Scope3_Livestock_Data(), Table_SourceData_Scope3_Animals[[#Headers],[Category]], 0, 2)</f>
        <v>kg liveweight</v>
      </c>
      <c r="H59" s="19" cm="1">
        <f t="array" ref="H59">Common_InputFunctions.Utility_DisplayArrayInTable(Scope3_SourceData.Scope3_Livestock_Data(), Table_SourceData_Scope3_Animals[[#Headers],[Category]], 0, 2)</f>
        <v>4.41</v>
      </c>
      <c r="I59" s="19" t="str" cm="1">
        <f t="array" ref="I59">Common_InputFunctions.Utility_DisplayArrayInTable(Scope3_SourceData.Scope3_Livestock_Data(), Table_SourceData_Scope3_Animals[[#Headers],[Category]], 0, 2)</f>
        <v>at market</v>
      </c>
      <c r="J59" s="19" t="s">
        <v>1166</v>
      </c>
    </row>
    <row r="60" spans="1:13" ht="20.100000000000001" customHeight="1" x14ac:dyDescent="0.2">
      <c r="D60" s="19" t="str" cm="1">
        <f t="array" ref="D60">Common_InputFunctions.Utility_DisplayArrayInTable(Scope3_SourceData.Scope3_Livestock_Data(), Table_SourceData_Scope3_Animals[[#Headers],[Category]], 0, 2)</f>
        <v>Pigs</v>
      </c>
      <c r="E60" s="19" t="str" cm="1">
        <f t="array" ref="E60">Common_InputFunctions.Utility_DisplayArrayInTable(Scope3_SourceData.Scope3_Livestock_Data(), Table_SourceData_Scope3_Animals[[#Headers],[Category]], 0, 2)</f>
        <v>Pigs</v>
      </c>
      <c r="F60" s="19" t="str" cm="1">
        <f t="array" ref="F60">Common_InputFunctions.Utility_DisplayArrayInTable(Scope3_SourceData.Scope3_Livestock_Data(), Table_SourceData_Scope3_Animals[[#Headers],[Category]], 0, 2)</f>
        <v>Australia</v>
      </c>
      <c r="G60" s="19" t="str" cm="1">
        <f t="array" ref="G60">Common_InputFunctions.Utility_DisplayArrayInTable(Scope3_SourceData.Scope3_Livestock_Data(), Table_SourceData_Scope3_Animals[[#Headers],[Category]], 0, 2)</f>
        <v>kg liveweight</v>
      </c>
      <c r="H60" s="19" cm="1">
        <f t="array" ref="H60">Common_InputFunctions.Utility_DisplayArrayInTable(Scope3_SourceData.Scope3_Livestock_Data(), Table_SourceData_Scope3_Animals[[#Headers],[Category]], 0, 2)</f>
        <v>3.38</v>
      </c>
      <c r="I60" s="19" t="str" cm="1">
        <f t="array" ref="I60">Common_InputFunctions.Utility_DisplayArrayInTable(Scope3_SourceData.Scope3_Livestock_Data(), Table_SourceData_Scope3_Animals[[#Headers],[Category]], 0, 2)</f>
        <v>at market</v>
      </c>
      <c r="J60" s="19" t="s">
        <v>1166</v>
      </c>
    </row>
    <row r="61" spans="1:13" ht="20.100000000000001" customHeight="1" x14ac:dyDescent="0.2">
      <c r="D61" s="19" t="str" cm="1">
        <f t="array" ref="D61">Common_InputFunctions.Utility_DisplayArrayInTable(Scope3_SourceData.Scope3_Livestock_Data(), Table_SourceData_Scope3_Animals[[#Headers],[Category]], 0, 2)</f>
        <v>Sheep</v>
      </c>
      <c r="E61" s="19" t="str" cm="1">
        <f t="array" ref="E61">Common_InputFunctions.Utility_DisplayArrayInTable(Scope3_SourceData.Scope3_Livestock_Data(), Table_SourceData_Scope3_Animals[[#Headers],[Category]], 0, 2)</f>
        <v>Sheep, for mutton</v>
      </c>
      <c r="F61" s="19" t="str" cm="1">
        <f t="array" ref="F61">Common_InputFunctions.Utility_DisplayArrayInTable(Scope3_SourceData.Scope3_Livestock_Data(), Table_SourceData_Scope3_Animals[[#Headers],[Category]], 0, 2)</f>
        <v>Australia</v>
      </c>
      <c r="G61" s="19" t="str" cm="1">
        <f t="array" ref="G61">Common_InputFunctions.Utility_DisplayArrayInTable(Scope3_SourceData.Scope3_Livestock_Data(), Table_SourceData_Scope3_Animals[[#Headers],[Category]], 0, 2)</f>
        <v>kg liveweight</v>
      </c>
      <c r="H61" s="19" cm="1">
        <f t="array" ref="H61">Common_InputFunctions.Utility_DisplayArrayInTable(Scope3_SourceData.Scope3_Livestock_Data(), Table_SourceData_Scope3_Animals[[#Headers],[Category]], 0, 2)</f>
        <v>6.81</v>
      </c>
      <c r="I61" s="19" t="str" cm="1">
        <f t="array" ref="I61">Common_InputFunctions.Utility_DisplayArrayInTable(Scope3_SourceData.Scope3_Livestock_Data(), Table_SourceData_Scope3_Animals[[#Headers],[Category]], 0, 2)</f>
        <v>at market</v>
      </c>
      <c r="J61" s="19" t="s">
        <v>1166</v>
      </c>
    </row>
    <row r="62" spans="1:13" ht="20.100000000000001" customHeight="1" x14ac:dyDescent="0.2">
      <c r="D62" s="19" t="str" cm="1">
        <f t="array" ref="D62">Common_InputFunctions.Utility_DisplayArrayInTable(Scope3_SourceData.Scope3_Livestock_Data(), Table_SourceData_Scope3_Animals[[#Headers],[Category]], 0, 2)</f>
        <v>Sheep</v>
      </c>
      <c r="E62" s="19" t="str" cm="1">
        <f t="array" ref="E62">Common_InputFunctions.Utility_DisplayArrayInTable(Scope3_SourceData.Scope3_Livestock_Data(), Table_SourceData_Scope3_Animals[[#Headers],[Category]], 0, 2)</f>
        <v>Sheep, for mutton</v>
      </c>
      <c r="F62" s="19" t="str" cm="1">
        <f t="array" ref="F62">Common_InputFunctions.Utility_DisplayArrayInTable(Scope3_SourceData.Scope3_Livestock_Data(), Table_SourceData_Scope3_Animals[[#Headers],[Category]], 0, 2)</f>
        <v>NSW</v>
      </c>
      <c r="G62" s="19" t="str" cm="1">
        <f t="array" ref="G62">Common_InputFunctions.Utility_DisplayArrayInTable(Scope3_SourceData.Scope3_Livestock_Data(), Table_SourceData_Scope3_Animals[[#Headers],[Category]], 0, 2)</f>
        <v>kg liveweight</v>
      </c>
      <c r="H62" s="19" cm="1">
        <f t="array" ref="H62">Common_InputFunctions.Utility_DisplayArrayInTable(Scope3_SourceData.Scope3_Livestock_Data(), Table_SourceData_Scope3_Animals[[#Headers],[Category]], 0, 2)</f>
        <v>2.2599999999999998</v>
      </c>
      <c r="I62" s="19" t="str" cm="1">
        <f t="array" ref="I62">Common_InputFunctions.Utility_DisplayArrayInTable(Scope3_SourceData.Scope3_Livestock_Data(), Table_SourceData_Scope3_Animals[[#Headers],[Category]], 0, 2)</f>
        <v>at market</v>
      </c>
      <c r="J62" s="19" t="s">
        <v>1166</v>
      </c>
    </row>
    <row r="63" spans="1:13" ht="20.100000000000001" customHeight="1" x14ac:dyDescent="0.2">
      <c r="D63" s="19" t="str" cm="1">
        <f t="array" ref="D63">Common_InputFunctions.Utility_DisplayArrayInTable(Scope3_SourceData.Scope3_Livestock_Data(), Table_SourceData_Scope3_Animals[[#Headers],[Category]], 0, 2)</f>
        <v>Sheep</v>
      </c>
      <c r="E63" s="19" t="str" cm="1">
        <f t="array" ref="E63">Common_InputFunctions.Utility_DisplayArrayInTable(Scope3_SourceData.Scope3_Livestock_Data(), Table_SourceData_Scope3_Animals[[#Headers],[Category]], 0, 2)</f>
        <v>Sheep, for mutton</v>
      </c>
      <c r="F63" s="19" t="str" cm="1">
        <f t="array" ref="F63">Common_InputFunctions.Utility_DisplayArrayInTable(Scope3_SourceData.Scope3_Livestock_Data(), Table_SourceData_Scope3_Animals[[#Headers],[Category]], 0, 2)</f>
        <v>QLD</v>
      </c>
      <c r="G63" s="19" t="str" cm="1">
        <f t="array" ref="G63">Common_InputFunctions.Utility_DisplayArrayInTable(Scope3_SourceData.Scope3_Livestock_Data(), Table_SourceData_Scope3_Animals[[#Headers],[Category]], 0, 2)</f>
        <v>kg liveweight</v>
      </c>
      <c r="H63" s="19" cm="1">
        <f t="array" ref="H63">Common_InputFunctions.Utility_DisplayArrayInTable(Scope3_SourceData.Scope3_Livestock_Data(), Table_SourceData_Scope3_Animals[[#Headers],[Category]], 0, 2)</f>
        <v>6.33</v>
      </c>
      <c r="I63" s="19" t="str" cm="1">
        <f t="array" ref="I63">Common_InputFunctions.Utility_DisplayArrayInTable(Scope3_SourceData.Scope3_Livestock_Data(), Table_SourceData_Scope3_Animals[[#Headers],[Category]], 0, 2)</f>
        <v>at market</v>
      </c>
      <c r="J63" s="19" t="s">
        <v>1166</v>
      </c>
    </row>
    <row r="64" spans="1:13" ht="20.100000000000001" customHeight="1" x14ac:dyDescent="0.2">
      <c r="D64" s="19" t="str" cm="1">
        <f t="array" ref="D64">Common_InputFunctions.Utility_DisplayArrayInTable(Scope3_SourceData.Scope3_Livestock_Data(), Table_SourceData_Scope3_Animals[[#Headers],[Category]], 0, 2)</f>
        <v>Sheep</v>
      </c>
      <c r="E64" s="19" t="str" cm="1">
        <f t="array" ref="E64">Common_InputFunctions.Utility_DisplayArrayInTable(Scope3_SourceData.Scope3_Livestock_Data(), Table_SourceData_Scope3_Animals[[#Headers],[Category]], 0, 2)</f>
        <v>Sheep, for mutton</v>
      </c>
      <c r="F64" s="19" t="str" cm="1">
        <f t="array" ref="F64">Common_InputFunctions.Utility_DisplayArrayInTable(Scope3_SourceData.Scope3_Livestock_Data(), Table_SourceData_Scope3_Animals[[#Headers],[Category]], 0, 2)</f>
        <v>SA</v>
      </c>
      <c r="G64" s="19" t="str" cm="1">
        <f t="array" ref="G64">Common_InputFunctions.Utility_DisplayArrayInTable(Scope3_SourceData.Scope3_Livestock_Data(), Table_SourceData_Scope3_Animals[[#Headers],[Category]], 0, 2)</f>
        <v>kg liveweight</v>
      </c>
      <c r="H64" s="19" cm="1">
        <f t="array" ref="H64">Common_InputFunctions.Utility_DisplayArrayInTable(Scope3_SourceData.Scope3_Livestock_Data(), Table_SourceData_Scope3_Animals[[#Headers],[Category]], 0, 2)</f>
        <v>6.18</v>
      </c>
      <c r="I64" s="19" t="str" cm="1">
        <f t="array" ref="I64">Common_InputFunctions.Utility_DisplayArrayInTable(Scope3_SourceData.Scope3_Livestock_Data(), Table_SourceData_Scope3_Animals[[#Headers],[Category]], 0, 2)</f>
        <v>at market</v>
      </c>
      <c r="J64" s="19" t="s">
        <v>1166</v>
      </c>
    </row>
    <row r="65" spans="1:10" ht="20.100000000000001" customHeight="1" x14ac:dyDescent="0.2">
      <c r="D65" s="19" t="str" cm="1">
        <f t="array" ref="D65">Common_InputFunctions.Utility_DisplayArrayInTable(Scope3_SourceData.Scope3_Livestock_Data(), Table_SourceData_Scope3_Animals[[#Headers],[Category]], 0, 2)</f>
        <v>Sheep</v>
      </c>
      <c r="E65" s="19" t="str" cm="1">
        <f t="array" ref="E65">Common_InputFunctions.Utility_DisplayArrayInTable(Scope3_SourceData.Scope3_Livestock_Data(), Table_SourceData_Scope3_Animals[[#Headers],[Category]], 0, 2)</f>
        <v>Sheep, for mutton</v>
      </c>
      <c r="F65" s="19" t="str" cm="1">
        <f t="array" ref="F65">Common_InputFunctions.Utility_DisplayArrayInTable(Scope3_SourceData.Scope3_Livestock_Data(), Table_SourceData_Scope3_Animals[[#Headers],[Category]], 0, 2)</f>
        <v>TAS</v>
      </c>
      <c r="G65" s="19" t="str" cm="1">
        <f t="array" ref="G65">Common_InputFunctions.Utility_DisplayArrayInTable(Scope3_SourceData.Scope3_Livestock_Data(), Table_SourceData_Scope3_Animals[[#Headers],[Category]], 0, 2)</f>
        <v>kg liveweight</v>
      </c>
      <c r="H65" s="19" cm="1">
        <f t="array" ref="H65">Common_InputFunctions.Utility_DisplayArrayInTable(Scope3_SourceData.Scope3_Livestock_Data(), Table_SourceData_Scope3_Animals[[#Headers],[Category]], 0, 2)</f>
        <v>7.5</v>
      </c>
      <c r="I65" s="19" t="str" cm="1">
        <f t="array" ref="I65">Common_InputFunctions.Utility_DisplayArrayInTable(Scope3_SourceData.Scope3_Livestock_Data(), Table_SourceData_Scope3_Animals[[#Headers],[Category]], 0, 2)</f>
        <v>at market</v>
      </c>
      <c r="J65" s="19" t="s">
        <v>1166</v>
      </c>
    </row>
    <row r="66" spans="1:10" ht="20.100000000000001" customHeight="1" x14ac:dyDescent="0.2">
      <c r="A66" s="79" t="str">
        <f>HYPERLINK("#A1", "▲ Back to top")</f>
        <v>▲ Back to top</v>
      </c>
      <c r="D66" s="19" t="str" cm="1">
        <f t="array" ref="D66">Common_InputFunctions.Utility_DisplayArrayInTable(Scope3_SourceData.Scope3_Livestock_Data(), Table_SourceData_Scope3_Animals[[#Headers],[Category]], 0, 2)</f>
        <v>Sheep</v>
      </c>
      <c r="E66" s="19" t="str" cm="1">
        <f t="array" ref="E66">Common_InputFunctions.Utility_DisplayArrayInTable(Scope3_SourceData.Scope3_Livestock_Data(), Table_SourceData_Scope3_Animals[[#Headers],[Category]], 0, 2)</f>
        <v>Sheep, for mutton</v>
      </c>
      <c r="F66" s="19" t="str" cm="1">
        <f t="array" ref="F66">Common_InputFunctions.Utility_DisplayArrayInTable(Scope3_SourceData.Scope3_Livestock_Data(), Table_SourceData_Scope3_Animals[[#Headers],[Category]], 0, 2)</f>
        <v>VIC</v>
      </c>
      <c r="G66" s="19" t="str" cm="1">
        <f t="array" ref="G66">Common_InputFunctions.Utility_DisplayArrayInTable(Scope3_SourceData.Scope3_Livestock_Data(), Table_SourceData_Scope3_Animals[[#Headers],[Category]], 0, 2)</f>
        <v>kg liveweight</v>
      </c>
      <c r="H66" s="19" cm="1">
        <f t="array" ref="H66">Common_InputFunctions.Utility_DisplayArrayInTable(Scope3_SourceData.Scope3_Livestock_Data(), Table_SourceData_Scope3_Animals[[#Headers],[Category]], 0, 2)</f>
        <v>8.08</v>
      </c>
      <c r="I66" s="19" t="str" cm="1">
        <f t="array" ref="I66">Common_InputFunctions.Utility_DisplayArrayInTable(Scope3_SourceData.Scope3_Livestock_Data(), Table_SourceData_Scope3_Animals[[#Headers],[Category]], 0, 2)</f>
        <v>at market</v>
      </c>
      <c r="J66" s="19" t="s">
        <v>1166</v>
      </c>
    </row>
    <row r="67" spans="1:10" ht="20.100000000000001" customHeight="1" x14ac:dyDescent="0.2">
      <c r="D67" s="19" t="str" cm="1">
        <f t="array" ref="D67">Common_InputFunctions.Utility_DisplayArrayInTable(Scope3_SourceData.Scope3_Livestock_Data(), Table_SourceData_Scope3_Animals[[#Headers],[Category]], 0, 2)</f>
        <v>Sheep</v>
      </c>
      <c r="E67" s="19" t="str" cm="1">
        <f t="array" ref="E67">Common_InputFunctions.Utility_DisplayArrayInTable(Scope3_SourceData.Scope3_Livestock_Data(), Table_SourceData_Scope3_Animals[[#Headers],[Category]], 0, 2)</f>
        <v>Sheep, for mutton</v>
      </c>
      <c r="F67" s="19" t="str" cm="1">
        <f t="array" ref="F67">Common_InputFunctions.Utility_DisplayArrayInTable(Scope3_SourceData.Scope3_Livestock_Data(), Table_SourceData_Scope3_Animals[[#Headers],[Category]], 0, 2)</f>
        <v>WA</v>
      </c>
      <c r="G67" s="19" t="str" cm="1">
        <f t="array" ref="G67">Common_InputFunctions.Utility_DisplayArrayInTable(Scope3_SourceData.Scope3_Livestock_Data(), Table_SourceData_Scope3_Animals[[#Headers],[Category]], 0, 2)</f>
        <v>kg liveweight</v>
      </c>
      <c r="H67" s="19" cm="1">
        <f t="array" ref="H67">Common_InputFunctions.Utility_DisplayArrayInTable(Scope3_SourceData.Scope3_Livestock_Data(), Table_SourceData_Scope3_Animals[[#Headers],[Category]], 0, 2)</f>
        <v>5.45</v>
      </c>
      <c r="I67" s="19" t="str" cm="1">
        <f t="array" ref="I67">Common_InputFunctions.Utility_DisplayArrayInTable(Scope3_SourceData.Scope3_Livestock_Data(), Table_SourceData_Scope3_Animals[[#Headers],[Category]], 0, 2)</f>
        <v>at market</v>
      </c>
      <c r="J67" s="19" t="s">
        <v>1166</v>
      </c>
    </row>
    <row r="68" spans="1:10" ht="20.100000000000001" customHeight="1" x14ac:dyDescent="0.2">
      <c r="D68" s="19" t="str" cm="1">
        <f t="array" ref="D68">Common_InputFunctions.Utility_DisplayArrayInTable(Scope3_SourceData.Scope3_Livestock_Data(), Table_SourceData_Scope3_Animals[[#Headers],[Category]], 0, 2)</f>
        <v>Sheep</v>
      </c>
      <c r="E68" s="19" t="str" cm="1">
        <f t="array" ref="E68">Common_InputFunctions.Utility_DisplayArrayInTable(Scope3_SourceData.Scope3_Livestock_Data(), Table_SourceData_Scope3_Animals[[#Headers],[Category]], 0, 2)</f>
        <v>Sheep, for prime lamb</v>
      </c>
      <c r="F68" s="19" t="str" cm="1">
        <f t="array" ref="F68">Common_InputFunctions.Utility_DisplayArrayInTable(Scope3_SourceData.Scope3_Livestock_Data(), Table_SourceData_Scope3_Animals[[#Headers],[Category]], 0, 2)</f>
        <v>Australia</v>
      </c>
      <c r="G68" s="19" t="str" cm="1">
        <f t="array" ref="G68">Common_InputFunctions.Utility_DisplayArrayInTable(Scope3_SourceData.Scope3_Livestock_Data(), Table_SourceData_Scope3_Animals[[#Headers],[Category]], 0, 2)</f>
        <v>kg liveweight</v>
      </c>
      <c r="H68" s="19" cm="1">
        <f t="array" ref="H68">Common_InputFunctions.Utility_DisplayArrayInTable(Scope3_SourceData.Scope3_Livestock_Data(), Table_SourceData_Scope3_Animals[[#Headers],[Category]], 0, 2)</f>
        <v>7.15</v>
      </c>
      <c r="I68" s="19" t="str" cm="1">
        <f t="array" ref="I68">Common_InputFunctions.Utility_DisplayArrayInTable(Scope3_SourceData.Scope3_Livestock_Data(), Table_SourceData_Scope3_Animals[[#Headers],[Category]], 0, 2)</f>
        <v>at market</v>
      </c>
      <c r="J68" s="19" t="s">
        <v>1166</v>
      </c>
    </row>
    <row r="69" spans="1:10" ht="20.100000000000001" customHeight="1" x14ac:dyDescent="0.2">
      <c r="D69" s="19" t="str" cm="1">
        <f t="array" ref="D69">Common_InputFunctions.Utility_DisplayArrayInTable(Scope3_SourceData.Scope3_Livestock_Data(), Table_SourceData_Scope3_Animals[[#Headers],[Category]], 0, 2)</f>
        <v>Sheep</v>
      </c>
      <c r="E69" s="19" t="str" cm="1">
        <f t="array" ref="E69">Common_InputFunctions.Utility_DisplayArrayInTable(Scope3_SourceData.Scope3_Livestock_Data(), Table_SourceData_Scope3_Animals[[#Headers],[Category]], 0, 2)</f>
        <v>Sheep, for prime lamb</v>
      </c>
      <c r="F69" s="19" t="str" cm="1">
        <f t="array" ref="F69">Common_InputFunctions.Utility_DisplayArrayInTable(Scope3_SourceData.Scope3_Livestock_Data(), Table_SourceData_Scope3_Animals[[#Headers],[Category]], 0, 2)</f>
        <v>NSW</v>
      </c>
      <c r="G69" s="19" t="str" cm="1">
        <f t="array" ref="G69">Common_InputFunctions.Utility_DisplayArrayInTable(Scope3_SourceData.Scope3_Livestock_Data(), Table_SourceData_Scope3_Animals[[#Headers],[Category]], 0, 2)</f>
        <v>kg liveweight</v>
      </c>
      <c r="H69" s="19" cm="1">
        <f t="array" ref="H69">Common_InputFunctions.Utility_DisplayArrayInTable(Scope3_SourceData.Scope3_Livestock_Data(), Table_SourceData_Scope3_Animals[[#Headers],[Category]], 0, 2)</f>
        <v>8.2899999999999991</v>
      </c>
      <c r="I69" s="19" t="str" cm="1">
        <f t="array" ref="I69">Common_InputFunctions.Utility_DisplayArrayInTable(Scope3_SourceData.Scope3_Livestock_Data(), Table_SourceData_Scope3_Animals[[#Headers],[Category]], 0, 2)</f>
        <v>at market</v>
      </c>
      <c r="J69" s="19" t="s">
        <v>1166</v>
      </c>
    </row>
    <row r="70" spans="1:10" ht="20.100000000000001" customHeight="1" x14ac:dyDescent="0.2">
      <c r="D70" s="19" t="str" cm="1">
        <f t="array" ref="D70">Common_InputFunctions.Utility_DisplayArrayInTable(Scope3_SourceData.Scope3_Livestock_Data(), Table_SourceData_Scope3_Animals[[#Headers],[Category]], 0, 2)</f>
        <v>Sheep</v>
      </c>
      <c r="E70" s="19" t="str" cm="1">
        <f t="array" ref="E70">Common_InputFunctions.Utility_DisplayArrayInTable(Scope3_SourceData.Scope3_Livestock_Data(), Table_SourceData_Scope3_Animals[[#Headers],[Category]], 0, 2)</f>
        <v>Sheep, for prime lamb</v>
      </c>
      <c r="F70" s="19" t="str" cm="1">
        <f t="array" ref="F70">Common_InputFunctions.Utility_DisplayArrayInTable(Scope3_SourceData.Scope3_Livestock_Data(), Table_SourceData_Scope3_Animals[[#Headers],[Category]], 0, 2)</f>
        <v>QLD</v>
      </c>
      <c r="G70" s="19" t="str" cm="1">
        <f t="array" ref="G70">Common_InputFunctions.Utility_DisplayArrayInTable(Scope3_SourceData.Scope3_Livestock_Data(), Table_SourceData_Scope3_Animals[[#Headers],[Category]], 0, 2)</f>
        <v>kg liveweight</v>
      </c>
      <c r="H70" s="19" cm="1">
        <f t="array" ref="H70">Common_InputFunctions.Utility_DisplayArrayInTable(Scope3_SourceData.Scope3_Livestock_Data(), Table_SourceData_Scope3_Animals[[#Headers],[Category]], 0, 2)</f>
        <v>6.39</v>
      </c>
      <c r="I70" s="19" t="str" cm="1">
        <f t="array" ref="I70">Common_InputFunctions.Utility_DisplayArrayInTable(Scope3_SourceData.Scope3_Livestock_Data(), Table_SourceData_Scope3_Animals[[#Headers],[Category]], 0, 2)</f>
        <v>at market</v>
      </c>
      <c r="J70" s="19" t="s">
        <v>1166</v>
      </c>
    </row>
    <row r="71" spans="1:10" ht="20.100000000000001" customHeight="1" x14ac:dyDescent="0.2">
      <c r="D71" s="19" t="str" cm="1">
        <f t="array" ref="D71">Common_InputFunctions.Utility_DisplayArrayInTable(Scope3_SourceData.Scope3_Livestock_Data(), Table_SourceData_Scope3_Animals[[#Headers],[Category]], 0, 2)</f>
        <v>Sheep</v>
      </c>
      <c r="E71" s="19" t="str" cm="1">
        <f t="array" ref="E71">Common_InputFunctions.Utility_DisplayArrayInTable(Scope3_SourceData.Scope3_Livestock_Data(), Table_SourceData_Scope3_Animals[[#Headers],[Category]], 0, 2)</f>
        <v>Sheep, for prime lamb</v>
      </c>
      <c r="F71" s="19" t="str" cm="1">
        <f t="array" ref="F71">Common_InputFunctions.Utility_DisplayArrayInTable(Scope3_SourceData.Scope3_Livestock_Data(), Table_SourceData_Scope3_Animals[[#Headers],[Category]], 0, 2)</f>
        <v>SA</v>
      </c>
      <c r="G71" s="19" t="str" cm="1">
        <f t="array" ref="G71">Common_InputFunctions.Utility_DisplayArrayInTable(Scope3_SourceData.Scope3_Livestock_Data(), Table_SourceData_Scope3_Animals[[#Headers],[Category]], 0, 2)</f>
        <v>kg liveweight</v>
      </c>
      <c r="H71" s="19" cm="1">
        <f t="array" ref="H71">Common_InputFunctions.Utility_DisplayArrayInTable(Scope3_SourceData.Scope3_Livestock_Data(), Table_SourceData_Scope3_Animals[[#Headers],[Category]], 0, 2)</f>
        <v>6.87</v>
      </c>
      <c r="I71" s="19" t="str" cm="1">
        <f t="array" ref="I71">Common_InputFunctions.Utility_DisplayArrayInTable(Scope3_SourceData.Scope3_Livestock_Data(), Table_SourceData_Scope3_Animals[[#Headers],[Category]], 0, 2)</f>
        <v>at market</v>
      </c>
      <c r="J71" s="19" t="s">
        <v>1166</v>
      </c>
    </row>
    <row r="72" spans="1:10" ht="20.100000000000001" customHeight="1" x14ac:dyDescent="0.2">
      <c r="D72" s="19" t="str" cm="1">
        <f t="array" ref="D72">Common_InputFunctions.Utility_DisplayArrayInTable(Scope3_SourceData.Scope3_Livestock_Data(), Table_SourceData_Scope3_Animals[[#Headers],[Category]], 0, 2)</f>
        <v>Sheep</v>
      </c>
      <c r="E72" s="19" t="str" cm="1">
        <f t="array" ref="E72">Common_InputFunctions.Utility_DisplayArrayInTable(Scope3_SourceData.Scope3_Livestock_Data(), Table_SourceData_Scope3_Animals[[#Headers],[Category]], 0, 2)</f>
        <v>Sheep, for prime lamb</v>
      </c>
      <c r="F72" s="19" t="str" cm="1">
        <f t="array" ref="F72">Common_InputFunctions.Utility_DisplayArrayInTable(Scope3_SourceData.Scope3_Livestock_Data(), Table_SourceData_Scope3_Animals[[#Headers],[Category]], 0, 2)</f>
        <v>TAS</v>
      </c>
      <c r="G72" s="19" t="str" cm="1">
        <f t="array" ref="G72">Common_InputFunctions.Utility_DisplayArrayInTable(Scope3_SourceData.Scope3_Livestock_Data(), Table_SourceData_Scope3_Animals[[#Headers],[Category]], 0, 2)</f>
        <v>kg liveweight</v>
      </c>
      <c r="H72" s="19" cm="1">
        <f t="array" ref="H72">Common_InputFunctions.Utility_DisplayArrayInTable(Scope3_SourceData.Scope3_Livestock_Data(), Table_SourceData_Scope3_Animals[[#Headers],[Category]], 0, 2)</f>
        <v>8.66</v>
      </c>
      <c r="I72" s="19" t="str" cm="1">
        <f t="array" ref="I72">Common_InputFunctions.Utility_DisplayArrayInTable(Scope3_SourceData.Scope3_Livestock_Data(), Table_SourceData_Scope3_Animals[[#Headers],[Category]], 0, 2)</f>
        <v>at market</v>
      </c>
      <c r="J72" s="19" t="s">
        <v>1166</v>
      </c>
    </row>
    <row r="73" spans="1:10" ht="20.100000000000001" customHeight="1" x14ac:dyDescent="0.2">
      <c r="D73" s="19" t="str" cm="1">
        <f t="array" ref="D73">Common_InputFunctions.Utility_DisplayArrayInTable(Scope3_SourceData.Scope3_Livestock_Data(), Table_SourceData_Scope3_Animals[[#Headers],[Category]], 0, 2)</f>
        <v>Sheep</v>
      </c>
      <c r="E73" s="19" t="str" cm="1">
        <f t="array" ref="E73">Common_InputFunctions.Utility_DisplayArrayInTable(Scope3_SourceData.Scope3_Livestock_Data(), Table_SourceData_Scope3_Animals[[#Headers],[Category]], 0, 2)</f>
        <v>Sheep, for prime lamb</v>
      </c>
      <c r="F73" s="19" t="str" cm="1">
        <f t="array" ref="F73">Common_InputFunctions.Utility_DisplayArrayInTable(Scope3_SourceData.Scope3_Livestock_Data(), Table_SourceData_Scope3_Animals[[#Headers],[Category]], 0, 2)</f>
        <v>VIC</v>
      </c>
      <c r="G73" s="19" t="str" cm="1">
        <f t="array" ref="G73">Common_InputFunctions.Utility_DisplayArrayInTable(Scope3_SourceData.Scope3_Livestock_Data(), Table_SourceData_Scope3_Animals[[#Headers],[Category]], 0, 2)</f>
        <v>kg liveweight</v>
      </c>
      <c r="H73" s="19" cm="1">
        <f t="array" ref="H73">Common_InputFunctions.Utility_DisplayArrayInTable(Scope3_SourceData.Scope3_Livestock_Data(), Table_SourceData_Scope3_Animals[[#Headers],[Category]], 0, 2)</f>
        <v>10</v>
      </c>
      <c r="I73" s="19" t="str" cm="1">
        <f t="array" ref="I73">Common_InputFunctions.Utility_DisplayArrayInTable(Scope3_SourceData.Scope3_Livestock_Data(), Table_SourceData_Scope3_Animals[[#Headers],[Category]], 0, 2)</f>
        <v>at market</v>
      </c>
      <c r="J73" s="19" t="s">
        <v>1166</v>
      </c>
    </row>
    <row r="74" spans="1:10" ht="20.100000000000001" customHeight="1" x14ac:dyDescent="0.2">
      <c r="D74" s="19" t="str" cm="1">
        <f t="array" ref="D74">Common_InputFunctions.Utility_DisplayArrayInTable(Scope3_SourceData.Scope3_Livestock_Data(), Table_SourceData_Scope3_Animals[[#Headers],[Category]], 0, 2)</f>
        <v>Sheep</v>
      </c>
      <c r="E74" s="19" t="str" cm="1">
        <f t="array" ref="E74">Common_InputFunctions.Utility_DisplayArrayInTable(Scope3_SourceData.Scope3_Livestock_Data(), Table_SourceData_Scope3_Animals[[#Headers],[Category]], 0, 2)</f>
        <v>Sheep, for prime lamb</v>
      </c>
      <c r="F74" s="19" t="str" cm="1">
        <f t="array" ref="F74">Common_InputFunctions.Utility_DisplayArrayInTable(Scope3_SourceData.Scope3_Livestock_Data(), Table_SourceData_Scope3_Animals[[#Headers],[Category]], 0, 2)</f>
        <v>WA</v>
      </c>
      <c r="G74" s="19" t="str" cm="1">
        <f t="array" ref="G74">Common_InputFunctions.Utility_DisplayArrayInTable(Scope3_SourceData.Scope3_Livestock_Data(), Table_SourceData_Scope3_Animals[[#Headers],[Category]], 0, 2)</f>
        <v>kg liveweight</v>
      </c>
      <c r="H74" s="19" cm="1">
        <f t="array" ref="H74">Common_InputFunctions.Utility_DisplayArrayInTable(Scope3_SourceData.Scope3_Livestock_Data(), Table_SourceData_Scope3_Animals[[#Headers],[Category]], 0, 2)</f>
        <v>5.67</v>
      </c>
      <c r="I74" s="19" t="str" cm="1">
        <f t="array" ref="I74">Common_InputFunctions.Utility_DisplayArrayInTable(Scope3_SourceData.Scope3_Livestock_Data(), Table_SourceData_Scope3_Animals[[#Headers],[Category]], 0, 2)</f>
        <v>at market</v>
      </c>
      <c r="J74" s="19" t="s">
        <v>1166</v>
      </c>
    </row>
    <row r="76" spans="1:10" ht="20.100000000000001" customHeight="1" x14ac:dyDescent="0.2">
      <c r="D76" s="2" t="s">
        <v>1175</v>
      </c>
    </row>
    <row r="77" spans="1:10" ht="20.100000000000001" customHeight="1" x14ac:dyDescent="0.2">
      <c r="D77" s="19" t="s">
        <v>1159</v>
      </c>
      <c r="E77" s="19" t="s">
        <v>132</v>
      </c>
      <c r="F77" s="19" t="s">
        <v>1160</v>
      </c>
      <c r="G77" s="19" t="s">
        <v>1161</v>
      </c>
      <c r="H77" s="19" t="s">
        <v>1162</v>
      </c>
      <c r="I77" s="19" t="s">
        <v>1163</v>
      </c>
      <c r="J77" s="19" t="s">
        <v>560</v>
      </c>
    </row>
    <row r="78" spans="1:10" ht="20.100000000000001" customHeight="1" x14ac:dyDescent="0.2">
      <c r="D78" s="19" t="str" cm="1">
        <f t="array" ref="D78">Common_InputFunctions.Utility_DisplayArrayInTable(Scope3_SourceData.Scope3_Chemicals_Data(), Table_SourceData_Scope3_ChemicalsCleaning[[#Headers],[Category]], 0, 2)</f>
        <v>Cleaning chemicals</v>
      </c>
      <c r="E78" s="19" t="str" cm="1">
        <f t="array" ref="E78">Common_InputFunctions.Utility_DisplayArrayInTable(Scope3_SourceData.Scope3_Chemicals_Data(), Table_SourceData_Scope3_ChemicalsCleaning[[#Headers],[Category]], 0, 2)</f>
        <v>Alkaline cleaner</v>
      </c>
      <c r="F78" s="19" t="str" cm="1">
        <f t="array" ref="F78">Common_InputFunctions.Utility_DisplayArrayInTable(Scope3_SourceData.Scope3_Chemicals_Data(), Table_SourceData_Scope3_ChemicalsCleaning[[#Headers],[Category]], 0, 2)</f>
        <v>Global</v>
      </c>
      <c r="G78" s="19" t="str" cm="1">
        <f t="array" ref="G78">Common_InputFunctions.Utility_DisplayArrayInTable(Scope3_SourceData.Scope3_Chemicals_Data(), Table_SourceData_Scope3_ChemicalsCleaning[[#Headers],[Category]], 0, 2)</f>
        <v>kg</v>
      </c>
      <c r="H78" s="19" cm="1">
        <f t="array" ref="H78">Common_InputFunctions.Utility_DisplayArrayInTable(Scope3_SourceData.Scope3_Chemicals_Data(), Table_SourceData_Scope3_ChemicalsCleaning[[#Headers],[Category]], 0, 2)</f>
        <v>0.72199999999999998</v>
      </c>
      <c r="I78" s="19" t="str" cm="1">
        <f t="array" ref="I78">Common_InputFunctions.Utility_DisplayArrayInTable(Scope3_SourceData.Scope3_Chemicals_Data(), Table_SourceData_Scope3_ChemicalsCleaning[[#Headers],[Category]], 0, 2)</f>
        <v>at manufacturer</v>
      </c>
      <c r="J78" s="19" t="s">
        <v>1166</v>
      </c>
    </row>
    <row r="79" spans="1:10" ht="20.100000000000001" customHeight="1" x14ac:dyDescent="0.2">
      <c r="D79" s="19" t="str" cm="1">
        <f t="array" ref="D79">Common_InputFunctions.Utility_DisplayArrayInTable(Scope3_SourceData.Scope3_Chemicals_Data(), Table_SourceData_Scope3_ChemicalsCleaning[[#Headers],[Category]], 0, 2)</f>
        <v>Cleaning chemicals</v>
      </c>
      <c r="E79" s="19" t="str" cm="1">
        <f t="array" ref="E79">Common_InputFunctions.Utility_DisplayArrayInTable(Scope3_SourceData.Scope3_Chemicals_Data(), Table_SourceData_Scope3_ChemicalsCleaning[[#Headers],[Category]], 0, 2)</f>
        <v>Bleach</v>
      </c>
      <c r="F79" s="19" t="str" cm="1">
        <f t="array" ref="F79">Common_InputFunctions.Utility_DisplayArrayInTable(Scope3_SourceData.Scope3_Chemicals_Data(), Table_SourceData_Scope3_ChemicalsCleaning[[#Headers],[Category]], 0, 2)</f>
        <v>Global</v>
      </c>
      <c r="G79" s="19" t="str" cm="1">
        <f t="array" ref="G79">Common_InputFunctions.Utility_DisplayArrayInTable(Scope3_SourceData.Scope3_Chemicals_Data(), Table_SourceData_Scope3_ChemicalsCleaning[[#Headers],[Category]], 0, 2)</f>
        <v>kg</v>
      </c>
      <c r="H79" s="19" cm="1">
        <f t="array" ref="H79">Common_InputFunctions.Utility_DisplayArrayInTable(Scope3_SourceData.Scope3_Chemicals_Data(), Table_SourceData_Scope3_ChemicalsCleaning[[#Headers],[Category]], 0, 2)</f>
        <v>0.80400000000000005</v>
      </c>
      <c r="I79" s="19" t="str" cm="1">
        <f t="array" ref="I79">Common_InputFunctions.Utility_DisplayArrayInTable(Scope3_SourceData.Scope3_Chemicals_Data(), Table_SourceData_Scope3_ChemicalsCleaning[[#Headers],[Category]], 0, 2)</f>
        <v>at manufacturer</v>
      </c>
      <c r="J79" s="19" t="s">
        <v>1166</v>
      </c>
    </row>
    <row r="80" spans="1:10" ht="20.100000000000001" customHeight="1" x14ac:dyDescent="0.2">
      <c r="D80" s="19" t="str" cm="1">
        <f t="array" ref="D80">Common_InputFunctions.Utility_DisplayArrayInTable(Scope3_SourceData.Scope3_Chemicals_Data(), Table_SourceData_Scope3_ChemicalsCleaning[[#Headers],[Category]], 0, 2)</f>
        <v>Cleaning chemicals</v>
      </c>
      <c r="E80" s="19" t="str" cm="1">
        <f t="array" ref="E80">Common_InputFunctions.Utility_DisplayArrayInTable(Scope3_SourceData.Scope3_Chemicals_Data(), Table_SourceData_Scope3_ChemicalsCleaning[[#Headers],[Category]], 0, 2)</f>
        <v>Phosphoric acid</v>
      </c>
      <c r="F80" s="19" t="str" cm="1">
        <f t="array" ref="F80">Common_InputFunctions.Utility_DisplayArrayInTable(Scope3_SourceData.Scope3_Chemicals_Data(), Table_SourceData_Scope3_ChemicalsCleaning[[#Headers],[Category]], 0, 2)</f>
        <v>Global</v>
      </c>
      <c r="G80" s="19" t="str" cm="1">
        <f t="array" ref="G80">Common_InputFunctions.Utility_DisplayArrayInTable(Scope3_SourceData.Scope3_Chemicals_Data(), Table_SourceData_Scope3_ChemicalsCleaning[[#Headers],[Category]], 0, 2)</f>
        <v>kg</v>
      </c>
      <c r="H80" s="19" cm="1">
        <f t="array" ref="H80">Common_InputFunctions.Utility_DisplayArrayInTable(Scope3_SourceData.Scope3_Chemicals_Data(), Table_SourceData_Scope3_ChemicalsCleaning[[#Headers],[Category]], 0, 2)</f>
        <v>0.90700000000000003</v>
      </c>
      <c r="I80" s="19" t="str" cm="1">
        <f t="array" ref="I80">Common_InputFunctions.Utility_DisplayArrayInTable(Scope3_SourceData.Scope3_Chemicals_Data(), Table_SourceData_Scope3_ChemicalsCleaning[[#Headers],[Category]], 0, 2)</f>
        <v>at manufacturer</v>
      </c>
      <c r="J80" s="19" t="s">
        <v>1166</v>
      </c>
    </row>
    <row r="82" spans="1:17" ht="20.100000000000001" customHeight="1" x14ac:dyDescent="0.2">
      <c r="D82" s="19" t="s">
        <v>1159</v>
      </c>
      <c r="E82" s="19" t="s">
        <v>132</v>
      </c>
      <c r="F82" s="19" t="s">
        <v>1160</v>
      </c>
      <c r="G82" s="19" t="s">
        <v>1161</v>
      </c>
      <c r="H82" s="19" t="s">
        <v>1162</v>
      </c>
      <c r="I82" s="19" t="s">
        <v>1163</v>
      </c>
      <c r="J82" s="19" t="s">
        <v>560</v>
      </c>
    </row>
    <row r="83" spans="1:17" ht="20.100000000000001" customHeight="1" x14ac:dyDescent="0.2">
      <c r="D83" s="19" t="str" cm="1">
        <f t="array" ref="D83">Common_InputFunctions.Utility_DisplayArrayInTable(Scope3_SourceData.Scope3_Chemicals_Data(), Table_SourceData_Scope3_ChemicalsPharmacy[[#Headers],[Category]], -3, 2)</f>
        <v>Pharmacy chemicals</v>
      </c>
      <c r="E83" s="19" t="str" cm="1">
        <f t="array" ref="E83">Common_InputFunctions.Utility_DisplayArrayInTable(Scope3_SourceData.Scope3_Chemicals_Data(), Table_SourceData_Scope3_ChemicalsPharmacy[[#Headers],[Category]], -3, 2)</f>
        <v>Parasite control for cattle (external), dipping</v>
      </c>
      <c r="F83" s="19" t="str" cm="1">
        <f t="array" ref="F83">Common_InputFunctions.Utility_DisplayArrayInTable(Scope3_SourceData.Scope3_Chemicals_Data(), Table_SourceData_Scope3_ChemicalsPharmacy[[#Headers],[Category]], -3, 2)</f>
        <v>Global</v>
      </c>
      <c r="G83" s="19" t="str" cm="1">
        <f t="array" ref="G83">Common_InputFunctions.Utility_DisplayArrayInTable(Scope3_SourceData.Scope3_Chemicals_Data(), Table_SourceData_Scope3_ChemicalsPharmacy[[#Headers],[Category]], -3, 2)</f>
        <v>p (head)</v>
      </c>
      <c r="H83" s="19" cm="1">
        <f t="array" ref="H83">Common_InputFunctions.Utility_DisplayArrayInTable(Scope3_SourceData.Scope3_Chemicals_Data(), Table_SourceData_Scope3_ChemicalsPharmacy[[#Headers],[Category]], -3, 2)</f>
        <v>5.4699999999999999E-2</v>
      </c>
      <c r="I83" s="19" t="str" cm="1">
        <f t="array" ref="I83">Common_InputFunctions.Utility_DisplayArrayInTable(Scope3_SourceData.Scope3_Chemicals_Data(), Table_SourceData_Scope3_ChemicalsPharmacy[[#Headers],[Category]], -3, 2)</f>
        <v>at manufacturer</v>
      </c>
      <c r="J83" s="19" t="s">
        <v>1166</v>
      </c>
    </row>
    <row r="84" spans="1:17" ht="20.100000000000001" customHeight="1" x14ac:dyDescent="0.2">
      <c r="D84" s="19" t="str" cm="1">
        <f t="array" ref="D84">Common_InputFunctions.Utility_DisplayArrayInTable(Scope3_SourceData.Scope3_Chemicals_Data(), Table_SourceData_Scope3_ChemicalsPharmacy[[#Headers],[Category]], -3, 2)</f>
        <v>Pharmacy chemicals</v>
      </c>
      <c r="E84" s="19" t="str" cm="1">
        <f t="array" ref="E84">Common_InputFunctions.Utility_DisplayArrayInTable(Scope3_SourceData.Scope3_Chemicals_Data(), Table_SourceData_Scope3_ChemicalsPharmacy[[#Headers],[Category]], -3, 2)</f>
        <v>Parasite control for cattle (internal)</v>
      </c>
      <c r="F84" s="19" t="str" cm="1">
        <f t="array" ref="F84">Common_InputFunctions.Utility_DisplayArrayInTable(Scope3_SourceData.Scope3_Chemicals_Data(), Table_SourceData_Scope3_ChemicalsPharmacy[[#Headers],[Category]], -3, 2)</f>
        <v>Global</v>
      </c>
      <c r="G84" s="19" t="str" cm="1">
        <f t="array" ref="G84">Common_InputFunctions.Utility_DisplayArrayInTable(Scope3_SourceData.Scope3_Chemicals_Data(), Table_SourceData_Scope3_ChemicalsPharmacy[[#Headers],[Category]], -3, 2)</f>
        <v>p (head)</v>
      </c>
      <c r="H84" s="19" cm="1">
        <f t="array" ref="H84">Common_InputFunctions.Utility_DisplayArrayInTable(Scope3_SourceData.Scope3_Chemicals_Data(), Table_SourceData_Scope3_ChemicalsPharmacy[[#Headers],[Category]], -3, 2)</f>
        <v>1.4200000000000001E-2</v>
      </c>
      <c r="I84" s="19" t="str" cm="1">
        <f t="array" ref="I84">Common_InputFunctions.Utility_DisplayArrayInTable(Scope3_SourceData.Scope3_Chemicals_Data(), Table_SourceData_Scope3_ChemicalsPharmacy[[#Headers],[Category]], -3, 2)</f>
        <v>at manufacturer</v>
      </c>
      <c r="J84" s="19" t="s">
        <v>1166</v>
      </c>
    </row>
    <row r="85" spans="1:17" ht="20.100000000000001" customHeight="1" x14ac:dyDescent="0.2">
      <c r="D85" s="19" t="str" cm="1">
        <f t="array" ref="D85">Common_InputFunctions.Utility_DisplayArrayInTable(Scope3_SourceData.Scope3_Chemicals_Data(), Table_SourceData_Scope3_ChemicalsPharmacy[[#Headers],[Category]], -3, 2)</f>
        <v>Pharmacy chemicals</v>
      </c>
      <c r="E85" s="19" t="str" cm="1">
        <f t="array" ref="E85">Common_InputFunctions.Utility_DisplayArrayInTable(Scope3_SourceData.Scope3_Chemicals_Data(), Table_SourceData_Scope3_ChemicalsPharmacy[[#Headers],[Category]], -3, 2)</f>
        <v>Parasite control for sheep (external)</v>
      </c>
      <c r="F85" s="19" t="str" cm="1">
        <f t="array" ref="F85">Common_InputFunctions.Utility_DisplayArrayInTable(Scope3_SourceData.Scope3_Chemicals_Data(), Table_SourceData_Scope3_ChemicalsPharmacy[[#Headers],[Category]], -3, 2)</f>
        <v>Global</v>
      </c>
      <c r="G85" s="19" t="str" cm="1">
        <f t="array" ref="G85">Common_InputFunctions.Utility_DisplayArrayInTable(Scope3_SourceData.Scope3_Chemicals_Data(), Table_SourceData_Scope3_ChemicalsPharmacy[[#Headers],[Category]], -3, 2)</f>
        <v>p (head)</v>
      </c>
      <c r="H85" s="19" cm="1">
        <f t="array" ref="H85">Common_InputFunctions.Utility_DisplayArrayInTable(Scope3_SourceData.Scope3_Chemicals_Data(), Table_SourceData_Scope3_ChemicalsPharmacy[[#Headers],[Category]], -3, 2)</f>
        <v>1.43E-2</v>
      </c>
      <c r="I85" s="19" t="str" cm="1">
        <f t="array" ref="I85">Common_InputFunctions.Utility_DisplayArrayInTable(Scope3_SourceData.Scope3_Chemicals_Data(), Table_SourceData_Scope3_ChemicalsPharmacy[[#Headers],[Category]], -3, 2)</f>
        <v>at manufacturer</v>
      </c>
      <c r="J85" s="19" t="s">
        <v>1166</v>
      </c>
    </row>
    <row r="86" spans="1:17" ht="20.100000000000001" customHeight="1" x14ac:dyDescent="0.2">
      <c r="D86" s="19" t="str" cm="1">
        <f t="array" ref="D86">Common_InputFunctions.Utility_DisplayArrayInTable(Scope3_SourceData.Scope3_Chemicals_Data(), Table_SourceData_Scope3_ChemicalsPharmacy[[#Headers],[Category]], -3, 2)</f>
        <v>Pharmacy chemicals</v>
      </c>
      <c r="E86" s="19" t="str" cm="1">
        <f t="array" ref="E86">Common_InputFunctions.Utility_DisplayArrayInTable(Scope3_SourceData.Scope3_Chemicals_Data(), Table_SourceData_Scope3_ChemicalsPharmacy[[#Headers],[Category]], -3, 2)</f>
        <v>Parasite control for sheep (internal)</v>
      </c>
      <c r="F86" s="19" t="str" cm="1">
        <f t="array" ref="F86">Common_InputFunctions.Utility_DisplayArrayInTable(Scope3_SourceData.Scope3_Chemicals_Data(), Table_SourceData_Scope3_ChemicalsPharmacy[[#Headers],[Category]], -3, 2)</f>
        <v>Global</v>
      </c>
      <c r="G86" s="19" t="str" cm="1">
        <f t="array" ref="G86">Common_InputFunctions.Utility_DisplayArrayInTable(Scope3_SourceData.Scope3_Chemicals_Data(), Table_SourceData_Scope3_ChemicalsPharmacy[[#Headers],[Category]], -3, 2)</f>
        <v>p (head)</v>
      </c>
      <c r="H86" s="19" cm="1">
        <f t="array" ref="H86">Common_InputFunctions.Utility_DisplayArrayInTable(Scope3_SourceData.Scope3_Chemicals_Data(), Table_SourceData_Scope3_ChemicalsPharmacy[[#Headers],[Category]], -3, 2)</f>
        <v>4.2599999999999999E-3</v>
      </c>
      <c r="I86" s="19" t="str" cm="1">
        <f t="array" ref="I86">Common_InputFunctions.Utility_DisplayArrayInTable(Scope3_SourceData.Scope3_Chemicals_Data(), Table_SourceData_Scope3_ChemicalsPharmacy[[#Headers],[Category]], -3, 2)</f>
        <v>at manufacturer</v>
      </c>
      <c r="J86" s="19" t="s">
        <v>1166</v>
      </c>
    </row>
    <row r="88" spans="1:17" ht="20.100000000000001" customHeight="1" x14ac:dyDescent="0.2">
      <c r="D88" s="2" t="s">
        <v>971</v>
      </c>
    </row>
    <row r="89" spans="1:17" ht="20.100000000000001" customHeight="1" x14ac:dyDescent="0.2">
      <c r="D89" s="19" t="s">
        <v>1159</v>
      </c>
      <c r="E89" s="19" t="s">
        <v>132</v>
      </c>
      <c r="F89" s="19" t="s">
        <v>1160</v>
      </c>
      <c r="G89" s="19" t="s">
        <v>1161</v>
      </c>
      <c r="H89" s="19" t="s">
        <v>1162</v>
      </c>
      <c r="I89" s="19" t="s">
        <v>1163</v>
      </c>
      <c r="J89" s="19" t="s">
        <v>560</v>
      </c>
      <c r="O89" s="19" t="s">
        <v>132</v>
      </c>
      <c r="P89" s="19" t="s">
        <v>1164</v>
      </c>
      <c r="Q89" s="1" t="str">
        <f>"Table_ProductRegions_" &amp; SUBSTITUTE(SUBSTITUTE(SUBSTITUTE(SUBSTITUTE(O90, " ", ""), ",", ""), "(", ""), ")", "")</f>
        <v>Table_ProductRegions_Barleygrain</v>
      </c>
    </row>
    <row r="90" spans="1:17" ht="20.100000000000001" customHeight="1" x14ac:dyDescent="0.2">
      <c r="D90" s="19" t="str" cm="1">
        <f t="array" ref="D90">Common_InputFunctions.Utility_DisplayArrayInTable(Scope3_SourceData.Scope3_Feed_Data(), Table_SourceData_Scope3_Feed[[#Headers],[Category]], -1, 2)</f>
        <v>Grain</v>
      </c>
      <c r="E90" s="19" t="str" cm="1">
        <f t="array" ref="E90">Common_InputFunctions.Utility_DisplayArrayInTable(Scope3_SourceData.Scope3_Feed_Data(), Table_SourceData_Scope3_Feed[[#Headers],[Category]], -1, 2)</f>
        <v>Barley grain</v>
      </c>
      <c r="F90" s="19" t="str" cm="1">
        <f t="array" ref="F90">Common_InputFunctions.Utility_DisplayArrayInTable(Scope3_SourceData.Scope3_Feed_Data(), Table_SourceData_Scope3_Feed[[#Headers],[Category]], -1, 2)</f>
        <v>Australia</v>
      </c>
      <c r="G90" s="19" t="str" cm="1">
        <f t="array" ref="G90">Common_InputFunctions.Utility_DisplayArrayInTable(Scope3_SourceData.Scope3_Feed_Data(), Table_SourceData_Scope3_Feed[[#Headers],[Category]], -1, 2)</f>
        <v>kg</v>
      </c>
      <c r="H90" s="19" cm="1">
        <f t="array" ref="H90">Common_InputFunctions.Utility_DisplayArrayInTable(Scope3_SourceData.Scope3_Feed_Data(), Table_SourceData_Scope3_Feed[[#Headers],[Category]], -1, 2)</f>
        <v>0.23899999999999999</v>
      </c>
      <c r="I90" s="19" t="str" cm="1">
        <f t="array" ref="I90">Common_InputFunctions.Utility_DisplayArrayInTable(Scope3_SourceData.Scope3_Feed_Data(), Table_SourceData_Scope3_Feed[[#Headers],[Category]], -1, 2)</f>
        <v>at market</v>
      </c>
      <c r="J90" s="19" t="s">
        <v>1166</v>
      </c>
      <c r="O90" s="19" t="str">
        <f>Table_SourceData_Scope3_Feed[[#This Row],[Product]]</f>
        <v>Barley grain</v>
      </c>
      <c r="P90" s="19" t="str">
        <f>Table_SourceData_Scope3_Feed[[#This Row],[Region of origin]]</f>
        <v>Australia</v>
      </c>
    </row>
    <row r="91" spans="1:17" ht="20.100000000000001" customHeight="1" x14ac:dyDescent="0.2">
      <c r="D91" s="19" t="str" cm="1">
        <f t="array" ref="D91">Common_InputFunctions.Utility_DisplayArrayInTable(Scope3_SourceData.Scope3_Feed_Data(), Table_SourceData_Scope3_Feed[[#Headers],[Category]], -1, 2)</f>
        <v>Grain</v>
      </c>
      <c r="E91" s="19" t="str" cm="1">
        <f t="array" ref="E91">Common_InputFunctions.Utility_DisplayArrayInTable(Scope3_SourceData.Scope3_Feed_Data(), Table_SourceData_Scope3_Feed[[#Headers],[Category]], -1, 2)</f>
        <v>Barley grain</v>
      </c>
      <c r="F91" s="19" t="str" cm="1">
        <f t="array" ref="F91">Common_InputFunctions.Utility_DisplayArrayInTable(Scope3_SourceData.Scope3_Feed_Data(), Table_SourceData_Scope3_Feed[[#Headers],[Category]], -1, 2)</f>
        <v>NSW</v>
      </c>
      <c r="G91" s="19" t="str" cm="1">
        <f t="array" ref="G91">Common_InputFunctions.Utility_DisplayArrayInTable(Scope3_SourceData.Scope3_Feed_Data(), Table_SourceData_Scope3_Feed[[#Headers],[Category]], -1, 2)</f>
        <v>kg</v>
      </c>
      <c r="H91" s="19" cm="1">
        <f t="array" ref="H91">Common_InputFunctions.Utility_DisplayArrayInTable(Scope3_SourceData.Scope3_Feed_Data(), Table_SourceData_Scope3_Feed[[#Headers],[Category]], -1, 2)</f>
        <v>0.25600000000000001</v>
      </c>
      <c r="I91" s="19" t="str" cm="1">
        <f t="array" ref="I91">Common_InputFunctions.Utility_DisplayArrayInTable(Scope3_SourceData.Scope3_Feed_Data(), Table_SourceData_Scope3_Feed[[#Headers],[Category]], -1, 2)</f>
        <v>at market</v>
      </c>
      <c r="J91" s="19" t="s">
        <v>1166</v>
      </c>
      <c r="O91" s="19" t="str">
        <f>Table_SourceData_Scope3_Feed[[#This Row],[Product]]</f>
        <v>Barley grain</v>
      </c>
      <c r="P91" s="19" t="str">
        <f>Table_SourceData_Scope3_Feed[[#This Row],[Region of origin]]</f>
        <v>NSW</v>
      </c>
    </row>
    <row r="92" spans="1:17" ht="20.100000000000001" customHeight="1" x14ac:dyDescent="0.2">
      <c r="D92" s="19" t="str" cm="1">
        <f t="array" ref="D92">Common_InputFunctions.Utility_DisplayArrayInTable(Scope3_SourceData.Scope3_Feed_Data(), Table_SourceData_Scope3_Feed[[#Headers],[Category]], -1, 2)</f>
        <v>Grain</v>
      </c>
      <c r="E92" s="19" t="str" cm="1">
        <f t="array" ref="E92">Common_InputFunctions.Utility_DisplayArrayInTable(Scope3_SourceData.Scope3_Feed_Data(), Table_SourceData_Scope3_Feed[[#Headers],[Category]], -1, 2)</f>
        <v>Barley grain</v>
      </c>
      <c r="F92" s="19" t="str" cm="1">
        <f t="array" ref="F92">Common_InputFunctions.Utility_DisplayArrayInTable(Scope3_SourceData.Scope3_Feed_Data(), Table_SourceData_Scope3_Feed[[#Headers],[Category]], -1, 2)</f>
        <v>NT</v>
      </c>
      <c r="G92" s="19" t="str" cm="1">
        <f t="array" ref="G92">Common_InputFunctions.Utility_DisplayArrayInTable(Scope3_SourceData.Scope3_Feed_Data(), Table_SourceData_Scope3_Feed[[#Headers],[Category]], -1, 2)</f>
        <v>kg</v>
      </c>
      <c r="H92" s="19" cm="1">
        <f t="array" ref="H92">Common_InputFunctions.Utility_DisplayArrayInTable(Scope3_SourceData.Scope3_Feed_Data(), Table_SourceData_Scope3_Feed[[#Headers],[Category]], -1, 2)</f>
        <v>0.33200000000000002</v>
      </c>
      <c r="I92" s="19" t="str" cm="1">
        <f t="array" ref="I92">Common_InputFunctions.Utility_DisplayArrayInTable(Scope3_SourceData.Scope3_Feed_Data(), Table_SourceData_Scope3_Feed[[#Headers],[Category]], -1, 2)</f>
        <v>at market</v>
      </c>
      <c r="J92" s="19" t="s">
        <v>1166</v>
      </c>
      <c r="O92" s="19" t="str">
        <f>Table_SourceData_Scope3_Feed[[#This Row],[Product]]</f>
        <v>Barley grain</v>
      </c>
      <c r="P92" s="19" t="str">
        <f>Table_SourceData_Scope3_Feed[[#This Row],[Region of origin]]</f>
        <v>NT</v>
      </c>
    </row>
    <row r="93" spans="1:17" ht="20.100000000000001" customHeight="1" x14ac:dyDescent="0.2">
      <c r="D93" s="19" t="str" cm="1">
        <f t="array" ref="D93">Common_InputFunctions.Utility_DisplayArrayInTable(Scope3_SourceData.Scope3_Feed_Data(), Table_SourceData_Scope3_Feed[[#Headers],[Category]], -1, 2)</f>
        <v>Grain</v>
      </c>
      <c r="E93" s="19" t="str" cm="1">
        <f t="array" ref="E93">Common_InputFunctions.Utility_DisplayArrayInTable(Scope3_SourceData.Scope3_Feed_Data(), Table_SourceData_Scope3_Feed[[#Headers],[Category]], -1, 2)</f>
        <v>Barley grain</v>
      </c>
      <c r="F93" s="19" t="str" cm="1">
        <f t="array" ref="F93">Common_InputFunctions.Utility_DisplayArrayInTable(Scope3_SourceData.Scope3_Feed_Data(), Table_SourceData_Scope3_Feed[[#Headers],[Category]], -1, 2)</f>
        <v>QLD</v>
      </c>
      <c r="G93" s="19" t="str" cm="1">
        <f t="array" ref="G93">Common_InputFunctions.Utility_DisplayArrayInTable(Scope3_SourceData.Scope3_Feed_Data(), Table_SourceData_Scope3_Feed[[#Headers],[Category]], -1, 2)</f>
        <v>kg</v>
      </c>
      <c r="H93" s="19" cm="1">
        <f t="array" ref="H93">Common_InputFunctions.Utility_DisplayArrayInTable(Scope3_SourceData.Scope3_Feed_Data(), Table_SourceData_Scope3_Feed[[#Headers],[Category]], -1, 2)</f>
        <v>0.26900000000000002</v>
      </c>
      <c r="I93" s="19" t="str" cm="1">
        <f t="array" ref="I93">Common_InputFunctions.Utility_DisplayArrayInTable(Scope3_SourceData.Scope3_Feed_Data(), Table_SourceData_Scope3_Feed[[#Headers],[Category]], -1, 2)</f>
        <v>at market</v>
      </c>
      <c r="J93" s="19" t="s">
        <v>1166</v>
      </c>
      <c r="O93" s="19" t="str">
        <f>Table_SourceData_Scope3_Feed[[#This Row],[Product]]</f>
        <v>Barley grain</v>
      </c>
      <c r="P93" s="19" t="str">
        <f>Table_SourceData_Scope3_Feed[[#This Row],[Region of origin]]</f>
        <v>QLD</v>
      </c>
    </row>
    <row r="94" spans="1:17" ht="20.100000000000001" customHeight="1" x14ac:dyDescent="0.2">
      <c r="D94" s="19" t="str" cm="1">
        <f t="array" ref="D94">Common_InputFunctions.Utility_DisplayArrayInTable(Scope3_SourceData.Scope3_Feed_Data(), Table_SourceData_Scope3_Feed[[#Headers],[Category]], -1, 2)</f>
        <v>Grain</v>
      </c>
      <c r="E94" s="19" t="str" cm="1">
        <f t="array" ref="E94">Common_InputFunctions.Utility_DisplayArrayInTable(Scope3_SourceData.Scope3_Feed_Data(), Table_SourceData_Scope3_Feed[[#Headers],[Category]], -1, 2)</f>
        <v>Barley grain</v>
      </c>
      <c r="F94" s="19" t="str" cm="1">
        <f t="array" ref="F94">Common_InputFunctions.Utility_DisplayArrayInTable(Scope3_SourceData.Scope3_Feed_Data(), Table_SourceData_Scope3_Feed[[#Headers],[Category]], -1, 2)</f>
        <v>SA</v>
      </c>
      <c r="G94" s="19" t="str" cm="1">
        <f t="array" ref="G94">Common_InputFunctions.Utility_DisplayArrayInTable(Scope3_SourceData.Scope3_Feed_Data(), Table_SourceData_Scope3_Feed[[#Headers],[Category]], -1, 2)</f>
        <v>kg</v>
      </c>
      <c r="H94" s="19" cm="1">
        <f t="array" ref="H94">Common_InputFunctions.Utility_DisplayArrayInTable(Scope3_SourceData.Scope3_Feed_Data(), Table_SourceData_Scope3_Feed[[#Headers],[Category]], -1, 2)</f>
        <v>0.223</v>
      </c>
      <c r="I94" s="19" t="str" cm="1">
        <f t="array" ref="I94">Common_InputFunctions.Utility_DisplayArrayInTable(Scope3_SourceData.Scope3_Feed_Data(), Table_SourceData_Scope3_Feed[[#Headers],[Category]], -1, 2)</f>
        <v>at market</v>
      </c>
      <c r="J94" s="19" t="s">
        <v>1166</v>
      </c>
      <c r="O94" s="19" t="str">
        <f>Table_SourceData_Scope3_Feed[[#This Row],[Product]]</f>
        <v>Barley grain</v>
      </c>
      <c r="P94" s="19" t="str">
        <f>Table_SourceData_Scope3_Feed[[#This Row],[Region of origin]]</f>
        <v>SA</v>
      </c>
    </row>
    <row r="95" spans="1:17" ht="20.100000000000001" customHeight="1" x14ac:dyDescent="0.2">
      <c r="D95" s="19" t="str" cm="1">
        <f t="array" ref="D95">Common_InputFunctions.Utility_DisplayArrayInTable(Scope3_SourceData.Scope3_Feed_Data(), Table_SourceData_Scope3_Feed[[#Headers],[Category]], -1, 2)</f>
        <v>Grain</v>
      </c>
      <c r="E95" s="19" t="str" cm="1">
        <f t="array" ref="E95">Common_InputFunctions.Utility_DisplayArrayInTable(Scope3_SourceData.Scope3_Feed_Data(), Table_SourceData_Scope3_Feed[[#Headers],[Category]], -1, 2)</f>
        <v>Barley grain</v>
      </c>
      <c r="F95" s="19" t="str" cm="1">
        <f t="array" ref="F95">Common_InputFunctions.Utility_DisplayArrayInTable(Scope3_SourceData.Scope3_Feed_Data(), Table_SourceData_Scope3_Feed[[#Headers],[Category]], -1, 2)</f>
        <v>TAS</v>
      </c>
      <c r="G95" s="19" t="str" cm="1">
        <f t="array" ref="G95">Common_InputFunctions.Utility_DisplayArrayInTable(Scope3_SourceData.Scope3_Feed_Data(), Table_SourceData_Scope3_Feed[[#Headers],[Category]], -1, 2)</f>
        <v>kg</v>
      </c>
      <c r="H95" s="19" cm="1">
        <f t="array" ref="H95">Common_InputFunctions.Utility_DisplayArrayInTable(Scope3_SourceData.Scope3_Feed_Data(), Table_SourceData_Scope3_Feed[[#Headers],[Category]], -1, 2)</f>
        <v>0.307</v>
      </c>
      <c r="I95" s="19" t="str" cm="1">
        <f t="array" ref="I95">Common_InputFunctions.Utility_DisplayArrayInTable(Scope3_SourceData.Scope3_Feed_Data(), Table_SourceData_Scope3_Feed[[#Headers],[Category]], -1, 2)</f>
        <v>at market</v>
      </c>
      <c r="J95" s="19" t="s">
        <v>1166</v>
      </c>
      <c r="O95" s="19" t="str">
        <f>Table_SourceData_Scope3_Feed[[#This Row],[Product]]</f>
        <v>Barley grain</v>
      </c>
      <c r="P95" s="19" t="str">
        <f>Table_SourceData_Scope3_Feed[[#This Row],[Region of origin]]</f>
        <v>TAS</v>
      </c>
    </row>
    <row r="96" spans="1:17" ht="20.100000000000001" customHeight="1" x14ac:dyDescent="0.2">
      <c r="A96" s="79" t="str">
        <f>HYPERLINK("#A1", "▲ Back to top")</f>
        <v>▲ Back to top</v>
      </c>
      <c r="D96" s="19" t="str" cm="1">
        <f t="array" ref="D96">Common_InputFunctions.Utility_DisplayArrayInTable(Scope3_SourceData.Scope3_Feed_Data(), Table_SourceData_Scope3_Feed[[#Headers],[Category]], -1, 2)</f>
        <v>Grain</v>
      </c>
      <c r="E96" s="19" t="str" cm="1">
        <f t="array" ref="E96">Common_InputFunctions.Utility_DisplayArrayInTable(Scope3_SourceData.Scope3_Feed_Data(), Table_SourceData_Scope3_Feed[[#Headers],[Category]], -1, 2)</f>
        <v>Barley grain</v>
      </c>
      <c r="F96" s="19" t="str" cm="1">
        <f t="array" ref="F96">Common_InputFunctions.Utility_DisplayArrayInTable(Scope3_SourceData.Scope3_Feed_Data(), Table_SourceData_Scope3_Feed[[#Headers],[Category]], -1, 2)</f>
        <v>VIC</v>
      </c>
      <c r="G96" s="19" t="str" cm="1">
        <f t="array" ref="G96">Common_InputFunctions.Utility_DisplayArrayInTable(Scope3_SourceData.Scope3_Feed_Data(), Table_SourceData_Scope3_Feed[[#Headers],[Category]], -1, 2)</f>
        <v>kg</v>
      </c>
      <c r="H96" s="19" cm="1">
        <f t="array" ref="H96">Common_InputFunctions.Utility_DisplayArrayInTable(Scope3_SourceData.Scope3_Feed_Data(), Table_SourceData_Scope3_Feed[[#Headers],[Category]], -1, 2)</f>
        <v>0.24099999999999999</v>
      </c>
      <c r="I96" s="19" t="str" cm="1">
        <f t="array" ref="I96">Common_InputFunctions.Utility_DisplayArrayInTable(Scope3_SourceData.Scope3_Feed_Data(), Table_SourceData_Scope3_Feed[[#Headers],[Category]], -1, 2)</f>
        <v>at market</v>
      </c>
      <c r="J96" s="19" t="s">
        <v>1166</v>
      </c>
      <c r="O96" s="19" t="str">
        <f>Table_SourceData_Scope3_Feed[[#This Row],[Product]]</f>
        <v>Barley grain</v>
      </c>
      <c r="P96" s="19" t="str">
        <f>Table_SourceData_Scope3_Feed[[#This Row],[Region of origin]]</f>
        <v>VIC</v>
      </c>
    </row>
    <row r="97" spans="4:17" ht="20.100000000000001" customHeight="1" x14ac:dyDescent="0.2">
      <c r="D97" s="19" t="str" cm="1">
        <f t="array" ref="D97">Common_InputFunctions.Utility_DisplayArrayInTable(Scope3_SourceData.Scope3_Feed_Data(), Table_SourceData_Scope3_Feed[[#Headers],[Category]], -1, 2)</f>
        <v>Grain</v>
      </c>
      <c r="E97" s="19" t="str" cm="1">
        <f t="array" ref="E97">Common_InputFunctions.Utility_DisplayArrayInTable(Scope3_SourceData.Scope3_Feed_Data(), Table_SourceData_Scope3_Feed[[#Headers],[Category]], -1, 2)</f>
        <v>Barley grain</v>
      </c>
      <c r="F97" s="19" t="str" cm="1">
        <f t="array" ref="F97">Common_InputFunctions.Utility_DisplayArrayInTable(Scope3_SourceData.Scope3_Feed_Data(), Table_SourceData_Scope3_Feed[[#Headers],[Category]], -1, 2)</f>
        <v>WA</v>
      </c>
      <c r="G97" s="19" t="str" cm="1">
        <f t="array" ref="G97">Common_InputFunctions.Utility_DisplayArrayInTable(Scope3_SourceData.Scope3_Feed_Data(), Table_SourceData_Scope3_Feed[[#Headers],[Category]], -1, 2)</f>
        <v>kg</v>
      </c>
      <c r="H97" s="19" cm="1">
        <f t="array" ref="H97">Common_InputFunctions.Utility_DisplayArrayInTable(Scope3_SourceData.Scope3_Feed_Data(), Table_SourceData_Scope3_Feed[[#Headers],[Category]], -1, 2)</f>
        <v>0.23599999999999999</v>
      </c>
      <c r="I97" s="19" t="str" cm="1">
        <f t="array" ref="I97">Common_InputFunctions.Utility_DisplayArrayInTable(Scope3_SourceData.Scope3_Feed_Data(), Table_SourceData_Scope3_Feed[[#Headers],[Category]], -1, 2)</f>
        <v>at market</v>
      </c>
      <c r="J97" s="19" t="s">
        <v>1166</v>
      </c>
      <c r="L97" s="19" t="s">
        <v>132</v>
      </c>
      <c r="M97" s="19" t="s">
        <v>1164</v>
      </c>
      <c r="N97" s="1" t="str">
        <f>"Table_ProductRegions_" &amp; SUBSTITUTE(SUBSTITUTE(SUBSTITUTE(SUBSTITUTE(L98, " ", ""), ",", ""), "(", ""), ")", "")</f>
        <v>Table_ProductRegions_Maizegrain</v>
      </c>
      <c r="O97" s="19" t="str">
        <f>Table_SourceData_Scope3_Feed[[#This Row],[Product]]</f>
        <v>Barley grain</v>
      </c>
      <c r="P97" s="19" t="str">
        <f>Table_SourceData_Scope3_Feed[[#This Row],[Region of origin]]</f>
        <v>WA</v>
      </c>
    </row>
    <row r="98" spans="4:17" ht="20.100000000000001" customHeight="1" x14ac:dyDescent="0.2">
      <c r="D98" s="19" t="str" cm="1">
        <f t="array" ref="D98">Common_InputFunctions.Utility_DisplayArrayInTable(Scope3_SourceData.Scope3_Feed_Data(), Table_SourceData_Scope3_Feed[[#Headers],[Category]], -1, 2)</f>
        <v>Grain</v>
      </c>
      <c r="E98" s="19" t="str" cm="1">
        <f t="array" ref="E98">Common_InputFunctions.Utility_DisplayArrayInTable(Scope3_SourceData.Scope3_Feed_Data(), Table_SourceData_Scope3_Feed[[#Headers],[Category]], -1, 2)</f>
        <v>Maize grain</v>
      </c>
      <c r="F98" s="19" t="str" cm="1">
        <f t="array" ref="F98">Common_InputFunctions.Utility_DisplayArrayInTable(Scope3_SourceData.Scope3_Feed_Data(), Table_SourceData_Scope3_Feed[[#Headers],[Category]], -1, 2)</f>
        <v>Australia</v>
      </c>
      <c r="G98" s="19" t="str" cm="1">
        <f t="array" ref="G98">Common_InputFunctions.Utility_DisplayArrayInTable(Scope3_SourceData.Scope3_Feed_Data(), Table_SourceData_Scope3_Feed[[#Headers],[Category]], -1, 2)</f>
        <v>kg</v>
      </c>
      <c r="H98" s="19" cm="1">
        <f t="array" ref="H98">Common_InputFunctions.Utility_DisplayArrayInTable(Scope3_SourceData.Scope3_Feed_Data(), Table_SourceData_Scope3_Feed[[#Headers],[Category]], -1, 2)</f>
        <v>0.18099999999999999</v>
      </c>
      <c r="I98" s="19" t="str" cm="1">
        <f t="array" ref="I98">Common_InputFunctions.Utility_DisplayArrayInTable(Scope3_SourceData.Scope3_Feed_Data(), Table_SourceData_Scope3_Feed[[#Headers],[Category]], -1, 2)</f>
        <v>at market</v>
      </c>
      <c r="J98" s="19" t="s">
        <v>1166</v>
      </c>
      <c r="L98" s="19" t="str">
        <f>Table_SourceData_Scope3_Feed[[#This Row],[Product]]</f>
        <v>Maize grain</v>
      </c>
      <c r="M98" s="19" t="str">
        <f>Table_SourceData_Scope3_Feed[[#This Row],[Region of origin]]</f>
        <v>Australia</v>
      </c>
    </row>
    <row r="99" spans="4:17" ht="20.100000000000001" customHeight="1" x14ac:dyDescent="0.2">
      <c r="D99" s="19" t="str" cm="1">
        <f t="array" ref="D99">Common_InputFunctions.Utility_DisplayArrayInTable(Scope3_SourceData.Scope3_Feed_Data(), Table_SourceData_Scope3_Feed[[#Headers],[Category]], -1, 2)</f>
        <v>Grain</v>
      </c>
      <c r="E99" s="19" t="str" cm="1">
        <f t="array" ref="E99">Common_InputFunctions.Utility_DisplayArrayInTable(Scope3_SourceData.Scope3_Feed_Data(), Table_SourceData_Scope3_Feed[[#Headers],[Category]], -1, 2)</f>
        <v>Maize grain</v>
      </c>
      <c r="F99" s="19" t="str" cm="1">
        <f t="array" ref="F99">Common_InputFunctions.Utility_DisplayArrayInTable(Scope3_SourceData.Scope3_Feed_Data(), Table_SourceData_Scope3_Feed[[#Headers],[Category]], -1, 2)</f>
        <v>NSW</v>
      </c>
      <c r="G99" s="19" t="str" cm="1">
        <f t="array" ref="G99">Common_InputFunctions.Utility_DisplayArrayInTable(Scope3_SourceData.Scope3_Feed_Data(), Table_SourceData_Scope3_Feed[[#Headers],[Category]], -1, 2)</f>
        <v>kg</v>
      </c>
      <c r="H99" s="19" cm="1">
        <f t="array" ref="H99">Common_InputFunctions.Utility_DisplayArrayInTable(Scope3_SourceData.Scope3_Feed_Data(), Table_SourceData_Scope3_Feed[[#Headers],[Category]], -1, 2)</f>
        <v>0.16900000000000001</v>
      </c>
      <c r="I99" s="19" t="str" cm="1">
        <f t="array" ref="I99">Common_InputFunctions.Utility_DisplayArrayInTable(Scope3_SourceData.Scope3_Feed_Data(), Table_SourceData_Scope3_Feed[[#Headers],[Category]], -1, 2)</f>
        <v>at market</v>
      </c>
      <c r="J99" s="19" t="s">
        <v>1166</v>
      </c>
      <c r="L99" s="19" t="str">
        <f>Table_SourceData_Scope3_Feed[[#This Row],[Product]]</f>
        <v>Maize grain</v>
      </c>
      <c r="M99" s="19" t="str">
        <f>Table_SourceData_Scope3_Feed[[#This Row],[Region of origin]]</f>
        <v>NSW</v>
      </c>
    </row>
    <row r="100" spans="4:17" ht="20.100000000000001" customHeight="1" x14ac:dyDescent="0.2">
      <c r="D100" s="19" t="str" cm="1">
        <f t="array" ref="D100">Common_InputFunctions.Utility_DisplayArrayInTable(Scope3_SourceData.Scope3_Feed_Data(), Table_SourceData_Scope3_Feed[[#Headers],[Category]], -1, 2)</f>
        <v>Grain</v>
      </c>
      <c r="E100" s="19" t="str" cm="1">
        <f t="array" ref="E100">Common_InputFunctions.Utility_DisplayArrayInTable(Scope3_SourceData.Scope3_Feed_Data(), Table_SourceData_Scope3_Feed[[#Headers],[Category]], -1, 2)</f>
        <v>Maize grain</v>
      </c>
      <c r="F100" s="19" t="str" cm="1">
        <f t="array" ref="F100">Common_InputFunctions.Utility_DisplayArrayInTable(Scope3_SourceData.Scope3_Feed_Data(), Table_SourceData_Scope3_Feed[[#Headers],[Category]], -1, 2)</f>
        <v>NT</v>
      </c>
      <c r="G100" s="19" t="str" cm="1">
        <f t="array" ref="G100">Common_InputFunctions.Utility_DisplayArrayInTable(Scope3_SourceData.Scope3_Feed_Data(), Table_SourceData_Scope3_Feed[[#Headers],[Category]], -1, 2)</f>
        <v>kg</v>
      </c>
      <c r="H100" s="19" cm="1">
        <f t="array" ref="H100">Common_InputFunctions.Utility_DisplayArrayInTable(Scope3_SourceData.Scope3_Feed_Data(), Table_SourceData_Scope3_Feed[[#Headers],[Category]], -1, 2)</f>
        <v>0.25600000000000001</v>
      </c>
      <c r="I100" s="19" t="str" cm="1">
        <f t="array" ref="I100">Common_InputFunctions.Utility_DisplayArrayInTable(Scope3_SourceData.Scope3_Feed_Data(), Table_SourceData_Scope3_Feed[[#Headers],[Category]], -1, 2)</f>
        <v>at market</v>
      </c>
      <c r="J100" s="19" t="s">
        <v>1166</v>
      </c>
      <c r="L100" s="19" t="str">
        <f>Table_SourceData_Scope3_Feed[[#This Row],[Product]]</f>
        <v>Maize grain</v>
      </c>
      <c r="M100" s="19" t="str">
        <f>Table_SourceData_Scope3_Feed[[#This Row],[Region of origin]]</f>
        <v>NT</v>
      </c>
    </row>
    <row r="101" spans="4:17" ht="20.100000000000001" customHeight="1" x14ac:dyDescent="0.2">
      <c r="D101" s="19" t="str" cm="1">
        <f t="array" ref="D101">Common_InputFunctions.Utility_DisplayArrayInTable(Scope3_SourceData.Scope3_Feed_Data(), Table_SourceData_Scope3_Feed[[#Headers],[Category]], -1, 2)</f>
        <v>Grain</v>
      </c>
      <c r="E101" s="19" t="str" cm="1">
        <f t="array" ref="E101">Common_InputFunctions.Utility_DisplayArrayInTable(Scope3_SourceData.Scope3_Feed_Data(), Table_SourceData_Scope3_Feed[[#Headers],[Category]], -1, 2)</f>
        <v>Maize grain</v>
      </c>
      <c r="F101" s="19" t="str" cm="1">
        <f t="array" ref="F101">Common_InputFunctions.Utility_DisplayArrayInTable(Scope3_SourceData.Scope3_Feed_Data(), Table_SourceData_Scope3_Feed[[#Headers],[Category]], -1, 2)</f>
        <v>QLD</v>
      </c>
      <c r="G101" s="19" t="str" cm="1">
        <f t="array" ref="G101">Common_InputFunctions.Utility_DisplayArrayInTable(Scope3_SourceData.Scope3_Feed_Data(), Table_SourceData_Scope3_Feed[[#Headers],[Category]], -1, 2)</f>
        <v>kg</v>
      </c>
      <c r="H101" s="19" cm="1">
        <f t="array" ref="H101">Common_InputFunctions.Utility_DisplayArrayInTable(Scope3_SourceData.Scope3_Feed_Data(), Table_SourceData_Scope3_Feed[[#Headers],[Category]], -1, 2)</f>
        <v>0.186</v>
      </c>
      <c r="I101" s="19" t="str" cm="1">
        <f t="array" ref="I101">Common_InputFunctions.Utility_DisplayArrayInTable(Scope3_SourceData.Scope3_Feed_Data(), Table_SourceData_Scope3_Feed[[#Headers],[Category]], -1, 2)</f>
        <v>at market</v>
      </c>
      <c r="J101" s="19" t="s">
        <v>1166</v>
      </c>
      <c r="L101" s="19" t="str">
        <f>Table_SourceData_Scope3_Feed[[#This Row],[Product]]</f>
        <v>Maize grain</v>
      </c>
      <c r="M101" s="19" t="str">
        <f>Table_SourceData_Scope3_Feed[[#This Row],[Region of origin]]</f>
        <v>QLD</v>
      </c>
    </row>
    <row r="102" spans="4:17" ht="20.100000000000001" customHeight="1" x14ac:dyDescent="0.2">
      <c r="D102" s="19" t="str" cm="1">
        <f t="array" ref="D102">Common_InputFunctions.Utility_DisplayArrayInTable(Scope3_SourceData.Scope3_Feed_Data(), Table_SourceData_Scope3_Feed[[#Headers],[Category]], -1, 2)</f>
        <v>Grain</v>
      </c>
      <c r="E102" s="19" t="str" cm="1">
        <f t="array" ref="E102">Common_InputFunctions.Utility_DisplayArrayInTable(Scope3_SourceData.Scope3_Feed_Data(), Table_SourceData_Scope3_Feed[[#Headers],[Category]], -1, 2)</f>
        <v>Maize grain</v>
      </c>
      <c r="F102" s="19" t="str" cm="1">
        <f t="array" ref="F102">Common_InputFunctions.Utility_DisplayArrayInTable(Scope3_SourceData.Scope3_Feed_Data(), Table_SourceData_Scope3_Feed[[#Headers],[Category]], -1, 2)</f>
        <v>SA</v>
      </c>
      <c r="G102" s="19" t="str" cm="1">
        <f t="array" ref="G102">Common_InputFunctions.Utility_DisplayArrayInTable(Scope3_SourceData.Scope3_Feed_Data(), Table_SourceData_Scope3_Feed[[#Headers],[Category]], -1, 2)</f>
        <v>kg</v>
      </c>
      <c r="H102" s="19" cm="1">
        <f t="array" ref="H102">Common_InputFunctions.Utility_DisplayArrayInTable(Scope3_SourceData.Scope3_Feed_Data(), Table_SourceData_Scope3_Feed[[#Headers],[Category]], -1, 2)</f>
        <v>0.17599999999999999</v>
      </c>
      <c r="I102" s="19" t="str" cm="1">
        <f t="array" ref="I102">Common_InputFunctions.Utility_DisplayArrayInTable(Scope3_SourceData.Scope3_Feed_Data(), Table_SourceData_Scope3_Feed[[#Headers],[Category]], -1, 2)</f>
        <v>at market</v>
      </c>
      <c r="J102" s="19" t="s">
        <v>1166</v>
      </c>
      <c r="L102" s="19" t="str">
        <f>Table_SourceData_Scope3_Feed[[#This Row],[Product]]</f>
        <v>Maize grain</v>
      </c>
      <c r="M102" s="19" t="str">
        <f>Table_SourceData_Scope3_Feed[[#This Row],[Region of origin]]</f>
        <v>SA</v>
      </c>
    </row>
    <row r="103" spans="4:17" ht="20.100000000000001" customHeight="1" x14ac:dyDescent="0.2">
      <c r="D103" s="19" t="str" cm="1">
        <f t="array" ref="D103">Common_InputFunctions.Utility_DisplayArrayInTable(Scope3_SourceData.Scope3_Feed_Data(), Table_SourceData_Scope3_Feed[[#Headers],[Category]], -1, 2)</f>
        <v>Grain</v>
      </c>
      <c r="E103" s="19" t="str" cm="1">
        <f t="array" ref="E103">Common_InputFunctions.Utility_DisplayArrayInTable(Scope3_SourceData.Scope3_Feed_Data(), Table_SourceData_Scope3_Feed[[#Headers],[Category]], -1, 2)</f>
        <v>Maize grain</v>
      </c>
      <c r="F103" s="19" t="str" cm="1">
        <f t="array" ref="F103">Common_InputFunctions.Utility_DisplayArrayInTable(Scope3_SourceData.Scope3_Feed_Data(), Table_SourceData_Scope3_Feed[[#Headers],[Category]], -1, 2)</f>
        <v>VIC</v>
      </c>
      <c r="G103" s="19" t="str" cm="1">
        <f t="array" ref="G103">Common_InputFunctions.Utility_DisplayArrayInTable(Scope3_SourceData.Scope3_Feed_Data(), Table_SourceData_Scope3_Feed[[#Headers],[Category]], -1, 2)</f>
        <v>kg</v>
      </c>
      <c r="H103" s="19" cm="1">
        <f t="array" ref="H103">Common_InputFunctions.Utility_DisplayArrayInTable(Scope3_SourceData.Scope3_Feed_Data(), Table_SourceData_Scope3_Feed[[#Headers],[Category]], -1, 2)</f>
        <v>0.159</v>
      </c>
      <c r="I103" s="19" t="str" cm="1">
        <f t="array" ref="I103">Common_InputFunctions.Utility_DisplayArrayInTable(Scope3_SourceData.Scope3_Feed_Data(), Table_SourceData_Scope3_Feed[[#Headers],[Category]], -1, 2)</f>
        <v>at market</v>
      </c>
      <c r="J103" s="19" t="s">
        <v>1166</v>
      </c>
      <c r="L103" s="19" t="str">
        <f>Table_SourceData_Scope3_Feed[[#This Row],[Product]]</f>
        <v>Maize grain</v>
      </c>
      <c r="M103" s="19" t="str">
        <f>Table_SourceData_Scope3_Feed[[#This Row],[Region of origin]]</f>
        <v>VIC</v>
      </c>
    </row>
    <row r="104" spans="4:17" ht="20.100000000000001" customHeight="1" x14ac:dyDescent="0.2">
      <c r="D104" s="19" t="str" cm="1">
        <f t="array" ref="D104">Common_InputFunctions.Utility_DisplayArrayInTable(Scope3_SourceData.Scope3_Feed_Data(), Table_SourceData_Scope3_Feed[[#Headers],[Category]], -1, 2)</f>
        <v>Grain</v>
      </c>
      <c r="E104" s="19" t="str" cm="1">
        <f t="array" ref="E104">Common_InputFunctions.Utility_DisplayArrayInTable(Scope3_SourceData.Scope3_Feed_Data(), Table_SourceData_Scope3_Feed[[#Headers],[Category]], -1, 2)</f>
        <v>Maize grain</v>
      </c>
      <c r="F104" s="19" t="str" cm="1">
        <f t="array" ref="F104">Common_InputFunctions.Utility_DisplayArrayInTable(Scope3_SourceData.Scope3_Feed_Data(), Table_SourceData_Scope3_Feed[[#Headers],[Category]], -1, 2)</f>
        <v>WA</v>
      </c>
      <c r="G104" s="19" t="str" cm="1">
        <f t="array" ref="G104">Common_InputFunctions.Utility_DisplayArrayInTable(Scope3_SourceData.Scope3_Feed_Data(), Table_SourceData_Scope3_Feed[[#Headers],[Category]], -1, 2)</f>
        <v>kg</v>
      </c>
      <c r="H104" s="19" cm="1">
        <f t="array" ref="H104">Common_InputFunctions.Utility_DisplayArrayInTable(Scope3_SourceData.Scope3_Feed_Data(), Table_SourceData_Scope3_Feed[[#Headers],[Category]], -1, 2)</f>
        <v>0.28499999999999998</v>
      </c>
      <c r="I104" s="19" t="str" cm="1">
        <f t="array" ref="I104">Common_InputFunctions.Utility_DisplayArrayInTable(Scope3_SourceData.Scope3_Feed_Data(), Table_SourceData_Scope3_Feed[[#Headers],[Category]], -1, 2)</f>
        <v>at market</v>
      </c>
      <c r="J104" s="19" t="s">
        <v>1166</v>
      </c>
      <c r="L104" s="19" t="str">
        <f>Table_SourceData_Scope3_Feed[[#This Row],[Product]]</f>
        <v>Maize grain</v>
      </c>
      <c r="M104" s="19" t="str">
        <f>Table_SourceData_Scope3_Feed[[#This Row],[Region of origin]]</f>
        <v>WA</v>
      </c>
      <c r="O104" s="19" t="s">
        <v>132</v>
      </c>
      <c r="P104" s="19" t="s">
        <v>1164</v>
      </c>
      <c r="Q104" s="1" t="str">
        <f>"Table_ProductRegions_" &amp; SUBSTITUTE(SUBSTITUTE(SUBSTITUTE(SUBSTITUTE(O105, " ", ""), ",", ""), "(", ""), ")", "")</f>
        <v>Table_ProductRegions_Sorghumgrain</v>
      </c>
    </row>
    <row r="105" spans="4:17" ht="20.100000000000001" customHeight="1" x14ac:dyDescent="0.2">
      <c r="D105" s="19" t="str" cm="1">
        <f t="array" ref="D105">Common_InputFunctions.Utility_DisplayArrayInTable(Scope3_SourceData.Scope3_Feed_Data(), Table_SourceData_Scope3_Feed[[#Headers],[Category]], -1, 2)</f>
        <v>Grain</v>
      </c>
      <c r="E105" s="19" t="str" cm="1">
        <f t="array" ref="E105">Common_InputFunctions.Utility_DisplayArrayInTable(Scope3_SourceData.Scope3_Feed_Data(), Table_SourceData_Scope3_Feed[[#Headers],[Category]], -1, 2)</f>
        <v>Sorghum grain</v>
      </c>
      <c r="F105" s="19" t="str" cm="1">
        <f t="array" ref="F105">Common_InputFunctions.Utility_DisplayArrayInTable(Scope3_SourceData.Scope3_Feed_Data(), Table_SourceData_Scope3_Feed[[#Headers],[Category]], -1, 2)</f>
        <v>Australia</v>
      </c>
      <c r="G105" s="19" t="str" cm="1">
        <f t="array" ref="G105">Common_InputFunctions.Utility_DisplayArrayInTable(Scope3_SourceData.Scope3_Feed_Data(), Table_SourceData_Scope3_Feed[[#Headers],[Category]], -1, 2)</f>
        <v>kg</v>
      </c>
      <c r="H105" s="19" cm="1">
        <f t="array" ref="H105">Common_InputFunctions.Utility_DisplayArrayInTable(Scope3_SourceData.Scope3_Feed_Data(), Table_SourceData_Scope3_Feed[[#Headers],[Category]], -1, 2)</f>
        <v>0.23200000000000001</v>
      </c>
      <c r="I105" s="19" t="str" cm="1">
        <f t="array" ref="I105">Common_InputFunctions.Utility_DisplayArrayInTable(Scope3_SourceData.Scope3_Feed_Data(), Table_SourceData_Scope3_Feed[[#Headers],[Category]], -1, 2)</f>
        <v>at market</v>
      </c>
      <c r="J105" s="19" t="s">
        <v>1166</v>
      </c>
      <c r="O105" s="19" t="str">
        <f>Table_SourceData_Scope3_Feed[[#This Row],[Product]]</f>
        <v>Sorghum grain</v>
      </c>
      <c r="P105" s="19" t="str">
        <f>Table_SourceData_Scope3_Feed[[#This Row],[Region of origin]]</f>
        <v>Australia</v>
      </c>
    </row>
    <row r="106" spans="4:17" ht="20.100000000000001" customHeight="1" x14ac:dyDescent="0.2">
      <c r="D106" s="19" t="str" cm="1">
        <f t="array" ref="D106">Common_InputFunctions.Utility_DisplayArrayInTable(Scope3_SourceData.Scope3_Feed_Data(), Table_SourceData_Scope3_Feed[[#Headers],[Category]], -1, 2)</f>
        <v>Grain</v>
      </c>
      <c r="E106" s="19" t="str" cm="1">
        <f t="array" ref="E106">Common_InputFunctions.Utility_DisplayArrayInTable(Scope3_SourceData.Scope3_Feed_Data(), Table_SourceData_Scope3_Feed[[#Headers],[Category]], -1, 2)</f>
        <v>Sorghum grain</v>
      </c>
      <c r="F106" s="19" t="str" cm="1">
        <f t="array" ref="F106">Common_InputFunctions.Utility_DisplayArrayInTable(Scope3_SourceData.Scope3_Feed_Data(), Table_SourceData_Scope3_Feed[[#Headers],[Category]], -1, 2)</f>
        <v>NSW</v>
      </c>
      <c r="G106" s="19" t="str" cm="1">
        <f t="array" ref="G106">Common_InputFunctions.Utility_DisplayArrayInTable(Scope3_SourceData.Scope3_Feed_Data(), Table_SourceData_Scope3_Feed[[#Headers],[Category]], -1, 2)</f>
        <v>kg</v>
      </c>
      <c r="H106" s="19" cm="1">
        <f t="array" ref="H106">Common_InputFunctions.Utility_DisplayArrayInTable(Scope3_SourceData.Scope3_Feed_Data(), Table_SourceData_Scope3_Feed[[#Headers],[Category]], -1, 2)</f>
        <v>0.23200000000000001</v>
      </c>
      <c r="I106" s="19" t="str" cm="1">
        <f t="array" ref="I106">Common_InputFunctions.Utility_DisplayArrayInTable(Scope3_SourceData.Scope3_Feed_Data(), Table_SourceData_Scope3_Feed[[#Headers],[Category]], -1, 2)</f>
        <v>at market</v>
      </c>
      <c r="J106" s="19" t="s">
        <v>1166</v>
      </c>
      <c r="O106" s="19" t="str">
        <f>Table_SourceData_Scope3_Feed[[#This Row],[Product]]</f>
        <v>Sorghum grain</v>
      </c>
      <c r="P106" s="19" t="str">
        <f>Table_SourceData_Scope3_Feed[[#This Row],[Region of origin]]</f>
        <v>NSW</v>
      </c>
    </row>
    <row r="107" spans="4:17" ht="20.100000000000001" customHeight="1" x14ac:dyDescent="0.2">
      <c r="D107" s="19" t="str" cm="1">
        <f t="array" ref="D107">Common_InputFunctions.Utility_DisplayArrayInTable(Scope3_SourceData.Scope3_Feed_Data(), Table_SourceData_Scope3_Feed[[#Headers],[Category]], -1, 2)</f>
        <v>Grain</v>
      </c>
      <c r="E107" s="19" t="str" cm="1">
        <f t="array" ref="E107">Common_InputFunctions.Utility_DisplayArrayInTable(Scope3_SourceData.Scope3_Feed_Data(), Table_SourceData_Scope3_Feed[[#Headers],[Category]], -1, 2)</f>
        <v>Sorghum grain</v>
      </c>
      <c r="F107" s="19" t="str" cm="1">
        <f t="array" ref="F107">Common_InputFunctions.Utility_DisplayArrayInTable(Scope3_SourceData.Scope3_Feed_Data(), Table_SourceData_Scope3_Feed[[#Headers],[Category]], -1, 2)</f>
        <v>QLD</v>
      </c>
      <c r="G107" s="19" t="str" cm="1">
        <f t="array" ref="G107">Common_InputFunctions.Utility_DisplayArrayInTable(Scope3_SourceData.Scope3_Feed_Data(), Table_SourceData_Scope3_Feed[[#Headers],[Category]], -1, 2)</f>
        <v>kg</v>
      </c>
      <c r="H107" s="19" cm="1">
        <f t="array" ref="H107">Common_InputFunctions.Utility_DisplayArrayInTable(Scope3_SourceData.Scope3_Feed_Data(), Table_SourceData_Scope3_Feed[[#Headers],[Category]], -1, 2)</f>
        <v>0.23100000000000001</v>
      </c>
      <c r="I107" s="19" t="str" cm="1">
        <f t="array" ref="I107">Common_InputFunctions.Utility_DisplayArrayInTable(Scope3_SourceData.Scope3_Feed_Data(), Table_SourceData_Scope3_Feed[[#Headers],[Category]], -1, 2)</f>
        <v>at market</v>
      </c>
      <c r="J107" s="19" t="s">
        <v>1166</v>
      </c>
      <c r="O107" s="19" t="str">
        <f>Table_SourceData_Scope3_Feed[[#This Row],[Product]]</f>
        <v>Sorghum grain</v>
      </c>
      <c r="P107" s="19" t="str">
        <f>Table_SourceData_Scope3_Feed[[#This Row],[Region of origin]]</f>
        <v>QLD</v>
      </c>
    </row>
    <row r="108" spans="4:17" ht="20.100000000000001" customHeight="1" x14ac:dyDescent="0.2">
      <c r="D108" s="19" t="str" cm="1">
        <f t="array" ref="D108">Common_InputFunctions.Utility_DisplayArrayInTable(Scope3_SourceData.Scope3_Feed_Data(), Table_SourceData_Scope3_Feed[[#Headers],[Category]], -1, 2)</f>
        <v>Grain</v>
      </c>
      <c r="E108" s="19" t="str" cm="1">
        <f t="array" ref="E108">Common_InputFunctions.Utility_DisplayArrayInTable(Scope3_SourceData.Scope3_Feed_Data(), Table_SourceData_Scope3_Feed[[#Headers],[Category]], -1, 2)</f>
        <v>Sorghum grain</v>
      </c>
      <c r="F108" s="19" t="str" cm="1">
        <f t="array" ref="F108">Common_InputFunctions.Utility_DisplayArrayInTable(Scope3_SourceData.Scope3_Feed_Data(), Table_SourceData_Scope3_Feed[[#Headers],[Category]], -1, 2)</f>
        <v>SA</v>
      </c>
      <c r="G108" s="19" t="str" cm="1">
        <f t="array" ref="G108">Common_InputFunctions.Utility_DisplayArrayInTable(Scope3_SourceData.Scope3_Feed_Data(), Table_SourceData_Scope3_Feed[[#Headers],[Category]], -1, 2)</f>
        <v>kg</v>
      </c>
      <c r="H108" s="19" cm="1">
        <f t="array" ref="H108">Common_InputFunctions.Utility_DisplayArrayInTable(Scope3_SourceData.Scope3_Feed_Data(), Table_SourceData_Scope3_Feed[[#Headers],[Category]], -1, 2)</f>
        <v>0.218</v>
      </c>
      <c r="I108" s="19" t="str" cm="1">
        <f t="array" ref="I108">Common_InputFunctions.Utility_DisplayArrayInTable(Scope3_SourceData.Scope3_Feed_Data(), Table_SourceData_Scope3_Feed[[#Headers],[Category]], -1, 2)</f>
        <v>at market</v>
      </c>
      <c r="J108" s="19" t="s">
        <v>1166</v>
      </c>
      <c r="O108" s="19" t="str">
        <f>Table_SourceData_Scope3_Feed[[#This Row],[Product]]</f>
        <v>Sorghum grain</v>
      </c>
      <c r="P108" s="19" t="str">
        <f>Table_SourceData_Scope3_Feed[[#This Row],[Region of origin]]</f>
        <v>SA</v>
      </c>
    </row>
    <row r="109" spans="4:17" ht="20.100000000000001" customHeight="1" x14ac:dyDescent="0.2">
      <c r="D109" s="19" t="str" cm="1">
        <f t="array" ref="D109">Common_InputFunctions.Utility_DisplayArrayInTable(Scope3_SourceData.Scope3_Feed_Data(), Table_SourceData_Scope3_Feed[[#Headers],[Category]], -1, 2)</f>
        <v>Grain</v>
      </c>
      <c r="E109" s="19" t="str" cm="1">
        <f t="array" ref="E109">Common_InputFunctions.Utility_DisplayArrayInTable(Scope3_SourceData.Scope3_Feed_Data(), Table_SourceData_Scope3_Feed[[#Headers],[Category]], -1, 2)</f>
        <v>Sorghum grain</v>
      </c>
      <c r="F109" s="19" t="str" cm="1">
        <f t="array" ref="F109">Common_InputFunctions.Utility_DisplayArrayInTable(Scope3_SourceData.Scope3_Feed_Data(), Table_SourceData_Scope3_Feed[[#Headers],[Category]], -1, 2)</f>
        <v>VIC</v>
      </c>
      <c r="G109" s="19" t="str" cm="1">
        <f t="array" ref="G109">Common_InputFunctions.Utility_DisplayArrayInTable(Scope3_SourceData.Scope3_Feed_Data(), Table_SourceData_Scope3_Feed[[#Headers],[Category]], -1, 2)</f>
        <v>kg</v>
      </c>
      <c r="H109" s="19" cm="1">
        <f t="array" ref="H109">Common_InputFunctions.Utility_DisplayArrayInTable(Scope3_SourceData.Scope3_Feed_Data(), Table_SourceData_Scope3_Feed[[#Headers],[Category]], -1, 2)</f>
        <v>0.246</v>
      </c>
      <c r="I109" s="19" t="str" cm="1">
        <f t="array" ref="I109">Common_InputFunctions.Utility_DisplayArrayInTable(Scope3_SourceData.Scope3_Feed_Data(), Table_SourceData_Scope3_Feed[[#Headers],[Category]], -1, 2)</f>
        <v>at market</v>
      </c>
      <c r="J109" s="19" t="s">
        <v>1166</v>
      </c>
      <c r="L109" s="19" t="s">
        <v>132</v>
      </c>
      <c r="M109" s="19" t="s">
        <v>1164</v>
      </c>
      <c r="N109" s="1" t="str">
        <f>"Table_ProductRegions_" &amp; SUBSTITUTE(SUBSTITUTE(SUBSTITUTE(SUBSTITUTE(L110, " ", ""), ",", ""), "(", ""), ")", "")</f>
        <v>Table_ProductRegions_Wheatgrain</v>
      </c>
      <c r="O109" s="19" t="str">
        <f>Table_SourceData_Scope3_Feed[[#This Row],[Product]]</f>
        <v>Sorghum grain</v>
      </c>
      <c r="P109" s="19" t="str">
        <f>Table_SourceData_Scope3_Feed[[#This Row],[Region of origin]]</f>
        <v>VIC</v>
      </c>
    </row>
    <row r="110" spans="4:17" ht="20.100000000000001" customHeight="1" x14ac:dyDescent="0.2">
      <c r="D110" s="19" t="str" cm="1">
        <f t="array" ref="D110">Common_InputFunctions.Utility_DisplayArrayInTable(Scope3_SourceData.Scope3_Feed_Data(), Table_SourceData_Scope3_Feed[[#Headers],[Category]], -1, 2)</f>
        <v>Grain</v>
      </c>
      <c r="E110" s="19" t="str" cm="1">
        <f t="array" ref="E110">Common_InputFunctions.Utility_DisplayArrayInTable(Scope3_SourceData.Scope3_Feed_Data(), Table_SourceData_Scope3_Feed[[#Headers],[Category]], -1, 2)</f>
        <v>Wheat grain</v>
      </c>
      <c r="F110" s="19" t="str" cm="1">
        <f t="array" ref="F110">Common_InputFunctions.Utility_DisplayArrayInTable(Scope3_SourceData.Scope3_Feed_Data(), Table_SourceData_Scope3_Feed[[#Headers],[Category]], -1, 2)</f>
        <v>Australia</v>
      </c>
      <c r="G110" s="19" t="str" cm="1">
        <f t="array" ref="G110">Common_InputFunctions.Utility_DisplayArrayInTable(Scope3_SourceData.Scope3_Feed_Data(), Table_SourceData_Scope3_Feed[[#Headers],[Category]], -1, 2)</f>
        <v>kg</v>
      </c>
      <c r="H110" s="19" cm="1">
        <f t="array" ref="H110">Common_InputFunctions.Utility_DisplayArrayInTable(Scope3_SourceData.Scope3_Feed_Data(), Table_SourceData_Scope3_Feed[[#Headers],[Category]], -1, 2)</f>
        <v>0.26800000000000002</v>
      </c>
      <c r="I110" s="19" t="str" cm="1">
        <f t="array" ref="I110">Common_InputFunctions.Utility_DisplayArrayInTable(Scope3_SourceData.Scope3_Feed_Data(), Table_SourceData_Scope3_Feed[[#Headers],[Category]], -1, 2)</f>
        <v>at market</v>
      </c>
      <c r="J110" s="19" t="s">
        <v>1166</v>
      </c>
      <c r="L110" s="19" t="str">
        <f>Table_SourceData_Scope3_Feed[[#This Row],[Product]]</f>
        <v>Wheat grain</v>
      </c>
      <c r="M110" s="19" t="str">
        <f>Table_SourceData_Scope3_Feed[[#This Row],[Region of origin]]</f>
        <v>Australia</v>
      </c>
    </row>
    <row r="111" spans="4:17" ht="20.100000000000001" customHeight="1" x14ac:dyDescent="0.2">
      <c r="D111" s="19" t="str" cm="1">
        <f t="array" ref="D111">Common_InputFunctions.Utility_DisplayArrayInTable(Scope3_SourceData.Scope3_Feed_Data(), Table_SourceData_Scope3_Feed[[#Headers],[Category]], -1, 2)</f>
        <v>Grain</v>
      </c>
      <c r="E111" s="19" t="str" cm="1">
        <f t="array" ref="E111">Common_InputFunctions.Utility_DisplayArrayInTable(Scope3_SourceData.Scope3_Feed_Data(), Table_SourceData_Scope3_Feed[[#Headers],[Category]], -1, 2)</f>
        <v>Wheat grain</v>
      </c>
      <c r="F111" s="19" t="str" cm="1">
        <f t="array" ref="F111">Common_InputFunctions.Utility_DisplayArrayInTable(Scope3_SourceData.Scope3_Feed_Data(), Table_SourceData_Scope3_Feed[[#Headers],[Category]], -1, 2)</f>
        <v>NSW</v>
      </c>
      <c r="G111" s="19" t="str" cm="1">
        <f t="array" ref="G111">Common_InputFunctions.Utility_DisplayArrayInTable(Scope3_SourceData.Scope3_Feed_Data(), Table_SourceData_Scope3_Feed[[#Headers],[Category]], -1, 2)</f>
        <v>kg</v>
      </c>
      <c r="H111" s="19" cm="1">
        <f t="array" ref="H111">Common_InputFunctions.Utility_DisplayArrayInTable(Scope3_SourceData.Scope3_Feed_Data(), Table_SourceData_Scope3_Feed[[#Headers],[Category]], -1, 2)</f>
        <v>0.28199999999999997</v>
      </c>
      <c r="I111" s="19" t="str" cm="1">
        <f t="array" ref="I111">Common_InputFunctions.Utility_DisplayArrayInTable(Scope3_SourceData.Scope3_Feed_Data(), Table_SourceData_Scope3_Feed[[#Headers],[Category]], -1, 2)</f>
        <v>at market</v>
      </c>
      <c r="J111" s="19" t="s">
        <v>1166</v>
      </c>
      <c r="L111" s="19" t="str">
        <f>Table_SourceData_Scope3_Feed[[#This Row],[Product]]</f>
        <v>Wheat grain</v>
      </c>
      <c r="M111" s="19" t="str">
        <f>Table_SourceData_Scope3_Feed[[#This Row],[Region of origin]]</f>
        <v>NSW</v>
      </c>
    </row>
    <row r="112" spans="4:17" ht="20.100000000000001" customHeight="1" x14ac:dyDescent="0.2">
      <c r="D112" s="19" t="str" cm="1">
        <f t="array" ref="D112">Common_InputFunctions.Utility_DisplayArrayInTable(Scope3_SourceData.Scope3_Feed_Data(), Table_SourceData_Scope3_Feed[[#Headers],[Category]], -1, 2)</f>
        <v>Grain</v>
      </c>
      <c r="E112" s="19" t="str" cm="1">
        <f t="array" ref="E112">Common_InputFunctions.Utility_DisplayArrayInTable(Scope3_SourceData.Scope3_Feed_Data(), Table_SourceData_Scope3_Feed[[#Headers],[Category]], -1, 2)</f>
        <v>Wheat grain</v>
      </c>
      <c r="F112" s="19" t="str" cm="1">
        <f t="array" ref="F112">Common_InputFunctions.Utility_DisplayArrayInTable(Scope3_SourceData.Scope3_Feed_Data(), Table_SourceData_Scope3_Feed[[#Headers],[Category]], -1, 2)</f>
        <v>NT</v>
      </c>
      <c r="G112" s="19" t="str" cm="1">
        <f t="array" ref="G112">Common_InputFunctions.Utility_DisplayArrayInTable(Scope3_SourceData.Scope3_Feed_Data(), Table_SourceData_Scope3_Feed[[#Headers],[Category]], -1, 2)</f>
        <v>kg</v>
      </c>
      <c r="H112" s="19" cm="1">
        <f t="array" ref="H112">Common_InputFunctions.Utility_DisplayArrayInTable(Scope3_SourceData.Scope3_Feed_Data(), Table_SourceData_Scope3_Feed[[#Headers],[Category]], -1, 2)</f>
        <v>0.38500000000000001</v>
      </c>
      <c r="I112" s="19" t="str" cm="1">
        <f t="array" ref="I112">Common_InputFunctions.Utility_DisplayArrayInTable(Scope3_SourceData.Scope3_Feed_Data(), Table_SourceData_Scope3_Feed[[#Headers],[Category]], -1, 2)</f>
        <v>at market</v>
      </c>
      <c r="J112" s="19" t="s">
        <v>1166</v>
      </c>
      <c r="L112" s="19" t="str">
        <f>Table_SourceData_Scope3_Feed[[#This Row],[Product]]</f>
        <v>Wheat grain</v>
      </c>
      <c r="M112" s="19" t="str">
        <f>Table_SourceData_Scope3_Feed[[#This Row],[Region of origin]]</f>
        <v>NT</v>
      </c>
    </row>
    <row r="113" spans="1:17" ht="20.100000000000001" customHeight="1" x14ac:dyDescent="0.2">
      <c r="D113" s="19" t="str" cm="1">
        <f t="array" ref="D113">Common_InputFunctions.Utility_DisplayArrayInTable(Scope3_SourceData.Scope3_Feed_Data(), Table_SourceData_Scope3_Feed[[#Headers],[Category]], -1, 2)</f>
        <v>Grain</v>
      </c>
      <c r="E113" s="19" t="str" cm="1">
        <f t="array" ref="E113">Common_InputFunctions.Utility_DisplayArrayInTable(Scope3_SourceData.Scope3_Feed_Data(), Table_SourceData_Scope3_Feed[[#Headers],[Category]], -1, 2)</f>
        <v>Wheat grain</v>
      </c>
      <c r="F113" s="19" t="str" cm="1">
        <f t="array" ref="F113">Common_InputFunctions.Utility_DisplayArrayInTable(Scope3_SourceData.Scope3_Feed_Data(), Table_SourceData_Scope3_Feed[[#Headers],[Category]], -1, 2)</f>
        <v>QLD</v>
      </c>
      <c r="G113" s="19" t="str" cm="1">
        <f t="array" ref="G113">Common_InputFunctions.Utility_DisplayArrayInTable(Scope3_SourceData.Scope3_Feed_Data(), Table_SourceData_Scope3_Feed[[#Headers],[Category]], -1, 2)</f>
        <v>kg</v>
      </c>
      <c r="H113" s="19" cm="1">
        <f t="array" ref="H113">Common_InputFunctions.Utility_DisplayArrayInTable(Scope3_SourceData.Scope3_Feed_Data(), Table_SourceData_Scope3_Feed[[#Headers],[Category]], -1, 2)</f>
        <v>0.29599999999999999</v>
      </c>
      <c r="I113" s="19" t="str" cm="1">
        <f t="array" ref="I113">Common_InputFunctions.Utility_DisplayArrayInTable(Scope3_SourceData.Scope3_Feed_Data(), Table_SourceData_Scope3_Feed[[#Headers],[Category]], -1, 2)</f>
        <v>at market</v>
      </c>
      <c r="J113" s="19" t="s">
        <v>1166</v>
      </c>
      <c r="L113" s="19" t="str">
        <f>Table_SourceData_Scope3_Feed[[#This Row],[Product]]</f>
        <v>Wheat grain</v>
      </c>
      <c r="M113" s="19" t="str">
        <f>Table_SourceData_Scope3_Feed[[#This Row],[Region of origin]]</f>
        <v>QLD</v>
      </c>
    </row>
    <row r="114" spans="1:17" ht="20.100000000000001" customHeight="1" x14ac:dyDescent="0.2">
      <c r="D114" s="19" t="str" cm="1">
        <f t="array" ref="D114">Common_InputFunctions.Utility_DisplayArrayInTable(Scope3_SourceData.Scope3_Feed_Data(), Table_SourceData_Scope3_Feed[[#Headers],[Category]], -1, 2)</f>
        <v>Grain</v>
      </c>
      <c r="E114" s="19" t="str" cm="1">
        <f t="array" ref="E114">Common_InputFunctions.Utility_DisplayArrayInTable(Scope3_SourceData.Scope3_Feed_Data(), Table_SourceData_Scope3_Feed[[#Headers],[Category]], -1, 2)</f>
        <v>Wheat grain</v>
      </c>
      <c r="F114" s="19" t="str" cm="1">
        <f t="array" ref="F114">Common_InputFunctions.Utility_DisplayArrayInTable(Scope3_SourceData.Scope3_Feed_Data(), Table_SourceData_Scope3_Feed[[#Headers],[Category]], -1, 2)</f>
        <v>SA</v>
      </c>
      <c r="G114" s="19" t="str" cm="1">
        <f t="array" ref="G114">Common_InputFunctions.Utility_DisplayArrayInTable(Scope3_SourceData.Scope3_Feed_Data(), Table_SourceData_Scope3_Feed[[#Headers],[Category]], -1, 2)</f>
        <v>kg</v>
      </c>
      <c r="H114" s="19" cm="1">
        <f t="array" ref="H114">Common_InputFunctions.Utility_DisplayArrayInTable(Scope3_SourceData.Scope3_Feed_Data(), Table_SourceData_Scope3_Feed[[#Headers],[Category]], -1, 2)</f>
        <v>0.24099999999999999</v>
      </c>
      <c r="I114" s="19" t="str" cm="1">
        <f t="array" ref="I114">Common_InputFunctions.Utility_DisplayArrayInTable(Scope3_SourceData.Scope3_Feed_Data(), Table_SourceData_Scope3_Feed[[#Headers],[Category]], -1, 2)</f>
        <v>at market</v>
      </c>
      <c r="J114" s="19" t="s">
        <v>1166</v>
      </c>
      <c r="L114" s="19" t="str">
        <f>Table_SourceData_Scope3_Feed[[#This Row],[Product]]</f>
        <v>Wheat grain</v>
      </c>
      <c r="M114" s="19" t="str">
        <f>Table_SourceData_Scope3_Feed[[#This Row],[Region of origin]]</f>
        <v>SA</v>
      </c>
    </row>
    <row r="115" spans="1:17" ht="20.100000000000001" customHeight="1" x14ac:dyDescent="0.2">
      <c r="D115" s="19" t="str" cm="1">
        <f t="array" ref="D115">Common_InputFunctions.Utility_DisplayArrayInTable(Scope3_SourceData.Scope3_Feed_Data(), Table_SourceData_Scope3_Feed[[#Headers],[Category]], -1, 2)</f>
        <v>Grain</v>
      </c>
      <c r="E115" s="19" t="str" cm="1">
        <f t="array" ref="E115">Common_InputFunctions.Utility_DisplayArrayInTable(Scope3_SourceData.Scope3_Feed_Data(), Table_SourceData_Scope3_Feed[[#Headers],[Category]], -1, 2)</f>
        <v>Wheat grain</v>
      </c>
      <c r="F115" s="19" t="str" cm="1">
        <f t="array" ref="F115">Common_InputFunctions.Utility_DisplayArrayInTable(Scope3_SourceData.Scope3_Feed_Data(), Table_SourceData_Scope3_Feed[[#Headers],[Category]], -1, 2)</f>
        <v>TAS</v>
      </c>
      <c r="G115" s="19" t="str" cm="1">
        <f t="array" ref="G115">Common_InputFunctions.Utility_DisplayArrayInTable(Scope3_SourceData.Scope3_Feed_Data(), Table_SourceData_Scope3_Feed[[#Headers],[Category]], -1, 2)</f>
        <v>kg</v>
      </c>
      <c r="H115" s="19" cm="1">
        <f t="array" ref="H115">Common_InputFunctions.Utility_DisplayArrayInTable(Scope3_SourceData.Scope3_Feed_Data(), Table_SourceData_Scope3_Feed[[#Headers],[Category]], -1, 2)</f>
        <v>0.33800000000000002</v>
      </c>
      <c r="I115" s="19" t="str" cm="1">
        <f t="array" ref="I115">Common_InputFunctions.Utility_DisplayArrayInTable(Scope3_SourceData.Scope3_Feed_Data(), Table_SourceData_Scope3_Feed[[#Headers],[Category]], -1, 2)</f>
        <v>at market</v>
      </c>
      <c r="J115" s="19" t="s">
        <v>1166</v>
      </c>
      <c r="L115" s="19" t="str">
        <f>Table_SourceData_Scope3_Feed[[#This Row],[Product]]</f>
        <v>Wheat grain</v>
      </c>
      <c r="M115" s="19" t="str">
        <f>Table_SourceData_Scope3_Feed[[#This Row],[Region of origin]]</f>
        <v>TAS</v>
      </c>
    </row>
    <row r="116" spans="1:17" ht="20.100000000000001" customHeight="1" x14ac:dyDescent="0.2">
      <c r="D116" s="19" t="str" cm="1">
        <f t="array" ref="D116">Common_InputFunctions.Utility_DisplayArrayInTable(Scope3_SourceData.Scope3_Feed_Data(), Table_SourceData_Scope3_Feed[[#Headers],[Category]], -1, 2)</f>
        <v>Grain</v>
      </c>
      <c r="E116" s="19" t="str" cm="1">
        <f t="array" ref="E116">Common_InputFunctions.Utility_DisplayArrayInTable(Scope3_SourceData.Scope3_Feed_Data(), Table_SourceData_Scope3_Feed[[#Headers],[Category]], -1, 2)</f>
        <v>Wheat grain</v>
      </c>
      <c r="F116" s="19" t="str" cm="1">
        <f t="array" ref="F116">Common_InputFunctions.Utility_DisplayArrayInTable(Scope3_SourceData.Scope3_Feed_Data(), Table_SourceData_Scope3_Feed[[#Headers],[Category]], -1, 2)</f>
        <v>VIC</v>
      </c>
      <c r="G116" s="19" t="str" cm="1">
        <f t="array" ref="G116">Common_InputFunctions.Utility_DisplayArrayInTable(Scope3_SourceData.Scope3_Feed_Data(), Table_SourceData_Scope3_Feed[[#Headers],[Category]], -1, 2)</f>
        <v>kg</v>
      </c>
      <c r="H116" s="19" cm="1">
        <f t="array" ref="H116">Common_InputFunctions.Utility_DisplayArrayInTable(Scope3_SourceData.Scope3_Feed_Data(), Table_SourceData_Scope3_Feed[[#Headers],[Category]], -1, 2)</f>
        <v>0.26600000000000001</v>
      </c>
      <c r="I116" s="19" t="str" cm="1">
        <f t="array" ref="I116">Common_InputFunctions.Utility_DisplayArrayInTable(Scope3_SourceData.Scope3_Feed_Data(), Table_SourceData_Scope3_Feed[[#Headers],[Category]], -1, 2)</f>
        <v>at market</v>
      </c>
      <c r="J116" s="19" t="s">
        <v>1166</v>
      </c>
      <c r="L116" s="19" t="str">
        <f>Table_SourceData_Scope3_Feed[[#This Row],[Product]]</f>
        <v>Wheat grain</v>
      </c>
      <c r="M116" s="19" t="str">
        <f>Table_SourceData_Scope3_Feed[[#This Row],[Region of origin]]</f>
        <v>VIC</v>
      </c>
    </row>
    <row r="117" spans="1:17" ht="20.100000000000001" customHeight="1" x14ac:dyDescent="0.2">
      <c r="D117" s="19" t="str" cm="1">
        <f t="array" ref="D117">Common_InputFunctions.Utility_DisplayArrayInTable(Scope3_SourceData.Scope3_Feed_Data(), Table_SourceData_Scope3_Feed[[#Headers],[Category]], -1, 2)</f>
        <v>Grain</v>
      </c>
      <c r="E117" s="19" t="str" cm="1">
        <f t="array" ref="E117">Common_InputFunctions.Utility_DisplayArrayInTable(Scope3_SourceData.Scope3_Feed_Data(), Table_SourceData_Scope3_Feed[[#Headers],[Category]], -1, 2)</f>
        <v>Wheat grain</v>
      </c>
      <c r="F117" s="19" t="str" cm="1">
        <f t="array" ref="F117">Common_InputFunctions.Utility_DisplayArrayInTable(Scope3_SourceData.Scope3_Feed_Data(), Table_SourceData_Scope3_Feed[[#Headers],[Category]], -1, 2)</f>
        <v>WA</v>
      </c>
      <c r="G117" s="19" t="str" cm="1">
        <f t="array" ref="G117">Common_InputFunctions.Utility_DisplayArrayInTable(Scope3_SourceData.Scope3_Feed_Data(), Table_SourceData_Scope3_Feed[[#Headers],[Category]], -1, 2)</f>
        <v>kg</v>
      </c>
      <c r="H117" s="19" cm="1">
        <f t="array" ref="H117">Common_InputFunctions.Utility_DisplayArrayInTable(Scope3_SourceData.Scope3_Feed_Data(), Table_SourceData_Scope3_Feed[[#Headers],[Category]], -1, 2)</f>
        <v>0.26100000000000001</v>
      </c>
      <c r="I117" s="19" t="str" cm="1">
        <f t="array" ref="I117">Common_InputFunctions.Utility_DisplayArrayInTable(Scope3_SourceData.Scope3_Feed_Data(), Table_SourceData_Scope3_Feed[[#Headers],[Category]], -1, 2)</f>
        <v>at market</v>
      </c>
      <c r="J117" s="19" t="s">
        <v>1166</v>
      </c>
      <c r="L117" s="19" t="str">
        <f>Table_SourceData_Scope3_Feed[[#This Row],[Product]]</f>
        <v>Wheat grain</v>
      </c>
      <c r="M117" s="19" t="str">
        <f>Table_SourceData_Scope3_Feed[[#This Row],[Region of origin]]</f>
        <v>WA</v>
      </c>
      <c r="O117" s="19" t="s">
        <v>132</v>
      </c>
      <c r="P117" s="19" t="s">
        <v>1164</v>
      </c>
      <c r="Q117" s="1" t="str">
        <f>"Table_ProductRegions_" &amp; SUBSTITUTE(SUBSTITUTE(SUBSTITUTE(SUBSTITUTE(O118, " ", ""), ",", ""), "(", ""), ")", "")</f>
        <v>Table_ProductRegions_Cerealhay</v>
      </c>
    </row>
    <row r="118" spans="1:17" ht="20.100000000000001" customHeight="1" x14ac:dyDescent="0.2">
      <c r="D118" s="19" t="str" cm="1">
        <f t="array" ref="D118">Common_InputFunctions.Utility_DisplayArrayInTable(Scope3_SourceData.Scope3_Feed_Data(), Table_SourceData_Scope3_Feed[[#Headers],[Category]], -1, 2)</f>
        <v>Hay</v>
      </c>
      <c r="E118" s="19" t="str" cm="1">
        <f t="array" ref="E118">Common_InputFunctions.Utility_DisplayArrayInTable(Scope3_SourceData.Scope3_Feed_Data(), Table_SourceData_Scope3_Feed[[#Headers],[Category]], -1, 2)</f>
        <v>Cereal hay</v>
      </c>
      <c r="F118" s="19" t="str" cm="1">
        <f t="array" ref="F118">Common_InputFunctions.Utility_DisplayArrayInTable(Scope3_SourceData.Scope3_Feed_Data(), Table_SourceData_Scope3_Feed[[#Headers],[Category]], -1, 2)</f>
        <v>Australia</v>
      </c>
      <c r="G118" s="19" t="str" cm="1">
        <f t="array" ref="G118">Common_InputFunctions.Utility_DisplayArrayInTable(Scope3_SourceData.Scope3_Feed_Data(), Table_SourceData_Scope3_Feed[[#Headers],[Category]], -1, 2)</f>
        <v>kg</v>
      </c>
      <c r="H118" s="19" cm="1">
        <f t="array" ref="H118">Common_InputFunctions.Utility_DisplayArrayInTable(Scope3_SourceData.Scope3_Feed_Data(), Table_SourceData_Scope3_Feed[[#Headers],[Category]], -1, 2)</f>
        <v>0.11700000000000001</v>
      </c>
      <c r="I118" s="19" t="str" cm="1">
        <f t="array" ref="I118">Common_InputFunctions.Utility_DisplayArrayInTable(Scope3_SourceData.Scope3_Feed_Data(), Table_SourceData_Scope3_Feed[[#Headers],[Category]], -1, 2)</f>
        <v>at market</v>
      </c>
      <c r="J118" s="19" t="s">
        <v>1166</v>
      </c>
      <c r="O118" s="19" t="str">
        <f>Table_SourceData_Scope3_Feed[[#This Row],[Product]]</f>
        <v>Cereal hay</v>
      </c>
      <c r="P118" s="19" t="str">
        <f>Table_SourceData_Scope3_Feed[[#This Row],[Region of origin]]</f>
        <v>Australia</v>
      </c>
    </row>
    <row r="119" spans="1:17" ht="20.100000000000001" customHeight="1" x14ac:dyDescent="0.2">
      <c r="D119" s="19" t="str" cm="1">
        <f t="array" ref="D119">Common_InputFunctions.Utility_DisplayArrayInTable(Scope3_SourceData.Scope3_Feed_Data(), Table_SourceData_Scope3_Feed[[#Headers],[Category]], -1, 2)</f>
        <v>Hay</v>
      </c>
      <c r="E119" s="19" t="str" cm="1">
        <f t="array" ref="E119">Common_InputFunctions.Utility_DisplayArrayInTable(Scope3_SourceData.Scope3_Feed_Data(), Table_SourceData_Scope3_Feed[[#Headers],[Category]], -1, 2)</f>
        <v>Cereal hay</v>
      </c>
      <c r="F119" s="19" t="str" cm="1">
        <f t="array" ref="F119">Common_InputFunctions.Utility_DisplayArrayInTable(Scope3_SourceData.Scope3_Feed_Data(), Table_SourceData_Scope3_Feed[[#Headers],[Category]], -1, 2)</f>
        <v>NSW</v>
      </c>
      <c r="G119" s="19" t="str" cm="1">
        <f t="array" ref="G119">Common_InputFunctions.Utility_DisplayArrayInTable(Scope3_SourceData.Scope3_Feed_Data(), Table_SourceData_Scope3_Feed[[#Headers],[Category]], -1, 2)</f>
        <v>kg</v>
      </c>
      <c r="H119" s="19" cm="1">
        <f t="array" ref="H119">Common_InputFunctions.Utility_DisplayArrayInTable(Scope3_SourceData.Scope3_Feed_Data(), Table_SourceData_Scope3_Feed[[#Headers],[Category]], -1, 2)</f>
        <v>0.11600000000000001</v>
      </c>
      <c r="I119" s="19" t="str" cm="1">
        <f t="array" ref="I119">Common_InputFunctions.Utility_DisplayArrayInTable(Scope3_SourceData.Scope3_Feed_Data(), Table_SourceData_Scope3_Feed[[#Headers],[Category]], -1, 2)</f>
        <v>at market</v>
      </c>
      <c r="J119" s="19" t="s">
        <v>1166</v>
      </c>
      <c r="O119" s="19" t="str">
        <f>Table_SourceData_Scope3_Feed[[#This Row],[Product]]</f>
        <v>Cereal hay</v>
      </c>
      <c r="P119" s="19" t="str">
        <f>Table_SourceData_Scope3_Feed[[#This Row],[Region of origin]]</f>
        <v>NSW</v>
      </c>
    </row>
    <row r="120" spans="1:17" ht="20.100000000000001" customHeight="1" x14ac:dyDescent="0.2">
      <c r="D120" s="19" t="str" cm="1">
        <f t="array" ref="D120">Common_InputFunctions.Utility_DisplayArrayInTable(Scope3_SourceData.Scope3_Feed_Data(), Table_SourceData_Scope3_Feed[[#Headers],[Category]], -1, 2)</f>
        <v>Hay</v>
      </c>
      <c r="E120" s="19" t="str" cm="1">
        <f t="array" ref="E120">Common_InputFunctions.Utility_DisplayArrayInTable(Scope3_SourceData.Scope3_Feed_Data(), Table_SourceData_Scope3_Feed[[#Headers],[Category]], -1, 2)</f>
        <v>Cereal hay</v>
      </c>
      <c r="F120" s="19" t="str" cm="1">
        <f t="array" ref="F120">Common_InputFunctions.Utility_DisplayArrayInTable(Scope3_SourceData.Scope3_Feed_Data(), Table_SourceData_Scope3_Feed[[#Headers],[Category]], -1, 2)</f>
        <v>QLD</v>
      </c>
      <c r="G120" s="19" t="str" cm="1">
        <f t="array" ref="G120">Common_InputFunctions.Utility_DisplayArrayInTable(Scope3_SourceData.Scope3_Feed_Data(), Table_SourceData_Scope3_Feed[[#Headers],[Category]], -1, 2)</f>
        <v>kg</v>
      </c>
      <c r="H120" s="19" cm="1">
        <f t="array" ref="H120">Common_InputFunctions.Utility_DisplayArrayInTable(Scope3_SourceData.Scope3_Feed_Data(), Table_SourceData_Scope3_Feed[[#Headers],[Category]], -1, 2)</f>
        <v>0.11799999999999999</v>
      </c>
      <c r="I120" s="19" t="str" cm="1">
        <f t="array" ref="I120">Common_InputFunctions.Utility_DisplayArrayInTable(Scope3_SourceData.Scope3_Feed_Data(), Table_SourceData_Scope3_Feed[[#Headers],[Category]], -1, 2)</f>
        <v>at market</v>
      </c>
      <c r="J120" s="19" t="s">
        <v>1166</v>
      </c>
      <c r="O120" s="19" t="str">
        <f>Table_SourceData_Scope3_Feed[[#This Row],[Product]]</f>
        <v>Cereal hay</v>
      </c>
      <c r="P120" s="19" t="str">
        <f>Table_SourceData_Scope3_Feed[[#This Row],[Region of origin]]</f>
        <v>QLD</v>
      </c>
    </row>
    <row r="121" spans="1:17" ht="20.100000000000001" customHeight="1" x14ac:dyDescent="0.2">
      <c r="D121" s="19" t="str" cm="1">
        <f t="array" ref="D121">Common_InputFunctions.Utility_DisplayArrayInTable(Scope3_SourceData.Scope3_Feed_Data(), Table_SourceData_Scope3_Feed[[#Headers],[Category]], -1, 2)</f>
        <v>Hay</v>
      </c>
      <c r="E121" s="19" t="str" cm="1">
        <f t="array" ref="E121">Common_InputFunctions.Utility_DisplayArrayInTable(Scope3_SourceData.Scope3_Feed_Data(), Table_SourceData_Scope3_Feed[[#Headers],[Category]], -1, 2)</f>
        <v>Cereal hay</v>
      </c>
      <c r="F121" s="19" t="str" cm="1">
        <f t="array" ref="F121">Common_InputFunctions.Utility_DisplayArrayInTable(Scope3_SourceData.Scope3_Feed_Data(), Table_SourceData_Scope3_Feed[[#Headers],[Category]], -1, 2)</f>
        <v>SA</v>
      </c>
      <c r="G121" s="19" t="str" cm="1">
        <f t="array" ref="G121">Common_InputFunctions.Utility_DisplayArrayInTable(Scope3_SourceData.Scope3_Feed_Data(), Table_SourceData_Scope3_Feed[[#Headers],[Category]], -1, 2)</f>
        <v>kg</v>
      </c>
      <c r="H121" s="19" cm="1">
        <f t="array" ref="H121">Common_InputFunctions.Utility_DisplayArrayInTable(Scope3_SourceData.Scope3_Feed_Data(), Table_SourceData_Scope3_Feed[[#Headers],[Category]], -1, 2)</f>
        <v>0.111</v>
      </c>
      <c r="I121" s="19" t="str" cm="1">
        <f t="array" ref="I121">Common_InputFunctions.Utility_DisplayArrayInTable(Scope3_SourceData.Scope3_Feed_Data(), Table_SourceData_Scope3_Feed[[#Headers],[Category]], -1, 2)</f>
        <v>at market</v>
      </c>
      <c r="J121" s="19" t="s">
        <v>1166</v>
      </c>
      <c r="O121" s="19" t="str">
        <f>Table_SourceData_Scope3_Feed[[#This Row],[Product]]</f>
        <v>Cereal hay</v>
      </c>
      <c r="P121" s="19" t="str">
        <f>Table_SourceData_Scope3_Feed[[#This Row],[Region of origin]]</f>
        <v>SA</v>
      </c>
    </row>
    <row r="122" spans="1:17" ht="20.100000000000001" customHeight="1" x14ac:dyDescent="0.2">
      <c r="D122" s="19" t="str" cm="1">
        <f t="array" ref="D122">Common_InputFunctions.Utility_DisplayArrayInTable(Scope3_SourceData.Scope3_Feed_Data(), Table_SourceData_Scope3_Feed[[#Headers],[Category]], -1, 2)</f>
        <v>Hay</v>
      </c>
      <c r="E122" s="19" t="str" cm="1">
        <f t="array" ref="E122">Common_InputFunctions.Utility_DisplayArrayInTable(Scope3_SourceData.Scope3_Feed_Data(), Table_SourceData_Scope3_Feed[[#Headers],[Category]], -1, 2)</f>
        <v>Cereal hay</v>
      </c>
      <c r="F122" s="19" t="str" cm="1">
        <f t="array" ref="F122">Common_InputFunctions.Utility_DisplayArrayInTable(Scope3_SourceData.Scope3_Feed_Data(), Table_SourceData_Scope3_Feed[[#Headers],[Category]], -1, 2)</f>
        <v>TAS</v>
      </c>
      <c r="G122" s="19" t="str" cm="1">
        <f t="array" ref="G122">Common_InputFunctions.Utility_DisplayArrayInTable(Scope3_SourceData.Scope3_Feed_Data(), Table_SourceData_Scope3_Feed[[#Headers],[Category]], -1, 2)</f>
        <v>kg</v>
      </c>
      <c r="H122" s="19" cm="1">
        <f t="array" ref="H122">Common_InputFunctions.Utility_DisplayArrayInTable(Scope3_SourceData.Scope3_Feed_Data(), Table_SourceData_Scope3_Feed[[#Headers],[Category]], -1, 2)</f>
        <v>0.13900000000000001</v>
      </c>
      <c r="I122" s="19" t="str" cm="1">
        <f t="array" ref="I122">Common_InputFunctions.Utility_DisplayArrayInTable(Scope3_SourceData.Scope3_Feed_Data(), Table_SourceData_Scope3_Feed[[#Headers],[Category]], -1, 2)</f>
        <v>at market</v>
      </c>
      <c r="J122" s="19" t="s">
        <v>1166</v>
      </c>
      <c r="O122" s="19" t="str">
        <f>Table_SourceData_Scope3_Feed[[#This Row],[Product]]</f>
        <v>Cereal hay</v>
      </c>
      <c r="P122" s="19" t="str">
        <f>Table_SourceData_Scope3_Feed[[#This Row],[Region of origin]]</f>
        <v>TAS</v>
      </c>
    </row>
    <row r="123" spans="1:17" ht="20.100000000000001" customHeight="1" x14ac:dyDescent="0.2">
      <c r="D123" s="19" t="str" cm="1">
        <f t="array" ref="D123">Common_InputFunctions.Utility_DisplayArrayInTable(Scope3_SourceData.Scope3_Feed_Data(), Table_SourceData_Scope3_Feed[[#Headers],[Category]], -1, 2)</f>
        <v>Hay</v>
      </c>
      <c r="E123" s="19" t="str" cm="1">
        <f t="array" ref="E123">Common_InputFunctions.Utility_DisplayArrayInTable(Scope3_SourceData.Scope3_Feed_Data(), Table_SourceData_Scope3_Feed[[#Headers],[Category]], -1, 2)</f>
        <v>Cereal hay</v>
      </c>
      <c r="F123" s="19" t="str" cm="1">
        <f t="array" ref="F123">Common_InputFunctions.Utility_DisplayArrayInTable(Scope3_SourceData.Scope3_Feed_Data(), Table_SourceData_Scope3_Feed[[#Headers],[Category]], -1, 2)</f>
        <v>VIC</v>
      </c>
      <c r="G123" s="19" t="str" cm="1">
        <f t="array" ref="G123">Common_InputFunctions.Utility_DisplayArrayInTable(Scope3_SourceData.Scope3_Feed_Data(), Table_SourceData_Scope3_Feed[[#Headers],[Category]], -1, 2)</f>
        <v>kg</v>
      </c>
      <c r="H123" s="19" cm="1">
        <f t="array" ref="H123">Common_InputFunctions.Utility_DisplayArrayInTable(Scope3_SourceData.Scope3_Feed_Data(), Table_SourceData_Scope3_Feed[[#Headers],[Category]], -1, 2)</f>
        <v>0.11600000000000001</v>
      </c>
      <c r="I123" s="19" t="str" cm="1">
        <f t="array" ref="I123">Common_InputFunctions.Utility_DisplayArrayInTable(Scope3_SourceData.Scope3_Feed_Data(), Table_SourceData_Scope3_Feed[[#Headers],[Category]], -1, 2)</f>
        <v>at market</v>
      </c>
      <c r="J123" s="19" t="s">
        <v>1166</v>
      </c>
      <c r="O123" s="19" t="str">
        <f>Table_SourceData_Scope3_Feed[[#This Row],[Product]]</f>
        <v>Cereal hay</v>
      </c>
      <c r="P123" s="19" t="str">
        <f>Table_SourceData_Scope3_Feed[[#This Row],[Region of origin]]</f>
        <v>VIC</v>
      </c>
    </row>
    <row r="124" spans="1:17" ht="20.100000000000001" customHeight="1" x14ac:dyDescent="0.2">
      <c r="D124" s="19" t="str" cm="1">
        <f t="array" ref="D124">Common_InputFunctions.Utility_DisplayArrayInTable(Scope3_SourceData.Scope3_Feed_Data(), Table_SourceData_Scope3_Feed[[#Headers],[Category]], -1, 2)</f>
        <v>Hay</v>
      </c>
      <c r="E124" s="19" t="str" cm="1">
        <f t="array" ref="E124">Common_InputFunctions.Utility_DisplayArrayInTable(Scope3_SourceData.Scope3_Feed_Data(), Table_SourceData_Scope3_Feed[[#Headers],[Category]], -1, 2)</f>
        <v>Cereal hay</v>
      </c>
      <c r="F124" s="19" t="str" cm="1">
        <f t="array" ref="F124">Common_InputFunctions.Utility_DisplayArrayInTable(Scope3_SourceData.Scope3_Feed_Data(), Table_SourceData_Scope3_Feed[[#Headers],[Category]], -1, 2)</f>
        <v>WA</v>
      </c>
      <c r="G124" s="19" t="str" cm="1">
        <f t="array" ref="G124">Common_InputFunctions.Utility_DisplayArrayInTable(Scope3_SourceData.Scope3_Feed_Data(), Table_SourceData_Scope3_Feed[[#Headers],[Category]], -1, 2)</f>
        <v>kg</v>
      </c>
      <c r="H124" s="19" cm="1">
        <f t="array" ref="H124">Common_InputFunctions.Utility_DisplayArrayInTable(Scope3_SourceData.Scope3_Feed_Data(), Table_SourceData_Scope3_Feed[[#Headers],[Category]], -1, 2)</f>
        <v>0.122</v>
      </c>
      <c r="I124" s="19" t="str" cm="1">
        <f t="array" ref="I124">Common_InputFunctions.Utility_DisplayArrayInTable(Scope3_SourceData.Scope3_Feed_Data(), Table_SourceData_Scope3_Feed[[#Headers],[Category]], -1, 2)</f>
        <v>at market</v>
      </c>
      <c r="J124" s="19" t="s">
        <v>1166</v>
      </c>
      <c r="L124" s="19" t="s">
        <v>132</v>
      </c>
      <c r="M124" s="19" t="s">
        <v>1164</v>
      </c>
      <c r="N124" s="1" t="str">
        <f>"Table_ProductRegions_" &amp; SUBSTITUTE(SUBSTITUTE(SUBSTITUTE(SUBSTITUTE(L125, " ", ""), ",", ""), "(", ""), ")", "")</f>
        <v>Table_ProductRegions_Cerealsilage</v>
      </c>
      <c r="O124" s="19" t="str">
        <f>Table_SourceData_Scope3_Feed[[#This Row],[Product]]</f>
        <v>Cereal hay</v>
      </c>
      <c r="P124" s="19" t="str">
        <f>Table_SourceData_Scope3_Feed[[#This Row],[Region of origin]]</f>
        <v>WA</v>
      </c>
    </row>
    <row r="125" spans="1:17" ht="20.100000000000001" customHeight="1" x14ac:dyDescent="0.2">
      <c r="D125" s="19" t="str" cm="1">
        <f t="array" ref="D125">Common_InputFunctions.Utility_DisplayArrayInTable(Scope3_SourceData.Scope3_Feed_Data(), Table_SourceData_Scope3_Feed[[#Headers],[Category]], -1, 2)</f>
        <v>Hay</v>
      </c>
      <c r="E125" s="19" t="str" cm="1">
        <f t="array" ref="E125">Common_InputFunctions.Utility_DisplayArrayInTable(Scope3_SourceData.Scope3_Feed_Data(), Table_SourceData_Scope3_Feed[[#Headers],[Category]], -1, 2)</f>
        <v>Cereal silage</v>
      </c>
      <c r="F125" s="19" t="str" cm="1">
        <f t="array" ref="F125">Common_InputFunctions.Utility_DisplayArrayInTable(Scope3_SourceData.Scope3_Feed_Data(), Table_SourceData_Scope3_Feed[[#Headers],[Category]], -1, 2)</f>
        <v>Australia</v>
      </c>
      <c r="G125" s="19" t="str" cm="1">
        <f t="array" ref="G125">Common_InputFunctions.Utility_DisplayArrayInTable(Scope3_SourceData.Scope3_Feed_Data(), Table_SourceData_Scope3_Feed[[#Headers],[Category]], -1, 2)</f>
        <v>kg</v>
      </c>
      <c r="H125" s="19" cm="1">
        <f t="array" ref="H125">Common_InputFunctions.Utility_DisplayArrayInTable(Scope3_SourceData.Scope3_Feed_Data(), Table_SourceData_Scope3_Feed[[#Headers],[Category]], -1, 2)</f>
        <v>7.4399999999999994E-2</v>
      </c>
      <c r="I125" s="19" t="str" cm="1">
        <f t="array" ref="I125">Common_InputFunctions.Utility_DisplayArrayInTable(Scope3_SourceData.Scope3_Feed_Data(), Table_SourceData_Scope3_Feed[[#Headers],[Category]], -1, 2)</f>
        <v>at market</v>
      </c>
      <c r="J125" s="19" t="s">
        <v>1166</v>
      </c>
      <c r="L125" s="19" t="str">
        <f>Table_SourceData_Scope3_Feed[[#This Row],[Product]]</f>
        <v>Cereal silage</v>
      </c>
      <c r="M125" s="19" t="str">
        <f>Table_SourceData_Scope3_Feed[[#This Row],[Region of origin]]</f>
        <v>Australia</v>
      </c>
    </row>
    <row r="126" spans="1:17" ht="20.100000000000001" customHeight="1" x14ac:dyDescent="0.2">
      <c r="A126" s="79" t="str">
        <f>HYPERLINK("#A1", "▲ Back to top")</f>
        <v>▲ Back to top</v>
      </c>
      <c r="D126" s="19" t="str" cm="1">
        <f t="array" ref="D126">Common_InputFunctions.Utility_DisplayArrayInTable(Scope3_SourceData.Scope3_Feed_Data(), Table_SourceData_Scope3_Feed[[#Headers],[Category]], -1, 2)</f>
        <v>Hay</v>
      </c>
      <c r="E126" s="19" t="str" cm="1">
        <f t="array" ref="E126">Common_InputFunctions.Utility_DisplayArrayInTable(Scope3_SourceData.Scope3_Feed_Data(), Table_SourceData_Scope3_Feed[[#Headers],[Category]], -1, 2)</f>
        <v>Cereal silage</v>
      </c>
      <c r="F126" s="19" t="str" cm="1">
        <f t="array" ref="F126">Common_InputFunctions.Utility_DisplayArrayInTable(Scope3_SourceData.Scope3_Feed_Data(), Table_SourceData_Scope3_Feed[[#Headers],[Category]], -1, 2)</f>
        <v>NSW</v>
      </c>
      <c r="G126" s="19" t="str" cm="1">
        <f t="array" ref="G126">Common_InputFunctions.Utility_DisplayArrayInTable(Scope3_SourceData.Scope3_Feed_Data(), Table_SourceData_Scope3_Feed[[#Headers],[Category]], -1, 2)</f>
        <v>kg</v>
      </c>
      <c r="H126" s="19" cm="1">
        <f t="array" ref="H126">Common_InputFunctions.Utility_DisplayArrayInTable(Scope3_SourceData.Scope3_Feed_Data(), Table_SourceData_Scope3_Feed[[#Headers],[Category]], -1, 2)</f>
        <v>7.3899999999999993E-2</v>
      </c>
      <c r="I126" s="19" t="str" cm="1">
        <f t="array" ref="I126">Common_InputFunctions.Utility_DisplayArrayInTable(Scope3_SourceData.Scope3_Feed_Data(), Table_SourceData_Scope3_Feed[[#Headers],[Category]], -1, 2)</f>
        <v>at market</v>
      </c>
      <c r="J126" s="19" t="s">
        <v>1166</v>
      </c>
      <c r="L126" s="19" t="str">
        <f>Table_SourceData_Scope3_Feed[[#This Row],[Product]]</f>
        <v>Cereal silage</v>
      </c>
      <c r="M126" s="19" t="str">
        <f>Table_SourceData_Scope3_Feed[[#This Row],[Region of origin]]</f>
        <v>NSW</v>
      </c>
    </row>
    <row r="127" spans="1:17" ht="20.100000000000001" customHeight="1" x14ac:dyDescent="0.2">
      <c r="D127" s="19" t="str" cm="1">
        <f t="array" ref="D127">Common_InputFunctions.Utility_DisplayArrayInTable(Scope3_SourceData.Scope3_Feed_Data(), Table_SourceData_Scope3_Feed[[#Headers],[Category]], -1, 2)</f>
        <v>Hay</v>
      </c>
      <c r="E127" s="19" t="str" cm="1">
        <f t="array" ref="E127">Common_InputFunctions.Utility_DisplayArrayInTable(Scope3_SourceData.Scope3_Feed_Data(), Table_SourceData_Scope3_Feed[[#Headers],[Category]], -1, 2)</f>
        <v>Cereal silage</v>
      </c>
      <c r="F127" s="19" t="str" cm="1">
        <f t="array" ref="F127">Common_InputFunctions.Utility_DisplayArrayInTable(Scope3_SourceData.Scope3_Feed_Data(), Table_SourceData_Scope3_Feed[[#Headers],[Category]], -1, 2)</f>
        <v>QLD</v>
      </c>
      <c r="G127" s="19" t="str" cm="1">
        <f t="array" ref="G127">Common_InputFunctions.Utility_DisplayArrayInTable(Scope3_SourceData.Scope3_Feed_Data(), Table_SourceData_Scope3_Feed[[#Headers],[Category]], -1, 2)</f>
        <v>kg</v>
      </c>
      <c r="H127" s="19" cm="1">
        <f t="array" ref="H127">Common_InputFunctions.Utility_DisplayArrayInTable(Scope3_SourceData.Scope3_Feed_Data(), Table_SourceData_Scope3_Feed[[#Headers],[Category]], -1, 2)</f>
        <v>7.9000000000000001E-2</v>
      </c>
      <c r="I127" s="19" t="str" cm="1">
        <f t="array" ref="I127">Common_InputFunctions.Utility_DisplayArrayInTable(Scope3_SourceData.Scope3_Feed_Data(), Table_SourceData_Scope3_Feed[[#Headers],[Category]], -1, 2)</f>
        <v>at market</v>
      </c>
      <c r="J127" s="19" t="s">
        <v>1166</v>
      </c>
      <c r="L127" s="19" t="str">
        <f>Table_SourceData_Scope3_Feed[[#This Row],[Product]]</f>
        <v>Cereal silage</v>
      </c>
      <c r="M127" s="19" t="str">
        <f>Table_SourceData_Scope3_Feed[[#This Row],[Region of origin]]</f>
        <v>QLD</v>
      </c>
    </row>
    <row r="128" spans="1:17" ht="20.100000000000001" customHeight="1" x14ac:dyDescent="0.2">
      <c r="D128" s="19" t="str" cm="1">
        <f t="array" ref="D128">Common_InputFunctions.Utility_DisplayArrayInTable(Scope3_SourceData.Scope3_Feed_Data(), Table_SourceData_Scope3_Feed[[#Headers],[Category]], -1, 2)</f>
        <v>Hay</v>
      </c>
      <c r="E128" s="19" t="str" cm="1">
        <f t="array" ref="E128">Common_InputFunctions.Utility_DisplayArrayInTable(Scope3_SourceData.Scope3_Feed_Data(), Table_SourceData_Scope3_Feed[[#Headers],[Category]], -1, 2)</f>
        <v>Cereal silage</v>
      </c>
      <c r="F128" s="19" t="str" cm="1">
        <f t="array" ref="F128">Common_InputFunctions.Utility_DisplayArrayInTable(Scope3_SourceData.Scope3_Feed_Data(), Table_SourceData_Scope3_Feed[[#Headers],[Category]], -1, 2)</f>
        <v>SA</v>
      </c>
      <c r="G128" s="19" t="str" cm="1">
        <f t="array" ref="G128">Common_InputFunctions.Utility_DisplayArrayInTable(Scope3_SourceData.Scope3_Feed_Data(), Table_SourceData_Scope3_Feed[[#Headers],[Category]], -1, 2)</f>
        <v>kg</v>
      </c>
      <c r="H128" s="19" cm="1">
        <f t="array" ref="H128">Common_InputFunctions.Utility_DisplayArrayInTable(Scope3_SourceData.Scope3_Feed_Data(), Table_SourceData_Scope3_Feed[[#Headers],[Category]], -1, 2)</f>
        <v>7.0599999999999996E-2</v>
      </c>
      <c r="I128" s="19" t="str" cm="1">
        <f t="array" ref="I128">Common_InputFunctions.Utility_DisplayArrayInTable(Scope3_SourceData.Scope3_Feed_Data(), Table_SourceData_Scope3_Feed[[#Headers],[Category]], -1, 2)</f>
        <v>at market</v>
      </c>
      <c r="J128" s="19" t="s">
        <v>1166</v>
      </c>
      <c r="L128" s="19" t="str">
        <f>Table_SourceData_Scope3_Feed[[#This Row],[Product]]</f>
        <v>Cereal silage</v>
      </c>
      <c r="M128" s="19" t="str">
        <f>Table_SourceData_Scope3_Feed[[#This Row],[Region of origin]]</f>
        <v>SA</v>
      </c>
    </row>
    <row r="129" spans="4:17" ht="20.100000000000001" customHeight="1" x14ac:dyDescent="0.2">
      <c r="D129" s="19" t="str" cm="1">
        <f t="array" ref="D129">Common_InputFunctions.Utility_DisplayArrayInTable(Scope3_SourceData.Scope3_Feed_Data(), Table_SourceData_Scope3_Feed[[#Headers],[Category]], -1, 2)</f>
        <v>Hay</v>
      </c>
      <c r="E129" s="19" t="str" cm="1">
        <f t="array" ref="E129">Common_InputFunctions.Utility_DisplayArrayInTable(Scope3_SourceData.Scope3_Feed_Data(), Table_SourceData_Scope3_Feed[[#Headers],[Category]], -1, 2)</f>
        <v>Cereal silage</v>
      </c>
      <c r="F129" s="19" t="str" cm="1">
        <f t="array" ref="F129">Common_InputFunctions.Utility_DisplayArrayInTable(Scope3_SourceData.Scope3_Feed_Data(), Table_SourceData_Scope3_Feed[[#Headers],[Category]], -1, 2)</f>
        <v>TAS</v>
      </c>
      <c r="G129" s="19" t="str" cm="1">
        <f t="array" ref="G129">Common_InputFunctions.Utility_DisplayArrayInTable(Scope3_SourceData.Scope3_Feed_Data(), Table_SourceData_Scope3_Feed[[#Headers],[Category]], -1, 2)</f>
        <v>kg</v>
      </c>
      <c r="H129" s="19" cm="1">
        <f t="array" ref="H129">Common_InputFunctions.Utility_DisplayArrayInTable(Scope3_SourceData.Scope3_Feed_Data(), Table_SourceData_Scope3_Feed[[#Headers],[Category]], -1, 2)</f>
        <v>8.0799999999999997E-2</v>
      </c>
      <c r="I129" s="19" t="str" cm="1">
        <f t="array" ref="I129">Common_InputFunctions.Utility_DisplayArrayInTable(Scope3_SourceData.Scope3_Feed_Data(), Table_SourceData_Scope3_Feed[[#Headers],[Category]], -1, 2)</f>
        <v>at market</v>
      </c>
      <c r="J129" s="19" t="s">
        <v>1166</v>
      </c>
      <c r="L129" s="19" t="str">
        <f>Table_SourceData_Scope3_Feed[[#This Row],[Product]]</f>
        <v>Cereal silage</v>
      </c>
      <c r="M129" s="19" t="str">
        <f>Table_SourceData_Scope3_Feed[[#This Row],[Region of origin]]</f>
        <v>TAS</v>
      </c>
    </row>
    <row r="130" spans="4:17" ht="20.100000000000001" customHeight="1" x14ac:dyDescent="0.2">
      <c r="D130" s="19" t="str" cm="1">
        <f t="array" ref="D130">Common_InputFunctions.Utility_DisplayArrayInTable(Scope3_SourceData.Scope3_Feed_Data(), Table_SourceData_Scope3_Feed[[#Headers],[Category]], -1, 2)</f>
        <v>Hay</v>
      </c>
      <c r="E130" s="19" t="str" cm="1">
        <f t="array" ref="E130">Common_InputFunctions.Utility_DisplayArrayInTable(Scope3_SourceData.Scope3_Feed_Data(), Table_SourceData_Scope3_Feed[[#Headers],[Category]], -1, 2)</f>
        <v>Cereal silage</v>
      </c>
      <c r="F130" s="19" t="str" cm="1">
        <f t="array" ref="F130">Common_InputFunctions.Utility_DisplayArrayInTable(Scope3_SourceData.Scope3_Feed_Data(), Table_SourceData_Scope3_Feed[[#Headers],[Category]], -1, 2)</f>
        <v>VIC</v>
      </c>
      <c r="G130" s="19" t="str" cm="1">
        <f t="array" ref="G130">Common_InputFunctions.Utility_DisplayArrayInTable(Scope3_SourceData.Scope3_Feed_Data(), Table_SourceData_Scope3_Feed[[#Headers],[Category]], -1, 2)</f>
        <v>kg</v>
      </c>
      <c r="H130" s="19" cm="1">
        <f t="array" ref="H130">Common_InputFunctions.Utility_DisplayArrayInTable(Scope3_SourceData.Scope3_Feed_Data(), Table_SourceData_Scope3_Feed[[#Headers],[Category]], -1, 2)</f>
        <v>7.3599999999999999E-2</v>
      </c>
      <c r="I130" s="19" t="str" cm="1">
        <f t="array" ref="I130">Common_InputFunctions.Utility_DisplayArrayInTable(Scope3_SourceData.Scope3_Feed_Data(), Table_SourceData_Scope3_Feed[[#Headers],[Category]], -1, 2)</f>
        <v>at market</v>
      </c>
      <c r="J130" s="19" t="s">
        <v>1166</v>
      </c>
      <c r="L130" s="19" t="str">
        <f>Table_SourceData_Scope3_Feed[[#This Row],[Product]]</f>
        <v>Cereal silage</v>
      </c>
      <c r="M130" s="19" t="str">
        <f>Table_SourceData_Scope3_Feed[[#This Row],[Region of origin]]</f>
        <v>VIC</v>
      </c>
      <c r="O130" s="19" t="s">
        <v>132</v>
      </c>
      <c r="P130" s="19" t="s">
        <v>1164</v>
      </c>
      <c r="Q130" s="1" t="str">
        <f>"Table_ProductRegions_" &amp; SUBSTITUTE(SUBSTITUTE(SUBSTITUTE(SUBSTITUTE(O131, " ", ""), ",", ""), "(", ""), ")", "")</f>
        <v>Table_ProductRegions_Lucernehay</v>
      </c>
    </row>
    <row r="131" spans="4:17" ht="20.100000000000001" customHeight="1" x14ac:dyDescent="0.2">
      <c r="D131" s="19" t="str" cm="1">
        <f t="array" ref="D131">Common_InputFunctions.Utility_DisplayArrayInTable(Scope3_SourceData.Scope3_Feed_Data(), Table_SourceData_Scope3_Feed[[#Headers],[Category]], -1, 2)</f>
        <v>Hay</v>
      </c>
      <c r="E131" s="19" t="str" cm="1">
        <f t="array" ref="E131">Common_InputFunctions.Utility_DisplayArrayInTable(Scope3_SourceData.Scope3_Feed_Data(), Table_SourceData_Scope3_Feed[[#Headers],[Category]], -1, 2)</f>
        <v>Lucerne hay</v>
      </c>
      <c r="F131" s="19" t="str" cm="1">
        <f t="array" ref="F131">Common_InputFunctions.Utility_DisplayArrayInTable(Scope3_SourceData.Scope3_Feed_Data(), Table_SourceData_Scope3_Feed[[#Headers],[Category]], -1, 2)</f>
        <v>Australia</v>
      </c>
      <c r="G131" s="19" t="str" cm="1">
        <f t="array" ref="G131">Common_InputFunctions.Utility_DisplayArrayInTable(Scope3_SourceData.Scope3_Feed_Data(), Table_SourceData_Scope3_Feed[[#Headers],[Category]], -1, 2)</f>
        <v>kg</v>
      </c>
      <c r="H131" s="19" cm="1">
        <f t="array" ref="H131">Common_InputFunctions.Utility_DisplayArrayInTable(Scope3_SourceData.Scope3_Feed_Data(), Table_SourceData_Scope3_Feed[[#Headers],[Category]], -1, 2)</f>
        <v>0.11700000000000001</v>
      </c>
      <c r="I131" s="19" t="str" cm="1">
        <f t="array" ref="I131">Common_InputFunctions.Utility_DisplayArrayInTable(Scope3_SourceData.Scope3_Feed_Data(), Table_SourceData_Scope3_Feed[[#Headers],[Category]], -1, 2)</f>
        <v>at market</v>
      </c>
      <c r="J131" s="19" t="s">
        <v>1166</v>
      </c>
      <c r="O131" s="19" t="str">
        <f>Table_SourceData_Scope3_Feed[[#This Row],[Product]]</f>
        <v>Lucerne hay</v>
      </c>
      <c r="P131" s="19" t="str">
        <f>Table_SourceData_Scope3_Feed[[#This Row],[Region of origin]]</f>
        <v>Australia</v>
      </c>
    </row>
    <row r="132" spans="4:17" ht="20.100000000000001" customHeight="1" x14ac:dyDescent="0.2">
      <c r="D132" s="19" t="str" cm="1">
        <f t="array" ref="D132">Common_InputFunctions.Utility_DisplayArrayInTable(Scope3_SourceData.Scope3_Feed_Data(), Table_SourceData_Scope3_Feed[[#Headers],[Category]], -1, 2)</f>
        <v>Hay</v>
      </c>
      <c r="E132" s="19" t="str" cm="1">
        <f t="array" ref="E132">Common_InputFunctions.Utility_DisplayArrayInTable(Scope3_SourceData.Scope3_Feed_Data(), Table_SourceData_Scope3_Feed[[#Headers],[Category]], -1, 2)</f>
        <v>Lucerne hay</v>
      </c>
      <c r="F132" s="19" t="str" cm="1">
        <f t="array" ref="F132">Common_InputFunctions.Utility_DisplayArrayInTable(Scope3_SourceData.Scope3_Feed_Data(), Table_SourceData_Scope3_Feed[[#Headers],[Category]], -1, 2)</f>
        <v>NSW</v>
      </c>
      <c r="G132" s="19" t="str" cm="1">
        <f t="array" ref="G132">Common_InputFunctions.Utility_DisplayArrayInTable(Scope3_SourceData.Scope3_Feed_Data(), Table_SourceData_Scope3_Feed[[#Headers],[Category]], -1, 2)</f>
        <v>kg</v>
      </c>
      <c r="H132" s="19" cm="1">
        <f t="array" ref="H132">Common_InputFunctions.Utility_DisplayArrayInTable(Scope3_SourceData.Scope3_Feed_Data(), Table_SourceData_Scope3_Feed[[#Headers],[Category]], -1, 2)</f>
        <v>0.113</v>
      </c>
      <c r="I132" s="19" t="str" cm="1">
        <f t="array" ref="I132">Common_InputFunctions.Utility_DisplayArrayInTable(Scope3_SourceData.Scope3_Feed_Data(), Table_SourceData_Scope3_Feed[[#Headers],[Category]], -1, 2)</f>
        <v>at market</v>
      </c>
      <c r="J132" s="19" t="s">
        <v>1166</v>
      </c>
      <c r="O132" s="19" t="str">
        <f>Table_SourceData_Scope3_Feed[[#This Row],[Product]]</f>
        <v>Lucerne hay</v>
      </c>
      <c r="P132" s="19" t="str">
        <f>Table_SourceData_Scope3_Feed[[#This Row],[Region of origin]]</f>
        <v>NSW</v>
      </c>
    </row>
    <row r="133" spans="4:17" ht="20.100000000000001" customHeight="1" x14ac:dyDescent="0.2">
      <c r="D133" s="19" t="str" cm="1">
        <f t="array" ref="D133">Common_InputFunctions.Utility_DisplayArrayInTable(Scope3_SourceData.Scope3_Feed_Data(), Table_SourceData_Scope3_Feed[[#Headers],[Category]], -1, 2)</f>
        <v>Hay</v>
      </c>
      <c r="E133" s="19" t="str" cm="1">
        <f t="array" ref="E133">Common_InputFunctions.Utility_DisplayArrayInTable(Scope3_SourceData.Scope3_Feed_Data(), Table_SourceData_Scope3_Feed[[#Headers],[Category]], -1, 2)</f>
        <v>Lucerne hay</v>
      </c>
      <c r="F133" s="19" t="str" cm="1">
        <f t="array" ref="F133">Common_InputFunctions.Utility_DisplayArrayInTable(Scope3_SourceData.Scope3_Feed_Data(), Table_SourceData_Scope3_Feed[[#Headers],[Category]], -1, 2)</f>
        <v>QLD</v>
      </c>
      <c r="G133" s="19" t="str" cm="1">
        <f t="array" ref="G133">Common_InputFunctions.Utility_DisplayArrayInTable(Scope3_SourceData.Scope3_Feed_Data(), Table_SourceData_Scope3_Feed[[#Headers],[Category]], -1, 2)</f>
        <v>kg</v>
      </c>
      <c r="H133" s="19" cm="1">
        <f t="array" ref="H133">Common_InputFunctions.Utility_DisplayArrayInTable(Scope3_SourceData.Scope3_Feed_Data(), Table_SourceData_Scope3_Feed[[#Headers],[Category]], -1, 2)</f>
        <v>0.14299999999999999</v>
      </c>
      <c r="I133" s="19" t="str" cm="1">
        <f t="array" ref="I133">Common_InputFunctions.Utility_DisplayArrayInTable(Scope3_SourceData.Scope3_Feed_Data(), Table_SourceData_Scope3_Feed[[#Headers],[Category]], -1, 2)</f>
        <v>at market</v>
      </c>
      <c r="J133" s="19" t="s">
        <v>1166</v>
      </c>
      <c r="O133" s="19" t="str">
        <f>Table_SourceData_Scope3_Feed[[#This Row],[Product]]</f>
        <v>Lucerne hay</v>
      </c>
      <c r="P133" s="19" t="str">
        <f>Table_SourceData_Scope3_Feed[[#This Row],[Region of origin]]</f>
        <v>QLD</v>
      </c>
    </row>
    <row r="134" spans="4:17" ht="20.100000000000001" customHeight="1" x14ac:dyDescent="0.2">
      <c r="D134" s="19" t="str" cm="1">
        <f t="array" ref="D134">Common_InputFunctions.Utility_DisplayArrayInTable(Scope3_SourceData.Scope3_Feed_Data(), Table_SourceData_Scope3_Feed[[#Headers],[Category]], -1, 2)</f>
        <v>Hay</v>
      </c>
      <c r="E134" s="19" t="str" cm="1">
        <f t="array" ref="E134">Common_InputFunctions.Utility_DisplayArrayInTable(Scope3_SourceData.Scope3_Feed_Data(), Table_SourceData_Scope3_Feed[[#Headers],[Category]], -1, 2)</f>
        <v>Lucerne hay</v>
      </c>
      <c r="F134" s="19" t="str" cm="1">
        <f t="array" ref="F134">Common_InputFunctions.Utility_DisplayArrayInTable(Scope3_SourceData.Scope3_Feed_Data(), Table_SourceData_Scope3_Feed[[#Headers],[Category]], -1, 2)</f>
        <v>SA</v>
      </c>
      <c r="G134" s="19" t="str" cm="1">
        <f t="array" ref="G134">Common_InputFunctions.Utility_DisplayArrayInTable(Scope3_SourceData.Scope3_Feed_Data(), Table_SourceData_Scope3_Feed[[#Headers],[Category]], -1, 2)</f>
        <v>kg</v>
      </c>
      <c r="H134" s="19" cm="1">
        <f t="array" ref="H134">Common_InputFunctions.Utility_DisplayArrayInTable(Scope3_SourceData.Scope3_Feed_Data(), Table_SourceData_Scope3_Feed[[#Headers],[Category]], -1, 2)</f>
        <v>0.106</v>
      </c>
      <c r="I134" s="19" t="str" cm="1">
        <f t="array" ref="I134">Common_InputFunctions.Utility_DisplayArrayInTable(Scope3_SourceData.Scope3_Feed_Data(), Table_SourceData_Scope3_Feed[[#Headers],[Category]], -1, 2)</f>
        <v>at market</v>
      </c>
      <c r="J134" s="19" t="s">
        <v>1166</v>
      </c>
      <c r="O134" s="19" t="str">
        <f>Table_SourceData_Scope3_Feed[[#This Row],[Product]]</f>
        <v>Lucerne hay</v>
      </c>
      <c r="P134" s="19" t="str">
        <f>Table_SourceData_Scope3_Feed[[#This Row],[Region of origin]]</f>
        <v>SA</v>
      </c>
    </row>
    <row r="135" spans="4:17" ht="20.100000000000001" customHeight="1" x14ac:dyDescent="0.2">
      <c r="D135" s="19" t="str" cm="1">
        <f t="array" ref="D135">Common_InputFunctions.Utility_DisplayArrayInTable(Scope3_SourceData.Scope3_Feed_Data(), Table_SourceData_Scope3_Feed[[#Headers],[Category]], -1, 2)</f>
        <v>Hay</v>
      </c>
      <c r="E135" s="19" t="str" cm="1">
        <f t="array" ref="E135">Common_InputFunctions.Utility_DisplayArrayInTable(Scope3_SourceData.Scope3_Feed_Data(), Table_SourceData_Scope3_Feed[[#Headers],[Category]], -1, 2)</f>
        <v>Lucerne hay</v>
      </c>
      <c r="F135" s="19" t="str" cm="1">
        <f t="array" ref="F135">Common_InputFunctions.Utility_DisplayArrayInTable(Scope3_SourceData.Scope3_Feed_Data(), Table_SourceData_Scope3_Feed[[#Headers],[Category]], -1, 2)</f>
        <v>TAS</v>
      </c>
      <c r="G135" s="19" t="str" cm="1">
        <f t="array" ref="G135">Common_InputFunctions.Utility_DisplayArrayInTable(Scope3_SourceData.Scope3_Feed_Data(), Table_SourceData_Scope3_Feed[[#Headers],[Category]], -1, 2)</f>
        <v>kg</v>
      </c>
      <c r="H135" s="19" cm="1">
        <f t="array" ref="H135">Common_InputFunctions.Utility_DisplayArrayInTable(Scope3_SourceData.Scope3_Feed_Data(), Table_SourceData_Scope3_Feed[[#Headers],[Category]], -1, 2)</f>
        <v>0.113</v>
      </c>
      <c r="I135" s="19" t="str" cm="1">
        <f t="array" ref="I135">Common_InputFunctions.Utility_DisplayArrayInTable(Scope3_SourceData.Scope3_Feed_Data(), Table_SourceData_Scope3_Feed[[#Headers],[Category]], -1, 2)</f>
        <v>at market</v>
      </c>
      <c r="J135" s="19" t="s">
        <v>1166</v>
      </c>
      <c r="O135" s="19" t="str">
        <f>Table_SourceData_Scope3_Feed[[#This Row],[Product]]</f>
        <v>Lucerne hay</v>
      </c>
      <c r="P135" s="19" t="str">
        <f>Table_SourceData_Scope3_Feed[[#This Row],[Region of origin]]</f>
        <v>TAS</v>
      </c>
    </row>
    <row r="136" spans="4:17" ht="20.100000000000001" customHeight="1" x14ac:dyDescent="0.2">
      <c r="D136" s="19" t="str" cm="1">
        <f t="array" ref="D136">Common_InputFunctions.Utility_DisplayArrayInTable(Scope3_SourceData.Scope3_Feed_Data(), Table_SourceData_Scope3_Feed[[#Headers],[Category]], -1, 2)</f>
        <v>Hay</v>
      </c>
      <c r="E136" s="19" t="str" cm="1">
        <f t="array" ref="E136">Common_InputFunctions.Utility_DisplayArrayInTable(Scope3_SourceData.Scope3_Feed_Data(), Table_SourceData_Scope3_Feed[[#Headers],[Category]], -1, 2)</f>
        <v>Lucerne hay</v>
      </c>
      <c r="F136" s="19" t="str" cm="1">
        <f t="array" ref="F136">Common_InputFunctions.Utility_DisplayArrayInTable(Scope3_SourceData.Scope3_Feed_Data(), Table_SourceData_Scope3_Feed[[#Headers],[Category]], -1, 2)</f>
        <v>VIC</v>
      </c>
      <c r="G136" s="19" t="str" cm="1">
        <f t="array" ref="G136">Common_InputFunctions.Utility_DisplayArrayInTable(Scope3_SourceData.Scope3_Feed_Data(), Table_SourceData_Scope3_Feed[[#Headers],[Category]], -1, 2)</f>
        <v>kg</v>
      </c>
      <c r="H136" s="19" cm="1">
        <f t="array" ref="H136">Common_InputFunctions.Utility_DisplayArrayInTable(Scope3_SourceData.Scope3_Feed_Data(), Table_SourceData_Scope3_Feed[[#Headers],[Category]], -1, 2)</f>
        <v>0.106</v>
      </c>
      <c r="I136" s="19" t="str" cm="1">
        <f t="array" ref="I136">Common_InputFunctions.Utility_DisplayArrayInTable(Scope3_SourceData.Scope3_Feed_Data(), Table_SourceData_Scope3_Feed[[#Headers],[Category]], -1, 2)</f>
        <v>at market</v>
      </c>
      <c r="J136" s="19" t="s">
        <v>1166</v>
      </c>
      <c r="O136" s="19" t="str">
        <f>Table_SourceData_Scope3_Feed[[#This Row],[Product]]</f>
        <v>Lucerne hay</v>
      </c>
      <c r="P136" s="19" t="str">
        <f>Table_SourceData_Scope3_Feed[[#This Row],[Region of origin]]</f>
        <v>VIC</v>
      </c>
    </row>
    <row r="137" spans="4:17" ht="20.100000000000001" customHeight="1" x14ac:dyDescent="0.2">
      <c r="D137" s="19" t="str" cm="1">
        <f t="array" ref="D137">Common_InputFunctions.Utility_DisplayArrayInTable(Scope3_SourceData.Scope3_Feed_Data(), Table_SourceData_Scope3_Feed[[#Headers],[Category]], -1, 2)</f>
        <v>Hay</v>
      </c>
      <c r="E137" s="19" t="str" cm="1">
        <f t="array" ref="E137">Common_InputFunctions.Utility_DisplayArrayInTable(Scope3_SourceData.Scope3_Feed_Data(), Table_SourceData_Scope3_Feed[[#Headers],[Category]], -1, 2)</f>
        <v>Maize silage</v>
      </c>
      <c r="F137" s="19" t="str" cm="1">
        <f t="array" ref="F137">Common_InputFunctions.Utility_DisplayArrayInTable(Scope3_SourceData.Scope3_Feed_Data(), Table_SourceData_Scope3_Feed[[#Headers],[Category]], -1, 2)</f>
        <v>VIC</v>
      </c>
      <c r="G137" s="19" t="str" cm="1">
        <f t="array" ref="G137">Common_InputFunctions.Utility_DisplayArrayInTable(Scope3_SourceData.Scope3_Feed_Data(), Table_SourceData_Scope3_Feed[[#Headers],[Category]], -1, 2)</f>
        <v>kg</v>
      </c>
      <c r="H137" s="19" cm="1">
        <f t="array" ref="H137">Common_InputFunctions.Utility_DisplayArrayInTable(Scope3_SourceData.Scope3_Feed_Data(), Table_SourceData_Scope3_Feed[[#Headers],[Category]], -1, 2)</f>
        <v>0.16300000000000001</v>
      </c>
      <c r="I137" s="19" t="str" cm="1">
        <f t="array" ref="I137">Common_InputFunctions.Utility_DisplayArrayInTable(Scope3_SourceData.Scope3_Feed_Data(), Table_SourceData_Scope3_Feed[[#Headers],[Category]], -1, 2)</f>
        <v>at market</v>
      </c>
      <c r="J137" s="19" t="s">
        <v>1166</v>
      </c>
      <c r="L137" s="19" t="s">
        <v>132</v>
      </c>
      <c r="M137" s="19" t="s">
        <v>1164</v>
      </c>
      <c r="N137" s="1" t="str">
        <f>"Table_ProductRegions_" &amp; SUBSTITUTE(SUBSTITUTE(SUBSTITUTE(SUBSTITUTE(L138, " ", ""), ",", ""), "(", ""), ")", "")</f>
        <v>Table_ProductRegions_Oatenhay</v>
      </c>
      <c r="O137" s="19" t="str">
        <f>Table_SourceData_Scope3_Feed[[#This Row],[Product]]</f>
        <v>Maize silage</v>
      </c>
      <c r="P137" s="19" t="str">
        <f>Table_SourceData_Scope3_Feed[[#This Row],[Region of origin]]</f>
        <v>VIC</v>
      </c>
    </row>
    <row r="138" spans="4:17" ht="20.100000000000001" customHeight="1" x14ac:dyDescent="0.2">
      <c r="D138" s="19" t="str" cm="1">
        <f t="array" ref="D138">Common_InputFunctions.Utility_DisplayArrayInTable(Scope3_SourceData.Scope3_Feed_Data(), Table_SourceData_Scope3_Feed[[#Headers],[Category]], -1, 2)</f>
        <v>Hay</v>
      </c>
      <c r="E138" s="19" t="str" cm="1">
        <f t="array" ref="E138">Common_InputFunctions.Utility_DisplayArrayInTable(Scope3_SourceData.Scope3_Feed_Data(), Table_SourceData_Scope3_Feed[[#Headers],[Category]], -1, 2)</f>
        <v>Oaten hay</v>
      </c>
      <c r="F138" s="19" t="str" cm="1">
        <f t="array" ref="F138">Common_InputFunctions.Utility_DisplayArrayInTable(Scope3_SourceData.Scope3_Feed_Data(), Table_SourceData_Scope3_Feed[[#Headers],[Category]], -1, 2)</f>
        <v>Australia</v>
      </c>
      <c r="G138" s="19" t="str" cm="1">
        <f t="array" ref="G138">Common_InputFunctions.Utility_DisplayArrayInTable(Scope3_SourceData.Scope3_Feed_Data(), Table_SourceData_Scope3_Feed[[#Headers],[Category]], -1, 2)</f>
        <v>kg</v>
      </c>
      <c r="H138" s="19" cm="1">
        <f t="array" ref="H138">Common_InputFunctions.Utility_DisplayArrayInTable(Scope3_SourceData.Scope3_Feed_Data(), Table_SourceData_Scope3_Feed[[#Headers],[Category]], -1, 2)</f>
        <v>0.12</v>
      </c>
      <c r="I138" s="19" t="str" cm="1">
        <f t="array" ref="I138">Common_InputFunctions.Utility_DisplayArrayInTable(Scope3_SourceData.Scope3_Feed_Data(), Table_SourceData_Scope3_Feed[[#Headers],[Category]], -1, 2)</f>
        <v>at market</v>
      </c>
      <c r="J138" s="19" t="s">
        <v>1166</v>
      </c>
      <c r="L138" s="19" t="str">
        <f>Table_SourceData_Scope3_Feed[[#This Row],[Product]]</f>
        <v>Oaten hay</v>
      </c>
      <c r="M138" s="19" t="str">
        <f>Table_SourceData_Scope3_Feed[[#This Row],[Region of origin]]</f>
        <v>Australia</v>
      </c>
    </row>
    <row r="139" spans="4:17" ht="20.100000000000001" customHeight="1" x14ac:dyDescent="0.2">
      <c r="D139" s="19" t="str" cm="1">
        <f t="array" ref="D139">Common_InputFunctions.Utility_DisplayArrayInTable(Scope3_SourceData.Scope3_Feed_Data(), Table_SourceData_Scope3_Feed[[#Headers],[Category]], -1, 2)</f>
        <v>Hay</v>
      </c>
      <c r="E139" s="19" t="str" cm="1">
        <f t="array" ref="E139">Common_InputFunctions.Utility_DisplayArrayInTable(Scope3_SourceData.Scope3_Feed_Data(), Table_SourceData_Scope3_Feed[[#Headers],[Category]], -1, 2)</f>
        <v>Oaten hay</v>
      </c>
      <c r="F139" s="19" t="str" cm="1">
        <f t="array" ref="F139">Common_InputFunctions.Utility_DisplayArrayInTable(Scope3_SourceData.Scope3_Feed_Data(), Table_SourceData_Scope3_Feed[[#Headers],[Category]], -1, 2)</f>
        <v>NSW</v>
      </c>
      <c r="G139" s="19" t="str" cm="1">
        <f t="array" ref="G139">Common_InputFunctions.Utility_DisplayArrayInTable(Scope3_SourceData.Scope3_Feed_Data(), Table_SourceData_Scope3_Feed[[#Headers],[Category]], -1, 2)</f>
        <v>kg</v>
      </c>
      <c r="H139" s="19" cm="1">
        <f t="array" ref="H139">Common_InputFunctions.Utility_DisplayArrayInTable(Scope3_SourceData.Scope3_Feed_Data(), Table_SourceData_Scope3_Feed[[#Headers],[Category]], -1, 2)</f>
        <v>0.11899999999999999</v>
      </c>
      <c r="I139" s="19" t="str" cm="1">
        <f t="array" ref="I139">Common_InputFunctions.Utility_DisplayArrayInTable(Scope3_SourceData.Scope3_Feed_Data(), Table_SourceData_Scope3_Feed[[#Headers],[Category]], -1, 2)</f>
        <v>at market</v>
      </c>
      <c r="J139" s="19" t="s">
        <v>1166</v>
      </c>
      <c r="L139" s="19" t="str">
        <f>Table_SourceData_Scope3_Feed[[#This Row],[Product]]</f>
        <v>Oaten hay</v>
      </c>
      <c r="M139" s="19" t="str">
        <f>Table_SourceData_Scope3_Feed[[#This Row],[Region of origin]]</f>
        <v>NSW</v>
      </c>
    </row>
    <row r="140" spans="4:17" ht="20.100000000000001" customHeight="1" x14ac:dyDescent="0.2">
      <c r="D140" s="19" t="str" cm="1">
        <f t="array" ref="D140">Common_InputFunctions.Utility_DisplayArrayInTable(Scope3_SourceData.Scope3_Feed_Data(), Table_SourceData_Scope3_Feed[[#Headers],[Category]], -1, 2)</f>
        <v>Hay</v>
      </c>
      <c r="E140" s="19" t="str" cm="1">
        <f t="array" ref="E140">Common_InputFunctions.Utility_DisplayArrayInTable(Scope3_SourceData.Scope3_Feed_Data(), Table_SourceData_Scope3_Feed[[#Headers],[Category]], -1, 2)</f>
        <v>Oaten hay</v>
      </c>
      <c r="F140" s="19" t="str" cm="1">
        <f t="array" ref="F140">Common_InputFunctions.Utility_DisplayArrayInTable(Scope3_SourceData.Scope3_Feed_Data(), Table_SourceData_Scope3_Feed[[#Headers],[Category]], -1, 2)</f>
        <v>QLD</v>
      </c>
      <c r="G140" s="19" t="str" cm="1">
        <f t="array" ref="G140">Common_InputFunctions.Utility_DisplayArrayInTable(Scope3_SourceData.Scope3_Feed_Data(), Table_SourceData_Scope3_Feed[[#Headers],[Category]], -1, 2)</f>
        <v>kg</v>
      </c>
      <c r="H140" s="19" cm="1">
        <f t="array" ref="H140">Common_InputFunctions.Utility_DisplayArrayInTable(Scope3_SourceData.Scope3_Feed_Data(), Table_SourceData_Scope3_Feed[[#Headers],[Category]], -1, 2)</f>
        <v>0.11700000000000001</v>
      </c>
      <c r="I140" s="19" t="str" cm="1">
        <f t="array" ref="I140">Common_InputFunctions.Utility_DisplayArrayInTable(Scope3_SourceData.Scope3_Feed_Data(), Table_SourceData_Scope3_Feed[[#Headers],[Category]], -1, 2)</f>
        <v>at market</v>
      </c>
      <c r="J140" s="19" t="s">
        <v>1166</v>
      </c>
      <c r="L140" s="19" t="str">
        <f>Table_SourceData_Scope3_Feed[[#This Row],[Product]]</f>
        <v>Oaten hay</v>
      </c>
      <c r="M140" s="19" t="str">
        <f>Table_SourceData_Scope3_Feed[[#This Row],[Region of origin]]</f>
        <v>QLD</v>
      </c>
    </row>
    <row r="141" spans="4:17" ht="20.100000000000001" customHeight="1" x14ac:dyDescent="0.2">
      <c r="D141" s="19" t="str" cm="1">
        <f t="array" ref="D141">Common_InputFunctions.Utility_DisplayArrayInTable(Scope3_SourceData.Scope3_Feed_Data(), Table_SourceData_Scope3_Feed[[#Headers],[Category]], -1, 2)</f>
        <v>Hay</v>
      </c>
      <c r="E141" s="19" t="str" cm="1">
        <f t="array" ref="E141">Common_InputFunctions.Utility_DisplayArrayInTable(Scope3_SourceData.Scope3_Feed_Data(), Table_SourceData_Scope3_Feed[[#Headers],[Category]], -1, 2)</f>
        <v>Oaten hay</v>
      </c>
      <c r="F141" s="19" t="str" cm="1">
        <f t="array" ref="F141">Common_InputFunctions.Utility_DisplayArrayInTable(Scope3_SourceData.Scope3_Feed_Data(), Table_SourceData_Scope3_Feed[[#Headers],[Category]], -1, 2)</f>
        <v>SA</v>
      </c>
      <c r="G141" s="19" t="str" cm="1">
        <f t="array" ref="G141">Common_InputFunctions.Utility_DisplayArrayInTable(Scope3_SourceData.Scope3_Feed_Data(), Table_SourceData_Scope3_Feed[[#Headers],[Category]], -1, 2)</f>
        <v>kg</v>
      </c>
      <c r="H141" s="19" cm="1">
        <f t="array" ref="H141">Common_InputFunctions.Utility_DisplayArrayInTable(Scope3_SourceData.Scope3_Feed_Data(), Table_SourceData_Scope3_Feed[[#Headers],[Category]], -1, 2)</f>
        <v>0.114</v>
      </c>
      <c r="I141" s="19" t="str" cm="1">
        <f t="array" ref="I141">Common_InputFunctions.Utility_DisplayArrayInTable(Scope3_SourceData.Scope3_Feed_Data(), Table_SourceData_Scope3_Feed[[#Headers],[Category]], -1, 2)</f>
        <v>at market</v>
      </c>
      <c r="J141" s="19" t="s">
        <v>1166</v>
      </c>
      <c r="L141" s="19" t="str">
        <f>Table_SourceData_Scope3_Feed[[#This Row],[Product]]</f>
        <v>Oaten hay</v>
      </c>
      <c r="M141" s="19" t="str">
        <f>Table_SourceData_Scope3_Feed[[#This Row],[Region of origin]]</f>
        <v>SA</v>
      </c>
    </row>
    <row r="142" spans="4:17" ht="20.100000000000001" customHeight="1" x14ac:dyDescent="0.2">
      <c r="D142" s="19" t="str" cm="1">
        <f t="array" ref="D142">Common_InputFunctions.Utility_DisplayArrayInTable(Scope3_SourceData.Scope3_Feed_Data(), Table_SourceData_Scope3_Feed[[#Headers],[Category]], -1, 2)</f>
        <v>Hay</v>
      </c>
      <c r="E142" s="19" t="str" cm="1">
        <f t="array" ref="E142">Common_InputFunctions.Utility_DisplayArrayInTable(Scope3_SourceData.Scope3_Feed_Data(), Table_SourceData_Scope3_Feed[[#Headers],[Category]], -1, 2)</f>
        <v>Oaten hay</v>
      </c>
      <c r="F142" s="19" t="str" cm="1">
        <f t="array" ref="F142">Common_InputFunctions.Utility_DisplayArrayInTable(Scope3_SourceData.Scope3_Feed_Data(), Table_SourceData_Scope3_Feed[[#Headers],[Category]], -1, 2)</f>
        <v>VIC</v>
      </c>
      <c r="G142" s="19" t="str" cm="1">
        <f t="array" ref="G142">Common_InputFunctions.Utility_DisplayArrayInTable(Scope3_SourceData.Scope3_Feed_Data(), Table_SourceData_Scope3_Feed[[#Headers],[Category]], -1, 2)</f>
        <v>kg</v>
      </c>
      <c r="H142" s="19" cm="1">
        <f t="array" ref="H142">Common_InputFunctions.Utility_DisplayArrayInTable(Scope3_SourceData.Scope3_Feed_Data(), Table_SourceData_Scope3_Feed[[#Headers],[Category]], -1, 2)</f>
        <v>0.11799999999999999</v>
      </c>
      <c r="I142" s="19" t="str" cm="1">
        <f t="array" ref="I142">Common_InputFunctions.Utility_DisplayArrayInTable(Scope3_SourceData.Scope3_Feed_Data(), Table_SourceData_Scope3_Feed[[#Headers],[Category]], -1, 2)</f>
        <v>at market</v>
      </c>
      <c r="J142" s="19" t="s">
        <v>1166</v>
      </c>
      <c r="L142" s="19" t="str">
        <f>Table_SourceData_Scope3_Feed[[#This Row],[Product]]</f>
        <v>Oaten hay</v>
      </c>
      <c r="M142" s="19" t="str">
        <f>Table_SourceData_Scope3_Feed[[#This Row],[Region of origin]]</f>
        <v>VIC</v>
      </c>
    </row>
    <row r="143" spans="4:17" ht="20.100000000000001" customHeight="1" x14ac:dyDescent="0.2">
      <c r="D143" s="19" t="str" cm="1">
        <f t="array" ref="D143">Common_InputFunctions.Utility_DisplayArrayInTable(Scope3_SourceData.Scope3_Feed_Data(), Table_SourceData_Scope3_Feed[[#Headers],[Category]], -1, 2)</f>
        <v>Hay</v>
      </c>
      <c r="E143" s="19" t="str" cm="1">
        <f t="array" ref="E143">Common_InputFunctions.Utility_DisplayArrayInTable(Scope3_SourceData.Scope3_Feed_Data(), Table_SourceData_Scope3_Feed[[#Headers],[Category]], -1, 2)</f>
        <v>Oaten hay</v>
      </c>
      <c r="F143" s="19" t="str" cm="1">
        <f t="array" ref="F143">Common_InputFunctions.Utility_DisplayArrayInTable(Scope3_SourceData.Scope3_Feed_Data(), Table_SourceData_Scope3_Feed[[#Headers],[Category]], -1, 2)</f>
        <v>WA</v>
      </c>
      <c r="G143" s="19" t="str" cm="1">
        <f t="array" ref="G143">Common_InputFunctions.Utility_DisplayArrayInTable(Scope3_SourceData.Scope3_Feed_Data(), Table_SourceData_Scope3_Feed[[#Headers],[Category]], -1, 2)</f>
        <v>kg</v>
      </c>
      <c r="H143" s="19" cm="1">
        <f t="array" ref="H143">Common_InputFunctions.Utility_DisplayArrayInTable(Scope3_SourceData.Scope3_Feed_Data(), Table_SourceData_Scope3_Feed[[#Headers],[Category]], -1, 2)</f>
        <v>0.124</v>
      </c>
      <c r="I143" s="19" t="str" cm="1">
        <f t="array" ref="I143">Common_InputFunctions.Utility_DisplayArrayInTable(Scope3_SourceData.Scope3_Feed_Data(), Table_SourceData_Scope3_Feed[[#Headers],[Category]], -1, 2)</f>
        <v>at market</v>
      </c>
      <c r="J143" s="19" t="s">
        <v>1166</v>
      </c>
      <c r="L143" s="19" t="str">
        <f>Table_SourceData_Scope3_Feed[[#This Row],[Product]]</f>
        <v>Oaten hay</v>
      </c>
      <c r="M143" s="19" t="str">
        <f>Table_SourceData_Scope3_Feed[[#This Row],[Region of origin]]</f>
        <v>WA</v>
      </c>
      <c r="O143" s="19" t="s">
        <v>132</v>
      </c>
      <c r="P143" s="19" t="s">
        <v>1164</v>
      </c>
      <c r="Q143" s="1" t="str">
        <f>"Table_ProductRegions_" &amp; SUBSTITUTE(SUBSTITUTE(SUBSTITUTE(SUBSTITUTE(O144, " ", ""), ",", ""), "(", ""), ")", "")</f>
        <v>Table_ProductRegions_Pasturehay</v>
      </c>
    </row>
    <row r="144" spans="4:17" ht="20.100000000000001" customHeight="1" x14ac:dyDescent="0.2">
      <c r="D144" s="19" t="str" cm="1">
        <f t="array" ref="D144">Common_InputFunctions.Utility_DisplayArrayInTable(Scope3_SourceData.Scope3_Feed_Data(), Table_SourceData_Scope3_Feed[[#Headers],[Category]], -1, 2)</f>
        <v>Hay</v>
      </c>
      <c r="E144" s="19" t="str" cm="1">
        <f t="array" ref="E144">Common_InputFunctions.Utility_DisplayArrayInTable(Scope3_SourceData.Scope3_Feed_Data(), Table_SourceData_Scope3_Feed[[#Headers],[Category]], -1, 2)</f>
        <v>Pasture hay</v>
      </c>
      <c r="F144" s="19" t="str" cm="1">
        <f t="array" ref="F144">Common_InputFunctions.Utility_DisplayArrayInTable(Scope3_SourceData.Scope3_Feed_Data(), Table_SourceData_Scope3_Feed[[#Headers],[Category]], -1, 2)</f>
        <v>Australia</v>
      </c>
      <c r="G144" s="19" t="str" cm="1">
        <f t="array" ref="G144">Common_InputFunctions.Utility_DisplayArrayInTable(Scope3_SourceData.Scope3_Feed_Data(), Table_SourceData_Scope3_Feed[[#Headers],[Category]], -1, 2)</f>
        <v>kg</v>
      </c>
      <c r="H144" s="19" cm="1">
        <f t="array" ref="H144">Common_InputFunctions.Utility_DisplayArrayInTable(Scope3_SourceData.Scope3_Feed_Data(), Table_SourceData_Scope3_Feed[[#Headers],[Category]], -1, 2)</f>
        <v>0.33900000000000002</v>
      </c>
      <c r="I144" s="19" t="str" cm="1">
        <f t="array" ref="I144">Common_InputFunctions.Utility_DisplayArrayInTable(Scope3_SourceData.Scope3_Feed_Data(), Table_SourceData_Scope3_Feed[[#Headers],[Category]], -1, 2)</f>
        <v>at market</v>
      </c>
      <c r="J144" s="19" t="s">
        <v>1166</v>
      </c>
      <c r="O144" s="19" t="str">
        <f>Table_SourceData_Scope3_Feed[[#This Row],[Product]]</f>
        <v>Pasture hay</v>
      </c>
      <c r="P144" s="19" t="str">
        <f>Table_SourceData_Scope3_Feed[[#This Row],[Region of origin]]</f>
        <v>Australia</v>
      </c>
    </row>
    <row r="145" spans="1:17" ht="20.100000000000001" customHeight="1" x14ac:dyDescent="0.2">
      <c r="D145" s="19" t="str" cm="1">
        <f t="array" ref="D145">Common_InputFunctions.Utility_DisplayArrayInTable(Scope3_SourceData.Scope3_Feed_Data(), Table_SourceData_Scope3_Feed[[#Headers],[Category]], -1, 2)</f>
        <v>Hay</v>
      </c>
      <c r="E145" s="19" t="str" cm="1">
        <f t="array" ref="E145">Common_InputFunctions.Utility_DisplayArrayInTable(Scope3_SourceData.Scope3_Feed_Data(), Table_SourceData_Scope3_Feed[[#Headers],[Category]], -1, 2)</f>
        <v>Pasture hay</v>
      </c>
      <c r="F145" s="19" t="str" cm="1">
        <f t="array" ref="F145">Common_InputFunctions.Utility_DisplayArrayInTable(Scope3_SourceData.Scope3_Feed_Data(), Table_SourceData_Scope3_Feed[[#Headers],[Category]], -1, 2)</f>
        <v>NSW</v>
      </c>
      <c r="G145" s="19" t="str" cm="1">
        <f t="array" ref="G145">Common_InputFunctions.Utility_DisplayArrayInTable(Scope3_SourceData.Scope3_Feed_Data(), Table_SourceData_Scope3_Feed[[#Headers],[Category]], -1, 2)</f>
        <v>kg</v>
      </c>
      <c r="H145" s="19" cm="1">
        <f t="array" ref="H145">Common_InputFunctions.Utility_DisplayArrayInTable(Scope3_SourceData.Scope3_Feed_Data(), Table_SourceData_Scope3_Feed[[#Headers],[Category]], -1, 2)</f>
        <v>0.311</v>
      </c>
      <c r="I145" s="19" t="str" cm="1">
        <f t="array" ref="I145">Common_InputFunctions.Utility_DisplayArrayInTable(Scope3_SourceData.Scope3_Feed_Data(), Table_SourceData_Scope3_Feed[[#Headers],[Category]], -1, 2)</f>
        <v>at market</v>
      </c>
      <c r="J145" s="19" t="s">
        <v>1166</v>
      </c>
      <c r="O145" s="19" t="str">
        <f>Table_SourceData_Scope3_Feed[[#This Row],[Product]]</f>
        <v>Pasture hay</v>
      </c>
      <c r="P145" s="19" t="str">
        <f>Table_SourceData_Scope3_Feed[[#This Row],[Region of origin]]</f>
        <v>NSW</v>
      </c>
    </row>
    <row r="146" spans="1:17" ht="20.100000000000001" customHeight="1" x14ac:dyDescent="0.2">
      <c r="D146" s="19" t="str" cm="1">
        <f t="array" ref="D146">Common_InputFunctions.Utility_DisplayArrayInTable(Scope3_SourceData.Scope3_Feed_Data(), Table_SourceData_Scope3_Feed[[#Headers],[Category]], -1, 2)</f>
        <v>Hay</v>
      </c>
      <c r="E146" s="19" t="str" cm="1">
        <f t="array" ref="E146">Common_InputFunctions.Utility_DisplayArrayInTable(Scope3_SourceData.Scope3_Feed_Data(), Table_SourceData_Scope3_Feed[[#Headers],[Category]], -1, 2)</f>
        <v>Pasture hay</v>
      </c>
      <c r="F146" s="19" t="str" cm="1">
        <f t="array" ref="F146">Common_InputFunctions.Utility_DisplayArrayInTable(Scope3_SourceData.Scope3_Feed_Data(), Table_SourceData_Scope3_Feed[[#Headers],[Category]], -1, 2)</f>
        <v>QLD</v>
      </c>
      <c r="G146" s="19" t="str" cm="1">
        <f t="array" ref="G146">Common_InputFunctions.Utility_DisplayArrayInTable(Scope3_SourceData.Scope3_Feed_Data(), Table_SourceData_Scope3_Feed[[#Headers],[Category]], -1, 2)</f>
        <v>kg</v>
      </c>
      <c r="H146" s="19" cm="1">
        <f t="array" ref="H146">Common_InputFunctions.Utility_DisplayArrayInTable(Scope3_SourceData.Scope3_Feed_Data(), Table_SourceData_Scope3_Feed[[#Headers],[Category]], -1, 2)</f>
        <v>0.254</v>
      </c>
      <c r="I146" s="19" t="str" cm="1">
        <f t="array" ref="I146">Common_InputFunctions.Utility_DisplayArrayInTable(Scope3_SourceData.Scope3_Feed_Data(), Table_SourceData_Scope3_Feed[[#Headers],[Category]], -1, 2)</f>
        <v>at market</v>
      </c>
      <c r="J146" s="19" t="s">
        <v>1166</v>
      </c>
      <c r="O146" s="19" t="str">
        <f>Table_SourceData_Scope3_Feed[[#This Row],[Product]]</f>
        <v>Pasture hay</v>
      </c>
      <c r="P146" s="19" t="str">
        <f>Table_SourceData_Scope3_Feed[[#This Row],[Region of origin]]</f>
        <v>QLD</v>
      </c>
    </row>
    <row r="147" spans="1:17" ht="20.100000000000001" customHeight="1" x14ac:dyDescent="0.2">
      <c r="D147" s="19" t="str" cm="1">
        <f t="array" ref="D147">Common_InputFunctions.Utility_DisplayArrayInTable(Scope3_SourceData.Scope3_Feed_Data(), Table_SourceData_Scope3_Feed[[#Headers],[Category]], -1, 2)</f>
        <v>Hay</v>
      </c>
      <c r="E147" s="19" t="str" cm="1">
        <f t="array" ref="E147">Common_InputFunctions.Utility_DisplayArrayInTable(Scope3_SourceData.Scope3_Feed_Data(), Table_SourceData_Scope3_Feed[[#Headers],[Category]], -1, 2)</f>
        <v>Pasture hay</v>
      </c>
      <c r="F147" s="19" t="str" cm="1">
        <f t="array" ref="F147">Common_InputFunctions.Utility_DisplayArrayInTable(Scope3_SourceData.Scope3_Feed_Data(), Table_SourceData_Scope3_Feed[[#Headers],[Category]], -1, 2)</f>
        <v>SA</v>
      </c>
      <c r="G147" s="19" t="str" cm="1">
        <f t="array" ref="G147">Common_InputFunctions.Utility_DisplayArrayInTable(Scope3_SourceData.Scope3_Feed_Data(), Table_SourceData_Scope3_Feed[[#Headers],[Category]], -1, 2)</f>
        <v>kg</v>
      </c>
      <c r="H147" s="19" cm="1">
        <f t="array" ref="H147">Common_InputFunctions.Utility_DisplayArrayInTable(Scope3_SourceData.Scope3_Feed_Data(), Table_SourceData_Scope3_Feed[[#Headers],[Category]], -1, 2)</f>
        <v>0.313</v>
      </c>
      <c r="I147" s="19" t="str" cm="1">
        <f t="array" ref="I147">Common_InputFunctions.Utility_DisplayArrayInTable(Scope3_SourceData.Scope3_Feed_Data(), Table_SourceData_Scope3_Feed[[#Headers],[Category]], -1, 2)</f>
        <v>at market</v>
      </c>
      <c r="J147" s="19" t="s">
        <v>1166</v>
      </c>
      <c r="O147" s="19" t="str">
        <f>Table_SourceData_Scope3_Feed[[#This Row],[Product]]</f>
        <v>Pasture hay</v>
      </c>
      <c r="P147" s="19" t="str">
        <f>Table_SourceData_Scope3_Feed[[#This Row],[Region of origin]]</f>
        <v>SA</v>
      </c>
    </row>
    <row r="148" spans="1:17" ht="20.100000000000001" customHeight="1" x14ac:dyDescent="0.2">
      <c r="D148" s="19" t="str" cm="1">
        <f t="array" ref="D148">Common_InputFunctions.Utility_DisplayArrayInTable(Scope3_SourceData.Scope3_Feed_Data(), Table_SourceData_Scope3_Feed[[#Headers],[Category]], -1, 2)</f>
        <v>Hay</v>
      </c>
      <c r="E148" s="19" t="str" cm="1">
        <f t="array" ref="E148">Common_InputFunctions.Utility_DisplayArrayInTable(Scope3_SourceData.Scope3_Feed_Data(), Table_SourceData_Scope3_Feed[[#Headers],[Category]], -1, 2)</f>
        <v>Pasture hay</v>
      </c>
      <c r="F148" s="19" t="str" cm="1">
        <f t="array" ref="F148">Common_InputFunctions.Utility_DisplayArrayInTable(Scope3_SourceData.Scope3_Feed_Data(), Table_SourceData_Scope3_Feed[[#Headers],[Category]], -1, 2)</f>
        <v>TAS</v>
      </c>
      <c r="G148" s="19" t="str" cm="1">
        <f t="array" ref="G148">Common_InputFunctions.Utility_DisplayArrayInTable(Scope3_SourceData.Scope3_Feed_Data(), Table_SourceData_Scope3_Feed[[#Headers],[Category]], -1, 2)</f>
        <v>kg</v>
      </c>
      <c r="H148" s="19" cm="1">
        <f t="array" ref="H148">Common_InputFunctions.Utility_DisplayArrayInTable(Scope3_SourceData.Scope3_Feed_Data(), Table_SourceData_Scope3_Feed[[#Headers],[Category]], -1, 2)</f>
        <v>0.39800000000000002</v>
      </c>
      <c r="I148" s="19" t="str" cm="1">
        <f t="array" ref="I148">Common_InputFunctions.Utility_DisplayArrayInTable(Scope3_SourceData.Scope3_Feed_Data(), Table_SourceData_Scope3_Feed[[#Headers],[Category]], -1, 2)</f>
        <v>at market</v>
      </c>
      <c r="J148" s="19" t="s">
        <v>1166</v>
      </c>
      <c r="O148" s="19" t="str">
        <f>Table_SourceData_Scope3_Feed[[#This Row],[Product]]</f>
        <v>Pasture hay</v>
      </c>
      <c r="P148" s="19" t="str">
        <f>Table_SourceData_Scope3_Feed[[#This Row],[Region of origin]]</f>
        <v>TAS</v>
      </c>
    </row>
    <row r="149" spans="1:17" ht="20.100000000000001" customHeight="1" x14ac:dyDescent="0.2">
      <c r="D149" s="19" t="str" cm="1">
        <f t="array" ref="D149">Common_InputFunctions.Utility_DisplayArrayInTable(Scope3_SourceData.Scope3_Feed_Data(), Table_SourceData_Scope3_Feed[[#Headers],[Category]], -1, 2)</f>
        <v>Hay</v>
      </c>
      <c r="E149" s="19" t="str" cm="1">
        <f t="array" ref="E149">Common_InputFunctions.Utility_DisplayArrayInTable(Scope3_SourceData.Scope3_Feed_Data(), Table_SourceData_Scope3_Feed[[#Headers],[Category]], -1, 2)</f>
        <v>Pasture hay</v>
      </c>
      <c r="F149" s="19" t="str" cm="1">
        <f t="array" ref="F149">Common_InputFunctions.Utility_DisplayArrayInTable(Scope3_SourceData.Scope3_Feed_Data(), Table_SourceData_Scope3_Feed[[#Headers],[Category]], -1, 2)</f>
        <v>VIC</v>
      </c>
      <c r="G149" s="19" t="str" cm="1">
        <f t="array" ref="G149">Common_InputFunctions.Utility_DisplayArrayInTable(Scope3_SourceData.Scope3_Feed_Data(), Table_SourceData_Scope3_Feed[[#Headers],[Category]], -1, 2)</f>
        <v>kg</v>
      </c>
      <c r="H149" s="19" cm="1">
        <f t="array" ref="H149">Common_InputFunctions.Utility_DisplayArrayInTable(Scope3_SourceData.Scope3_Feed_Data(), Table_SourceData_Scope3_Feed[[#Headers],[Category]], -1, 2)</f>
        <v>0.34499999999999997</v>
      </c>
      <c r="I149" s="19" t="str" cm="1">
        <f t="array" ref="I149">Common_InputFunctions.Utility_DisplayArrayInTable(Scope3_SourceData.Scope3_Feed_Data(), Table_SourceData_Scope3_Feed[[#Headers],[Category]], -1, 2)</f>
        <v>at market</v>
      </c>
      <c r="J149" s="19" t="s">
        <v>1166</v>
      </c>
      <c r="O149" s="19" t="str">
        <f>Table_SourceData_Scope3_Feed[[#This Row],[Product]]</f>
        <v>Pasture hay</v>
      </c>
      <c r="P149" s="19" t="str">
        <f>Table_SourceData_Scope3_Feed[[#This Row],[Region of origin]]</f>
        <v>VIC</v>
      </c>
    </row>
    <row r="150" spans="1:17" ht="20.100000000000001" customHeight="1" x14ac:dyDescent="0.2">
      <c r="D150" s="19" t="str" cm="1">
        <f t="array" ref="D150">Common_InputFunctions.Utility_DisplayArrayInTable(Scope3_SourceData.Scope3_Feed_Data(), Table_SourceData_Scope3_Feed[[#Headers],[Category]], -1, 2)</f>
        <v>Hay</v>
      </c>
      <c r="E150" s="19" t="str" cm="1">
        <f t="array" ref="E150">Common_InputFunctions.Utility_DisplayArrayInTable(Scope3_SourceData.Scope3_Feed_Data(), Table_SourceData_Scope3_Feed[[#Headers],[Category]], -1, 2)</f>
        <v>Pasture hay</v>
      </c>
      <c r="F150" s="19" t="str" cm="1">
        <f t="array" ref="F150">Common_InputFunctions.Utility_DisplayArrayInTable(Scope3_SourceData.Scope3_Feed_Data(), Table_SourceData_Scope3_Feed[[#Headers],[Category]], -1, 2)</f>
        <v>WA</v>
      </c>
      <c r="G150" s="19" t="str" cm="1">
        <f t="array" ref="G150">Common_InputFunctions.Utility_DisplayArrayInTable(Scope3_SourceData.Scope3_Feed_Data(), Table_SourceData_Scope3_Feed[[#Headers],[Category]], -1, 2)</f>
        <v>kg</v>
      </c>
      <c r="H150" s="19" cm="1">
        <f t="array" ref="H150">Common_InputFunctions.Utility_DisplayArrayInTable(Scope3_SourceData.Scope3_Feed_Data(), Table_SourceData_Scope3_Feed[[#Headers],[Category]], -1, 2)</f>
        <v>0.36799999999999999</v>
      </c>
      <c r="I150" s="19" t="str" cm="1">
        <f t="array" ref="I150">Common_InputFunctions.Utility_DisplayArrayInTable(Scope3_SourceData.Scope3_Feed_Data(), Table_SourceData_Scope3_Feed[[#Headers],[Category]], -1, 2)</f>
        <v>at market</v>
      </c>
      <c r="J150" s="19" t="s">
        <v>1166</v>
      </c>
      <c r="L150" s="135" t="s">
        <v>132</v>
      </c>
      <c r="M150" s="135" t="s">
        <v>1164</v>
      </c>
      <c r="N150" s="1" t="str">
        <f>"Table_ProductRegions_" &amp; SUBSTITUTE(SUBSTITUTE(SUBSTITUTE(SUBSTITUTE(L151, " ", ""), ",", ""), "(", ""), ")", "")</f>
        <v>Table_ProductRegions_Canolameal</v>
      </c>
      <c r="O150" s="19" t="str">
        <f>Table_SourceData_Scope3_Feed[[#This Row],[Product]]</f>
        <v>Pasture hay</v>
      </c>
      <c r="P150" s="19" t="str">
        <f>Table_SourceData_Scope3_Feed[[#This Row],[Region of origin]]</f>
        <v>WA</v>
      </c>
    </row>
    <row r="151" spans="1:17" ht="20.100000000000001" customHeight="1" x14ac:dyDescent="0.2">
      <c r="D151" s="19" t="str" cm="1">
        <f t="array" ref="D151">Common_InputFunctions.Utility_DisplayArrayInTable(Scope3_SourceData.Scope3_Feed_Data(), Table_SourceData_Scope3_Feed[[#Headers],[Category]], -1, 2)</f>
        <v>Meal</v>
      </c>
      <c r="E151" s="19" t="str" cm="1">
        <f t="array" ref="E151">Common_InputFunctions.Utility_DisplayArrayInTable(Scope3_SourceData.Scope3_Feed_Data(), Table_SourceData_Scope3_Feed[[#Headers],[Category]], -1, 2)</f>
        <v>Canola meal</v>
      </c>
      <c r="F151" s="19" t="str" cm="1">
        <f t="array" ref="F151">Common_InputFunctions.Utility_DisplayArrayInTable(Scope3_SourceData.Scope3_Feed_Data(), Table_SourceData_Scope3_Feed[[#Headers],[Category]], -1, 2)</f>
        <v>Australia</v>
      </c>
      <c r="G151" s="19" t="str" cm="1">
        <f t="array" ref="G151">Common_InputFunctions.Utility_DisplayArrayInTable(Scope3_SourceData.Scope3_Feed_Data(), Table_SourceData_Scope3_Feed[[#Headers],[Category]], -1, 2)</f>
        <v>kg</v>
      </c>
      <c r="H151" s="19" cm="1">
        <f t="array" ref="H151">Common_InputFunctions.Utility_DisplayArrayInTable(Scope3_SourceData.Scope3_Feed_Data(), Table_SourceData_Scope3_Feed[[#Headers],[Category]], -1, 2)</f>
        <v>0.24399999999999999</v>
      </c>
      <c r="I151" s="19" t="str" cm="1">
        <f t="array" ref="I151">Common_InputFunctions.Utility_DisplayArrayInTable(Scope3_SourceData.Scope3_Feed_Data(), Table_SourceData_Scope3_Feed[[#Headers],[Category]], -1, 2)</f>
        <v>at market</v>
      </c>
      <c r="J151" s="19" t="s">
        <v>1166</v>
      </c>
      <c r="L151" s="1" t="str">
        <f>Table_SourceData_Scope3_Feed[[#This Row],[Product]]</f>
        <v>Canola meal</v>
      </c>
      <c r="M151" s="1" t="str">
        <f>Table_SourceData_Scope3_Feed[[#This Row],[Region of origin]]</f>
        <v>Australia</v>
      </c>
      <c r="O151" s="19" t="s">
        <v>132</v>
      </c>
      <c r="P151" s="19" t="s">
        <v>1164</v>
      </c>
      <c r="Q151" s="1" t="str">
        <f>"Table_ProductRegions_" &amp; SUBSTITUTE(SUBSTITUTE(SUBSTITUTE(SUBSTITUTE(O152, " ", ""), ",", ""), "(", ""), ")", "")</f>
        <v>Table_ProductRegions_Meatmeal</v>
      </c>
    </row>
    <row r="152" spans="1:17" ht="20.100000000000001" customHeight="1" x14ac:dyDescent="0.2">
      <c r="D152" s="19" t="str" cm="1">
        <f t="array" ref="D152">Common_InputFunctions.Utility_DisplayArrayInTable(Scope3_SourceData.Scope3_Feed_Data(), Table_SourceData_Scope3_Feed[[#Headers],[Category]], -1, 2)</f>
        <v>Meal</v>
      </c>
      <c r="E152" s="19" t="str" cm="1">
        <f t="array" ref="E152">Common_InputFunctions.Utility_DisplayArrayInTable(Scope3_SourceData.Scope3_Feed_Data(), Table_SourceData_Scope3_Feed[[#Headers],[Category]], -1, 2)</f>
        <v>Meat meal</v>
      </c>
      <c r="F152" s="19" t="str" cm="1">
        <f t="array" ref="F152">Common_InputFunctions.Utility_DisplayArrayInTable(Scope3_SourceData.Scope3_Feed_Data(), Table_SourceData_Scope3_Feed[[#Headers],[Category]], -1, 2)</f>
        <v>Australia</v>
      </c>
      <c r="G152" s="19" t="str" cm="1">
        <f t="array" ref="G152">Common_InputFunctions.Utility_DisplayArrayInTable(Scope3_SourceData.Scope3_Feed_Data(), Table_SourceData_Scope3_Feed[[#Headers],[Category]], -1, 2)</f>
        <v>kg</v>
      </c>
      <c r="H152" s="19" cm="1">
        <f t="array" ref="H152">Common_InputFunctions.Utility_DisplayArrayInTable(Scope3_SourceData.Scope3_Feed_Data(), Table_SourceData_Scope3_Feed[[#Headers],[Category]], -1, 2)</f>
        <v>0.40799999999999997</v>
      </c>
      <c r="I152" s="19" t="str" cm="1">
        <f t="array" ref="I152">Common_InputFunctions.Utility_DisplayArrayInTable(Scope3_SourceData.Scope3_Feed_Data(), Table_SourceData_Scope3_Feed[[#Headers],[Category]], -1, 2)</f>
        <v>at market</v>
      </c>
      <c r="J152" s="19" t="s">
        <v>1166</v>
      </c>
      <c r="L152" s="19" t="s">
        <v>132</v>
      </c>
      <c r="M152" s="19" t="s">
        <v>1164</v>
      </c>
      <c r="N152" s="1" t="str">
        <f>"Table_ProductRegions_" &amp; SUBSTITUTE(SUBSTITUTE(SUBSTITUTE(SUBSTITUTE(L153, " ", ""), ",", ""), "(", ""), ")", "")</f>
        <v>Table_ProductRegions_Soybeanmeal</v>
      </c>
      <c r="O152" s="19" t="str">
        <f>Table_SourceData_Scope3_Feed[[#This Row],[Product]]</f>
        <v>Meat meal</v>
      </c>
      <c r="P152" s="19" t="str">
        <f>Table_SourceData_Scope3_Feed[[#This Row],[Region of origin]]</f>
        <v>Australia</v>
      </c>
    </row>
    <row r="153" spans="1:17" ht="20.100000000000001" customHeight="1" x14ac:dyDescent="0.2">
      <c r="D153" s="19" t="str" cm="1">
        <f t="array" ref="D153">Common_InputFunctions.Utility_DisplayArrayInTable(Scope3_SourceData.Scope3_Feed_Data(), Table_SourceData_Scope3_Feed[[#Headers],[Category]], -1, 2)</f>
        <v>Meal</v>
      </c>
      <c r="E153" s="19" t="str" cm="1">
        <f t="array" ref="E153">Common_InputFunctions.Utility_DisplayArrayInTable(Scope3_SourceData.Scope3_Feed_Data(), Table_SourceData_Scope3_Feed[[#Headers],[Category]], -1, 2)</f>
        <v>Soybean meal</v>
      </c>
      <c r="F153" s="19" t="str" cm="1">
        <f t="array" ref="F153">Common_InputFunctions.Utility_DisplayArrayInTable(Scope3_SourceData.Scope3_Feed_Data(), Table_SourceData_Scope3_Feed[[#Headers],[Category]], -1, 2)</f>
        <v>Brazil</v>
      </c>
      <c r="G153" s="19" t="str" cm="1">
        <f t="array" ref="G153">Common_InputFunctions.Utility_DisplayArrayInTable(Scope3_SourceData.Scope3_Feed_Data(), Table_SourceData_Scope3_Feed[[#Headers],[Category]], -1, 2)</f>
        <v>kg</v>
      </c>
      <c r="H153" s="19" cm="1">
        <f t="array" ref="H153">Common_InputFunctions.Utility_DisplayArrayInTable(Scope3_SourceData.Scope3_Feed_Data(), Table_SourceData_Scope3_Feed[[#Headers],[Category]], -1, 2)</f>
        <v>0.42599999999999999</v>
      </c>
      <c r="I153" s="19" t="str" cm="1">
        <f t="array" ref="I153">Common_InputFunctions.Utility_DisplayArrayInTable(Scope3_SourceData.Scope3_Feed_Data(), Table_SourceData_Scope3_Feed[[#Headers],[Category]], -1, 2)</f>
        <v>at market</v>
      </c>
      <c r="J153" s="19" t="s">
        <v>1166</v>
      </c>
      <c r="L153" s="19" t="str">
        <f>Table_SourceData_Scope3_Feed[[#This Row],[Product]]</f>
        <v>Soybean meal</v>
      </c>
      <c r="M153" s="19" t="str">
        <f>Table_SourceData_Scope3_Feed[[#This Row],[Region of origin]]</f>
        <v>Brazil</v>
      </c>
      <c r="O153" s="19" t="s">
        <v>132</v>
      </c>
      <c r="P153" s="19" t="s">
        <v>1164</v>
      </c>
      <c r="Q153" s="1" t="str">
        <f>"Table_ProductRegions_" &amp; SUBSTITUTE(SUBSTITUTE(SUBSTITUTE(SUBSTITUTE(O154, " ", ""), ",", ""), "(", ""), ")", "")</f>
        <v>Table_ProductRegions_Wheatbran</v>
      </c>
    </row>
    <row r="154" spans="1:17" ht="20.100000000000001" customHeight="1" x14ac:dyDescent="0.2">
      <c r="D154" s="19" t="str" cm="1">
        <f t="array" ref="D154">Common_InputFunctions.Utility_DisplayArrayInTable(Scope3_SourceData.Scope3_Feed_Data(), Table_SourceData_Scope3_Feed[[#Headers],[Category]], -1, 2)</f>
        <v>Meal</v>
      </c>
      <c r="E154" s="19" t="str" cm="1">
        <f t="array" ref="E154">Common_InputFunctions.Utility_DisplayArrayInTable(Scope3_SourceData.Scope3_Feed_Data(), Table_SourceData_Scope3_Feed[[#Headers],[Category]], -1, 2)</f>
        <v>Wheat bran</v>
      </c>
      <c r="F154" s="19" t="str" cm="1">
        <f t="array" ref="F154">Common_InputFunctions.Utility_DisplayArrayInTable(Scope3_SourceData.Scope3_Feed_Data(), Table_SourceData_Scope3_Feed[[#Headers],[Category]], -1, 2)</f>
        <v>Australia</v>
      </c>
      <c r="G154" s="19" t="str" cm="1">
        <f t="array" ref="G154">Common_InputFunctions.Utility_DisplayArrayInTable(Scope3_SourceData.Scope3_Feed_Data(), Table_SourceData_Scope3_Feed[[#Headers],[Category]], -1, 2)</f>
        <v>kg</v>
      </c>
      <c r="H154" s="19" cm="1">
        <f t="array" ref="H154">Common_InputFunctions.Utility_DisplayArrayInTable(Scope3_SourceData.Scope3_Feed_Data(), Table_SourceData_Scope3_Feed[[#Headers],[Category]], -1, 2)</f>
        <v>0.19600000000000001</v>
      </c>
      <c r="I154" s="19" t="str" cm="1">
        <f t="array" ref="I154">Common_InputFunctions.Utility_DisplayArrayInTable(Scope3_SourceData.Scope3_Feed_Data(), Table_SourceData_Scope3_Feed[[#Headers],[Category]], -1, 2)</f>
        <v>at market</v>
      </c>
      <c r="J154" s="19" t="s">
        <v>1166</v>
      </c>
      <c r="L154" s="19" t="s">
        <v>132</v>
      </c>
      <c r="M154" s="19" t="s">
        <v>1164</v>
      </c>
      <c r="N154" s="1" t="str">
        <f>"Table_ProductRegions_" &amp; SUBSTITUTE(SUBSTITUTE(SUBSTITUTE(SUBSTITUTE(L155, " ", ""), ",", ""), "(", ""), ")", "")</f>
        <v>Table_ProductRegions_Bentonite</v>
      </c>
      <c r="O154" s="19" t="str">
        <f>Table_SourceData_Scope3_Feed[[#This Row],[Product]]</f>
        <v>Wheat bran</v>
      </c>
      <c r="P154" s="19" t="str">
        <f>Table_SourceData_Scope3_Feed[[#This Row],[Region of origin]]</f>
        <v>Australia</v>
      </c>
    </row>
    <row r="155" spans="1:17" ht="20.100000000000001" customHeight="1" x14ac:dyDescent="0.2">
      <c r="D155" s="1" t="str" cm="1">
        <f t="array" ref="D155">Common_InputFunctions.Utility_DisplayArrayInTable(Scope3_SourceData.Scope3_Feed_Data(), Table_SourceData_Scope3_Feed[[#Headers],[Category]], -5, 2)</f>
        <v>Other</v>
      </c>
      <c r="E155" s="1" t="str" cm="1">
        <f t="array" ref="E155">Common_InputFunctions.Utility_DisplayArrayInTable(Scope3_SourceData.Scope3_Feed_Data(), Table_SourceData_Scope3_Feed[[#Headers],[Category]], -5, 2)</f>
        <v>Bentonite</v>
      </c>
      <c r="F155" s="1" t="str" cm="1">
        <f t="array" ref="F155">Common_InputFunctions.Utility_DisplayArrayInTable(Scope3_SourceData.Scope3_Feed_Data(), Table_SourceData_Scope3_Feed[[#Headers],[Category]], -5, 2)</f>
        <v>Australia</v>
      </c>
      <c r="G155" s="1" t="str" cm="1">
        <f t="array" ref="G155">Common_InputFunctions.Utility_DisplayArrayInTable(Scope3_SourceData.Scope3_Feed_Data(), Table_SourceData_Scope3_Feed[[#Headers],[Category]], -5, 2)</f>
        <v>kg</v>
      </c>
      <c r="H155" s="1" cm="1">
        <f t="array" ref="H155">Common_InputFunctions.Utility_DisplayArrayInTable(Scope3_SourceData.Scope3_Feed_Data(), Table_SourceData_Scope3_Feed[[#Headers],[Category]], -5, 2)</f>
        <v>6.5199999999999994E-2</v>
      </c>
      <c r="I155" s="1" t="str" cm="1">
        <f t="array" ref="I155">Common_InputFunctions.Utility_DisplayArrayInTable(Scope3_SourceData.Scope3_Feed_Data(), Table_SourceData_Scope3_Feed[[#Headers],[Category]], -5, 2)</f>
        <v>at market</v>
      </c>
      <c r="J155" s="19" t="s">
        <v>1166</v>
      </c>
      <c r="L155" s="19" t="str">
        <f>Table_SourceData_Scope3_Feed[[#This Row],[Product]]</f>
        <v>Bentonite</v>
      </c>
      <c r="M155" s="19" t="str">
        <f>Table_SourceData_Scope3_Feed[[#This Row],[Region of origin]]</f>
        <v>Australia</v>
      </c>
      <c r="O155" s="19" t="s">
        <v>132</v>
      </c>
      <c r="P155" s="19" t="s">
        <v>1164</v>
      </c>
      <c r="Q155" s="1" t="str">
        <f>"Table_ProductRegions_" &amp; SUBSTITUTE(SUBSTITUTE(SUBSTITUTE(SUBSTITUTE(O156, " ", ""), ",", ""), "(", ""), ")", "")</f>
        <v>Table_ProductRegions_Canolaoil</v>
      </c>
    </row>
    <row r="156" spans="1:17" ht="20.100000000000001" customHeight="1" x14ac:dyDescent="0.2">
      <c r="A156" s="79" t="str">
        <f>HYPERLINK("#A1", "▲ Back to top")</f>
        <v>▲ Back to top</v>
      </c>
      <c r="D156" s="1" t="str" cm="1">
        <f t="array" ref="D156">Common_InputFunctions.Utility_DisplayArrayInTable(Scope3_SourceData.Scope3_Feed_Data(), Table_SourceData_Scope3_Feed[[#Headers],[Category]], -5, 2)</f>
        <v>Other</v>
      </c>
      <c r="E156" s="1" t="str" cm="1">
        <f t="array" ref="E156">Common_InputFunctions.Utility_DisplayArrayInTable(Scope3_SourceData.Scope3_Feed_Data(), Table_SourceData_Scope3_Feed[[#Headers],[Category]], -5, 2)</f>
        <v>Canola oil</v>
      </c>
      <c r="F156" s="1" t="str" cm="1">
        <f t="array" ref="F156">Common_InputFunctions.Utility_DisplayArrayInTable(Scope3_SourceData.Scope3_Feed_Data(), Table_SourceData_Scope3_Feed[[#Headers],[Category]], -5, 2)</f>
        <v>Australia</v>
      </c>
      <c r="G156" s="1" t="str" cm="1">
        <f t="array" ref="G156">Common_InputFunctions.Utility_DisplayArrayInTable(Scope3_SourceData.Scope3_Feed_Data(), Table_SourceData_Scope3_Feed[[#Headers],[Category]], -5, 2)</f>
        <v>kg</v>
      </c>
      <c r="H156" s="1" cm="1">
        <f t="array" ref="H156">Common_InputFunctions.Utility_DisplayArrayInTable(Scope3_SourceData.Scope3_Feed_Data(), Table_SourceData_Scope3_Feed[[#Headers],[Category]], -5, 2)</f>
        <v>0.87</v>
      </c>
      <c r="I156" s="1" t="str" cm="1">
        <f t="array" ref="I156">Common_InputFunctions.Utility_DisplayArrayInTable(Scope3_SourceData.Scope3_Feed_Data(), Table_SourceData_Scope3_Feed[[#Headers],[Category]], -5, 2)</f>
        <v>at market</v>
      </c>
      <c r="J156" s="19" t="s">
        <v>1166</v>
      </c>
      <c r="L156" s="19" t="s">
        <v>132</v>
      </c>
      <c r="M156" s="19" t="s">
        <v>1164</v>
      </c>
      <c r="N156" s="1" t="str">
        <f>"Table_ProductRegions_" &amp; SUBSTITUTE(SUBSTITUTE(SUBSTITUTE(SUBSTITUTE(L157, " ", ""), ",", ""), "(", ""), ")", "")</f>
        <v>Table_ProductRegions_Cottonseed</v>
      </c>
      <c r="O156" s="19" t="str">
        <f>Table_SourceData_Scope3_Feed[[#This Row],[Product]]</f>
        <v>Canola oil</v>
      </c>
      <c r="P156" s="19" t="str">
        <f>Table_SourceData_Scope3_Feed[[#This Row],[Region of origin]]</f>
        <v>Australia</v>
      </c>
    </row>
    <row r="157" spans="1:17" ht="20.100000000000001" customHeight="1" x14ac:dyDescent="0.2">
      <c r="D157" s="1" t="str" cm="1">
        <f t="array" ref="D157">Common_InputFunctions.Utility_DisplayArrayInTable(Scope3_SourceData.Scope3_Feed_Data(), Table_SourceData_Scope3_Feed[[#Headers],[Category]], -5, 2)</f>
        <v>Other</v>
      </c>
      <c r="E157" s="1" t="str" cm="1">
        <f t="array" ref="E157">Common_InputFunctions.Utility_DisplayArrayInTable(Scope3_SourceData.Scope3_Feed_Data(), Table_SourceData_Scope3_Feed[[#Headers],[Category]], -5, 2)</f>
        <v>Cotton seed</v>
      </c>
      <c r="F157" s="1" t="str" cm="1">
        <f t="array" ref="F157">Common_InputFunctions.Utility_DisplayArrayInTable(Scope3_SourceData.Scope3_Feed_Data(), Table_SourceData_Scope3_Feed[[#Headers],[Category]], -5, 2)</f>
        <v>Australia</v>
      </c>
      <c r="G157" s="1" t="str" cm="1">
        <f t="array" ref="G157">Common_InputFunctions.Utility_DisplayArrayInTable(Scope3_SourceData.Scope3_Feed_Data(), Table_SourceData_Scope3_Feed[[#Headers],[Category]], -5, 2)</f>
        <v>kg</v>
      </c>
      <c r="H157" s="1" cm="1">
        <f t="array" ref="H157">Common_InputFunctions.Utility_DisplayArrayInTable(Scope3_SourceData.Scope3_Feed_Data(), Table_SourceData_Scope3_Feed[[#Headers],[Category]], -5, 2)</f>
        <v>0.19700000000000001</v>
      </c>
      <c r="I157" s="1" t="str" cm="1">
        <f t="array" ref="I157">Common_InputFunctions.Utility_DisplayArrayInTable(Scope3_SourceData.Scope3_Feed_Data(), Table_SourceData_Scope3_Feed[[#Headers],[Category]], -5, 2)</f>
        <v>at market</v>
      </c>
      <c r="J157" s="19" t="s">
        <v>1166</v>
      </c>
      <c r="L157" s="19" t="str">
        <f>Table_SourceData_Scope3_Feed[[#This Row],[Product]]</f>
        <v>Cotton seed</v>
      </c>
      <c r="M157" s="19" t="str">
        <f>Table_SourceData_Scope3_Feed[[#This Row],[Region of origin]]</f>
        <v>Australia</v>
      </c>
      <c r="O157" s="19" t="s">
        <v>132</v>
      </c>
      <c r="P157" s="19" t="s">
        <v>1164</v>
      </c>
      <c r="Q157" s="1" t="str">
        <f>"Table_ProductRegions_" &amp; SUBSTITUTE(SUBSTITUTE(SUBSTITUTE(SUBSTITUTE(O158, " ", ""), ",", ""), "(", ""), ")", "")</f>
        <v>Table_ProductRegions_Molasses</v>
      </c>
    </row>
    <row r="158" spans="1:17" ht="20.100000000000001" customHeight="1" x14ac:dyDescent="0.2">
      <c r="D158" s="19" t="str" cm="1">
        <f t="array" ref="D158">Common_InputFunctions.Utility_DisplayArrayInTable(Scope3_SourceData.Scope3_Feed_Data(), Table_SourceData_Scope3_Feed[[#Headers],[Category]], -8, 2)</f>
        <v>Other</v>
      </c>
      <c r="E158" s="19" t="str" cm="1">
        <f t="array" ref="E158">Common_InputFunctions.Utility_DisplayArrayInTable(Scope3_SourceData.Scope3_Feed_Data(), Table_SourceData_Scope3_Feed[[#Headers],[Category]], -8, 2)</f>
        <v>Molasses</v>
      </c>
      <c r="F158" s="19" t="str" cm="1">
        <f t="array" ref="F158">Common_InputFunctions.Utility_DisplayArrayInTable(Scope3_SourceData.Scope3_Feed_Data(), Table_SourceData_Scope3_Feed[[#Headers],[Category]], -8, 2)</f>
        <v>QLD</v>
      </c>
      <c r="G158" s="19" t="str" cm="1">
        <f t="array" ref="G158">Common_InputFunctions.Utility_DisplayArrayInTable(Scope3_SourceData.Scope3_Feed_Data(), Table_SourceData_Scope3_Feed[[#Headers],[Category]], -8, 2)</f>
        <v>kg</v>
      </c>
      <c r="H158" s="19" cm="1">
        <f t="array" ref="H158">Common_InputFunctions.Utility_DisplayArrayInTable(Scope3_SourceData.Scope3_Feed_Data(), Table_SourceData_Scope3_Feed[[#Headers],[Category]], -8, 2)</f>
        <v>0.184</v>
      </c>
      <c r="I158" s="19" t="str" cm="1">
        <f t="array" ref="I158">Common_InputFunctions.Utility_DisplayArrayInTable(Scope3_SourceData.Scope3_Feed_Data(), Table_SourceData_Scope3_Feed[[#Headers],[Category]], -8, 2)</f>
        <v>at market</v>
      </c>
      <c r="J158" s="19"/>
      <c r="O158" s="19" t="str">
        <f>Table_SourceData_Scope3_Feed[[#This Row],[Product]]</f>
        <v>Molasses</v>
      </c>
      <c r="P158" s="19" t="str">
        <f>Table_SourceData_Scope3_Feed[[#This Row],[Region of origin]]</f>
        <v>QLD</v>
      </c>
    </row>
    <row r="161" spans="4:14" ht="20.100000000000001" customHeight="1" x14ac:dyDescent="0.2">
      <c r="D161" s="19" t="s">
        <v>1159</v>
      </c>
      <c r="E161" s="19" t="s">
        <v>132</v>
      </c>
      <c r="F161" s="19" t="s">
        <v>1160</v>
      </c>
      <c r="G161" s="19" t="s">
        <v>1161</v>
      </c>
      <c r="H161" s="19" t="s">
        <v>1162</v>
      </c>
      <c r="I161" s="19" t="s">
        <v>1163</v>
      </c>
      <c r="J161" s="19" t="s">
        <v>560</v>
      </c>
    </row>
    <row r="162" spans="4:14" ht="20.100000000000001" customHeight="1" x14ac:dyDescent="0.2">
      <c r="D162" s="19" t="str" cm="1">
        <f t="array" ref="D162">Common_InputFunctions.Utility_DisplayArrayInTable(Scope3_SourceData.Scope3_Feed_Data(), Table_SourceData_Scope3_MixedRations[[#Headers],[Category]], -66, 2)</f>
        <v>Mixed rations</v>
      </c>
      <c r="E162" s="19" t="str" cm="1">
        <f t="array" ref="E162">Common_InputFunctions.Utility_DisplayArrayInTable(Scope3_SourceData.Scope3_Feed_Data(), Table_SourceData_Scope3_MixedRations[[#Headers],[Category]], -66, 2)</f>
        <v>Feed for chickens</v>
      </c>
      <c r="F162" s="19" t="str" cm="1">
        <f t="array" ref="F162">Common_InputFunctions.Utility_DisplayArrayInTable(Scope3_SourceData.Scope3_Feed_Data(), Table_SourceData_Scope3_MixedRations[[#Headers],[Category]], -66, 2)</f>
        <v>Australia</v>
      </c>
      <c r="G162" s="19" t="str" cm="1">
        <f t="array" ref="G162">Common_InputFunctions.Utility_DisplayArrayInTable(Scope3_SourceData.Scope3_Feed_Data(), Table_SourceData_Scope3_MixedRations[[#Headers],[Category]], -66, 2)</f>
        <v>kg</v>
      </c>
      <c r="H162" s="19" cm="1">
        <f t="array" ref="H162">Common_InputFunctions.Utility_DisplayArrayInTable(Scope3_SourceData.Scope3_Feed_Data(), Table_SourceData_Scope3_MixedRations[[#Headers],[Category]], -66, 2)</f>
        <v>0.59399999999999997</v>
      </c>
      <c r="I162" s="19" t="str" cm="1">
        <f t="array" ref="I162">Common_InputFunctions.Utility_DisplayArrayInTable(Scope3_SourceData.Scope3_Feed_Data(), Table_SourceData_Scope3_MixedRations[[#Headers],[Category]], -66, 2)</f>
        <v>at market</v>
      </c>
      <c r="J162" s="19" t="s">
        <v>1166</v>
      </c>
    </row>
    <row r="163" spans="4:14" ht="20.100000000000001" customHeight="1" x14ac:dyDescent="0.2">
      <c r="D163" s="19" t="str" cm="1">
        <f t="array" ref="D163">Common_InputFunctions.Utility_DisplayArrayInTable(Scope3_SourceData.Scope3_Feed_Data(), Table_SourceData_Scope3_MixedRations[[#Headers],[Category]], -66, 2)</f>
        <v>Mixed rations</v>
      </c>
      <c r="E163" s="19" t="str" cm="1">
        <f t="array" ref="E163">Common_InputFunctions.Utility_DisplayArrayInTable(Scope3_SourceData.Scope3_Feed_Data(), Table_SourceData_Scope3_MixedRations[[#Headers],[Category]], -66, 2)</f>
        <v>Feed for dairy calves</v>
      </c>
      <c r="F163" s="19" t="str" cm="1">
        <f t="array" ref="F163">Common_InputFunctions.Utility_DisplayArrayInTable(Scope3_SourceData.Scope3_Feed_Data(), Table_SourceData_Scope3_MixedRations[[#Headers],[Category]], -66, 2)</f>
        <v>Australia</v>
      </c>
      <c r="G163" s="19" t="str" cm="1">
        <f t="array" ref="G163">Common_InputFunctions.Utility_DisplayArrayInTable(Scope3_SourceData.Scope3_Feed_Data(), Table_SourceData_Scope3_MixedRations[[#Headers],[Category]], -66, 2)</f>
        <v>kg</v>
      </c>
      <c r="H163" s="19" cm="1">
        <f t="array" ref="H163">Common_InputFunctions.Utility_DisplayArrayInTable(Scope3_SourceData.Scope3_Feed_Data(), Table_SourceData_Scope3_MixedRations[[#Headers],[Category]], -66, 2)</f>
        <v>0.41899999999999998</v>
      </c>
      <c r="I163" s="19" t="str" cm="1">
        <f t="array" ref="I163">Common_InputFunctions.Utility_DisplayArrayInTable(Scope3_SourceData.Scope3_Feed_Data(), Table_SourceData_Scope3_MixedRations[[#Headers],[Category]], -66, 2)</f>
        <v>at market</v>
      </c>
      <c r="J163" s="19" t="s">
        <v>1166</v>
      </c>
    </row>
    <row r="164" spans="4:14" ht="20.100000000000001" customHeight="1" x14ac:dyDescent="0.2">
      <c r="D164" s="19" t="str" cm="1">
        <f t="array" ref="D164">Common_InputFunctions.Utility_DisplayArrayInTable(Scope3_SourceData.Scope3_Feed_Data(), Table_SourceData_Scope3_MixedRations[[#Headers],[Category]], -66, 2)</f>
        <v>Mixed rations</v>
      </c>
      <c r="E164" s="19" t="str" cm="1">
        <f t="array" ref="E164">Common_InputFunctions.Utility_DisplayArrayInTable(Scope3_SourceData.Scope3_Feed_Data(), Table_SourceData_Scope3_MixedRations[[#Headers],[Category]], -66, 2)</f>
        <v>Feed for dairy cows</v>
      </c>
      <c r="F164" s="19" t="str" cm="1">
        <f t="array" ref="F164">Common_InputFunctions.Utility_DisplayArrayInTable(Scope3_SourceData.Scope3_Feed_Data(), Table_SourceData_Scope3_MixedRations[[#Headers],[Category]], -66, 2)</f>
        <v>Australia</v>
      </c>
      <c r="G164" s="19" t="str" cm="1">
        <f t="array" ref="G164">Common_InputFunctions.Utility_DisplayArrayInTable(Scope3_SourceData.Scope3_Feed_Data(), Table_SourceData_Scope3_MixedRations[[#Headers],[Category]], -66, 2)</f>
        <v>kg</v>
      </c>
      <c r="H164" s="19" cm="1">
        <f t="array" ref="H164">Common_InputFunctions.Utility_DisplayArrayInTable(Scope3_SourceData.Scope3_Feed_Data(), Table_SourceData_Scope3_MixedRations[[#Headers],[Category]], -66, 2)</f>
        <v>0.33300000000000002</v>
      </c>
      <c r="I164" s="19" t="str" cm="1">
        <f t="array" ref="I164">Common_InputFunctions.Utility_DisplayArrayInTable(Scope3_SourceData.Scope3_Feed_Data(), Table_SourceData_Scope3_MixedRations[[#Headers],[Category]], -66, 2)</f>
        <v>at market</v>
      </c>
      <c r="J164" s="19" t="s">
        <v>1166</v>
      </c>
    </row>
    <row r="165" spans="4:14" ht="20.100000000000001" customHeight="1" x14ac:dyDescent="0.2">
      <c r="D165" s="19" t="str" cm="1">
        <f t="array" ref="D165">Common_InputFunctions.Utility_DisplayArrayInTable(Scope3_SourceData.Scope3_Feed_Data(), Table_SourceData_Scope3_MixedRations[[#Headers],[Category]], -66, 2)</f>
        <v>Mixed rations</v>
      </c>
      <c r="E165" s="19" t="str" cm="1">
        <f t="array" ref="E165">Common_InputFunctions.Utility_DisplayArrayInTable(Scope3_SourceData.Scope3_Feed_Data(), Table_SourceData_Scope3_MixedRations[[#Headers],[Category]], -66, 2)</f>
        <v>Feed for pigs</v>
      </c>
      <c r="F165" s="19" t="str" cm="1">
        <f t="array" ref="F165">Common_InputFunctions.Utility_DisplayArrayInTable(Scope3_SourceData.Scope3_Feed_Data(), Table_SourceData_Scope3_MixedRations[[#Headers],[Category]], -66, 2)</f>
        <v>Australia</v>
      </c>
      <c r="G165" s="19" t="str" cm="1">
        <f t="array" ref="G165">Common_InputFunctions.Utility_DisplayArrayInTable(Scope3_SourceData.Scope3_Feed_Data(), Table_SourceData_Scope3_MixedRations[[#Headers],[Category]], -66, 2)</f>
        <v>kg</v>
      </c>
      <c r="H165" s="19" cm="1">
        <f t="array" ref="H165">Common_InputFunctions.Utility_DisplayArrayInTable(Scope3_SourceData.Scope3_Feed_Data(), Table_SourceData_Scope3_MixedRations[[#Headers],[Category]], -66, 2)</f>
        <v>0.40300000000000002</v>
      </c>
      <c r="I165" s="19" t="str" cm="1">
        <f t="array" ref="I165">Common_InputFunctions.Utility_DisplayArrayInTable(Scope3_SourceData.Scope3_Feed_Data(), Table_SourceData_Scope3_MixedRations[[#Headers],[Category]], -66, 2)</f>
        <v>at market</v>
      </c>
      <c r="J165" s="19" t="s">
        <v>1166</v>
      </c>
    </row>
    <row r="167" spans="4:14" ht="20.100000000000001" customHeight="1" x14ac:dyDescent="0.2">
      <c r="D167" s="19" t="s">
        <v>1159</v>
      </c>
      <c r="E167" s="19" t="s">
        <v>132</v>
      </c>
      <c r="F167" s="19" t="s">
        <v>1160</v>
      </c>
      <c r="G167" s="19" t="s">
        <v>1161</v>
      </c>
      <c r="H167" s="19" t="s">
        <v>1162</v>
      </c>
      <c r="I167" s="19" t="s">
        <v>1163</v>
      </c>
      <c r="J167" s="19" t="s">
        <v>560</v>
      </c>
    </row>
    <row r="168" spans="4:14" ht="20.100000000000001" customHeight="1" x14ac:dyDescent="0.2">
      <c r="D168" s="19" t="str" cm="1">
        <f t="array" ref="D168">Common_InputFunctions.Utility_DisplayArrayInTable(Scope3_SourceData.Scope3_Feed_Data(), Table_SourceData_Scope3_LickBlocks[[#Headers],[Category]], -73, 2)</f>
        <v>Other</v>
      </c>
      <c r="E168" s="19" t="str" cm="1">
        <f t="array" ref="E168">Common_InputFunctions.Utility_DisplayArrayInTable(Scope3_SourceData.Scope3_Feed_Data(), Table_SourceData_Scope3_LickBlocks[[#Headers],[Category]], -73, 2)</f>
        <v>Lick block, dry season mix</v>
      </c>
      <c r="F168" s="19" t="str" cm="1">
        <f t="array" ref="F168">Common_InputFunctions.Utility_DisplayArrayInTable(Scope3_SourceData.Scope3_Feed_Data(), Table_SourceData_Scope3_LickBlocks[[#Headers],[Category]], -73, 2)</f>
        <v>Australia</v>
      </c>
      <c r="G168" s="19" t="str" cm="1">
        <f t="array" ref="G168">Common_InputFunctions.Utility_DisplayArrayInTable(Scope3_SourceData.Scope3_Feed_Data(), Table_SourceData_Scope3_LickBlocks[[#Headers],[Category]], -73, 2)</f>
        <v>kg</v>
      </c>
      <c r="H168" s="19" cm="1">
        <f t="array" ref="H168">Common_InputFunctions.Utility_DisplayArrayInTable(Scope3_SourceData.Scope3_Feed_Data(), Table_SourceData_Scope3_LickBlocks[[#Headers],[Category]], -73, 2)</f>
        <v>0.88100000000000001</v>
      </c>
      <c r="I168" s="19" t="str" cm="1">
        <f t="array" ref="I168">Common_InputFunctions.Utility_DisplayArrayInTable(Scope3_SourceData.Scope3_Feed_Data(), Table_SourceData_Scope3_LickBlocks[[#Headers],[Category]], -73, 2)</f>
        <v>at market</v>
      </c>
      <c r="J168" s="19" t="s">
        <v>1166</v>
      </c>
    </row>
    <row r="169" spans="4:14" ht="20.100000000000001" customHeight="1" x14ac:dyDescent="0.2">
      <c r="D169" s="19" t="str" cm="1">
        <f t="array" ref="D169">Common_InputFunctions.Utility_DisplayArrayInTable(Scope3_SourceData.Scope3_Feed_Data(), Table_SourceData_Scope3_LickBlocks[[#Headers],[Category]], -73, 2)</f>
        <v>Other</v>
      </c>
      <c r="E169" s="19" t="str" cm="1">
        <f t="array" ref="E169">Common_InputFunctions.Utility_DisplayArrayInTable(Scope3_SourceData.Scope3_Feed_Data(), Table_SourceData_Scope3_LickBlocks[[#Headers],[Category]], -73, 2)</f>
        <v>Lick block, mineral</v>
      </c>
      <c r="F169" s="19" t="str" cm="1">
        <f t="array" ref="F169">Common_InputFunctions.Utility_DisplayArrayInTable(Scope3_SourceData.Scope3_Feed_Data(), Table_SourceData_Scope3_LickBlocks[[#Headers],[Category]], -73, 2)</f>
        <v>Australia</v>
      </c>
      <c r="G169" s="19" t="str" cm="1">
        <f t="array" ref="G169">Common_InputFunctions.Utility_DisplayArrayInTable(Scope3_SourceData.Scope3_Feed_Data(), Table_SourceData_Scope3_LickBlocks[[#Headers],[Category]], -73, 2)</f>
        <v>kg</v>
      </c>
      <c r="H169" s="19" cm="1">
        <f t="array" ref="H169">Common_InputFunctions.Utility_DisplayArrayInTable(Scope3_SourceData.Scope3_Feed_Data(), Table_SourceData_Scope3_LickBlocks[[#Headers],[Category]], -73, 2)</f>
        <v>0.67700000000000005</v>
      </c>
      <c r="I169" s="19" t="str" cm="1">
        <f t="array" ref="I169">Common_InputFunctions.Utility_DisplayArrayInTable(Scope3_SourceData.Scope3_Feed_Data(), Table_SourceData_Scope3_LickBlocks[[#Headers],[Category]], -73, 2)</f>
        <v>at market</v>
      </c>
      <c r="J169" s="19" t="s">
        <v>1166</v>
      </c>
    </row>
    <row r="170" spans="4:14" ht="20.100000000000001" customHeight="1" x14ac:dyDescent="0.2">
      <c r="D170" s="19" t="str" cm="1">
        <f t="array" ref="D170">Common_InputFunctions.Utility_DisplayArrayInTable(Scope3_SourceData.Scope3_Feed_Data(), Table_SourceData_Scope3_LickBlocks[[#Headers],[Category]], -73, 2)</f>
        <v>Other</v>
      </c>
      <c r="E170" s="19" t="str" cm="1">
        <f t="array" ref="E170">Common_InputFunctions.Utility_DisplayArrayInTable(Scope3_SourceData.Scope3_Feed_Data(), Table_SourceData_Scope3_LickBlocks[[#Headers],[Category]], -73, 2)</f>
        <v>Lick block, weaner</v>
      </c>
      <c r="F170" s="19" t="str" cm="1">
        <f t="array" ref="F170">Common_InputFunctions.Utility_DisplayArrayInTable(Scope3_SourceData.Scope3_Feed_Data(), Table_SourceData_Scope3_LickBlocks[[#Headers],[Category]], -73, 2)</f>
        <v>Australia</v>
      </c>
      <c r="G170" s="19" t="str" cm="1">
        <f t="array" ref="G170">Common_InputFunctions.Utility_DisplayArrayInTable(Scope3_SourceData.Scope3_Feed_Data(), Table_SourceData_Scope3_LickBlocks[[#Headers],[Category]], -73, 2)</f>
        <v>kg</v>
      </c>
      <c r="H170" s="19" cm="1">
        <f t="array" ref="H170">Common_InputFunctions.Utility_DisplayArrayInTable(Scope3_SourceData.Scope3_Feed_Data(), Table_SourceData_Scope3_LickBlocks[[#Headers],[Category]], -73, 2)</f>
        <v>0.23100000000000001</v>
      </c>
      <c r="I170" s="19" t="str" cm="1">
        <f t="array" ref="I170">Common_InputFunctions.Utility_DisplayArrayInTable(Scope3_SourceData.Scope3_Feed_Data(), Table_SourceData_Scope3_LickBlocks[[#Headers],[Category]], -73, 2)</f>
        <v>at market</v>
      </c>
      <c r="J170" s="19" t="s">
        <v>1166</v>
      </c>
    </row>
    <row r="172" spans="4:14" ht="20.100000000000001" customHeight="1" x14ac:dyDescent="0.2">
      <c r="D172" s="2" t="s">
        <v>1176</v>
      </c>
    </row>
    <row r="173" spans="4:14" ht="20.100000000000001" customHeight="1" x14ac:dyDescent="0.2">
      <c r="D173" s="19" t="s">
        <v>1159</v>
      </c>
      <c r="E173" s="19" t="s">
        <v>132</v>
      </c>
      <c r="F173" s="19" t="s">
        <v>1160</v>
      </c>
      <c r="G173" s="19" t="s">
        <v>810</v>
      </c>
      <c r="H173" s="19" t="s">
        <v>703</v>
      </c>
      <c r="I173" s="19" t="s">
        <v>704</v>
      </c>
      <c r="J173" s="19" t="s">
        <v>1177</v>
      </c>
      <c r="K173" s="19" t="s">
        <v>1161</v>
      </c>
      <c r="L173" s="19" t="s">
        <v>1162</v>
      </c>
      <c r="M173" s="19" t="s">
        <v>1163</v>
      </c>
      <c r="N173" s="19" t="s">
        <v>560</v>
      </c>
    </row>
    <row r="174" spans="4:14" ht="20.100000000000001" customHeight="1" x14ac:dyDescent="0.2">
      <c r="D174" s="19" t="str" cm="1">
        <f t="array" ref="D174">Common_InputFunctions.Utility_DisplayArrayInTable(Scope3_SourceData.Scope3_InorganicFertilisers_Data(), Table_SourceData_Scope3_InorganicFertiliser[[#Headers],[Category]], 0, 2)</f>
        <v>Inorganic fertilisers</v>
      </c>
      <c r="E174" s="19" t="str" cm="1">
        <f t="array" ref="E174">Common_InputFunctions.Utility_DisplayArrayInTable(Scope3_SourceData.Scope3_InorganicFertilisers_Data(), Table_SourceData_Scope3_InorganicFertiliser[[#Headers],[Category]], 0, 2)</f>
        <v>Ammonia, AU market mix</v>
      </c>
      <c r="F174" s="19" t="str" cm="1">
        <f t="array" ref="F174">Common_InputFunctions.Utility_DisplayArrayInTable(Scope3_SourceData.Scope3_InorganicFertilisers_Data(), Table_SourceData_Scope3_InorganicFertiliser[[#Headers],[Category]], 0, 2)</f>
        <v>Global</v>
      </c>
      <c r="G174" s="19" t="str">
        <f>'Constants - Fertiliser'!$D$37</f>
        <v>Ammonia</v>
      </c>
      <c r="H174" s="19"/>
      <c r="I174" s="19" t="str">
        <f>'Constants - Fertiliser'!$V$20</f>
        <v>Global</v>
      </c>
      <c r="J174" s="19"/>
      <c r="K174" s="19" t="str" cm="1">
        <f t="array" ref="K174">Common_InputFunctions.Utility_DisplayArrayInTable(Scope3_SourceData.Scope3_InorganicFertilisers_Data(), Table_SourceData_Scope3_InorganicFertiliser[[#Headers],[Category]], 0, -2)</f>
        <v>kg</v>
      </c>
      <c r="L174" s="19" cm="1">
        <f t="array" ref="L174">Common_InputFunctions.Utility_DisplayArrayInTable(Scope3_SourceData.Scope3_InorganicFertilisers_Data(), Table_SourceData_Scope3_InorganicFertiliser[[#Headers],[Category]], 0, -2)</f>
        <v>2.3199999999999998</v>
      </c>
      <c r="M174" s="19" t="str" cm="1">
        <f t="array" ref="M174">Common_InputFunctions.Utility_DisplayArrayInTable(Scope3_SourceData.Scope3_InorganicFertilisers_Data(), Table_SourceData_Scope3_InorganicFertiliser[[#Headers],[Category]], 0, -2)</f>
        <v>at market</v>
      </c>
      <c r="N174" s="19" t="s">
        <v>1166</v>
      </c>
    </row>
    <row r="175" spans="4:14" ht="20.100000000000001" customHeight="1" x14ac:dyDescent="0.2">
      <c r="D175" s="19" t="str" cm="1">
        <f t="array" ref="D175">Common_InputFunctions.Utility_DisplayArrayInTable(Scope3_SourceData.Scope3_InorganicFertilisers_Data(), Table_SourceData_Scope3_InorganicFertiliser[[#Headers],[Category]], 0, 2)</f>
        <v>Inorganic fertilisers</v>
      </c>
      <c r="E175" s="19" t="str" cm="1">
        <f t="array" ref="E175">Common_InputFunctions.Utility_DisplayArrayInTable(Scope3_SourceData.Scope3_InorganicFertilisers_Data(), Table_SourceData_Scope3_InorganicFertiliser[[#Headers],[Category]], 0, 2)</f>
        <v>Ammonia, Canada</v>
      </c>
      <c r="F175" s="19" t="str" cm="1">
        <f t="array" ref="F175">Common_InputFunctions.Utility_DisplayArrayInTable(Scope3_SourceData.Scope3_InorganicFertilisers_Data(), Table_SourceData_Scope3_InorganicFertiliser[[#Headers],[Category]], 0, 2)</f>
        <v>Canada</v>
      </c>
      <c r="G175" s="19" t="str">
        <f>'Constants - Fertiliser'!$D$37</f>
        <v>Ammonia</v>
      </c>
      <c r="H175" s="19"/>
      <c r="I175" s="19" t="str">
        <f>'Constants - Fertiliser'!$V$21</f>
        <v>Canada</v>
      </c>
      <c r="J175" s="19"/>
      <c r="K175" s="19" t="str" cm="1">
        <f t="array" ref="K175">Common_InputFunctions.Utility_DisplayArrayInTable(Scope3_SourceData.Scope3_InorganicFertilisers_Data(), Table_SourceData_Scope3_InorganicFertiliser[[#Headers],[Category]], 0, -2)</f>
        <v>kg</v>
      </c>
      <c r="L175" s="19" cm="1">
        <f t="array" ref="L175">Common_InputFunctions.Utility_DisplayArrayInTable(Scope3_SourceData.Scope3_InorganicFertilisers_Data(), Table_SourceData_Scope3_InorganicFertiliser[[#Headers],[Category]], 0, -2)</f>
        <v>2.12</v>
      </c>
      <c r="M175" s="19" t="str" cm="1">
        <f t="array" ref="M175">Common_InputFunctions.Utility_DisplayArrayInTable(Scope3_SourceData.Scope3_InorganicFertilisers_Data(), Table_SourceData_Scope3_InorganicFertiliser[[#Headers],[Category]], 0, -2)</f>
        <v>at market</v>
      </c>
      <c r="N175" s="19" t="s">
        <v>1166</v>
      </c>
    </row>
    <row r="176" spans="4:14" ht="20.100000000000001" customHeight="1" x14ac:dyDescent="0.2">
      <c r="D176" s="19" t="str" cm="1">
        <f t="array" ref="D176">Common_InputFunctions.Utility_DisplayArrayInTable(Scope3_SourceData.Scope3_InorganicFertilisers_Data(), Table_SourceData_Scope3_InorganicFertiliser[[#Headers],[Category]], 0, 2)</f>
        <v>Inorganic fertilisers</v>
      </c>
      <c r="E176" s="19" t="str" cm="1">
        <f t="array" ref="E176">Common_InputFunctions.Utility_DisplayArrayInTable(Scope3_SourceData.Scope3_InorganicFertilisers_Data(), Table_SourceData_Scope3_InorganicFertiliser[[#Headers],[Category]], 0, 2)</f>
        <v>Ammonia, China</v>
      </c>
      <c r="F176" s="19" t="str" cm="1">
        <f t="array" ref="F176">Common_InputFunctions.Utility_DisplayArrayInTable(Scope3_SourceData.Scope3_InorganicFertilisers_Data(), Table_SourceData_Scope3_InorganicFertiliser[[#Headers],[Category]], 0, 2)</f>
        <v>China</v>
      </c>
      <c r="G176" s="19" t="str">
        <f>'Constants - Fertiliser'!$D$37</f>
        <v>Ammonia</v>
      </c>
      <c r="H176" s="19"/>
      <c r="I176" s="19" t="str">
        <f>'Constants - Fertiliser'!$V$22</f>
        <v>China</v>
      </c>
      <c r="J176" s="19"/>
      <c r="K176" s="19" t="str" cm="1">
        <f t="array" ref="K176">Common_InputFunctions.Utility_DisplayArrayInTable(Scope3_SourceData.Scope3_InorganicFertilisers_Data(), Table_SourceData_Scope3_InorganicFertiliser[[#Headers],[Category]], 0, -2)</f>
        <v>kg</v>
      </c>
      <c r="L176" s="19" cm="1">
        <f t="array" ref="L176">Common_InputFunctions.Utility_DisplayArrayInTable(Scope3_SourceData.Scope3_InorganicFertilisers_Data(), Table_SourceData_Scope3_InorganicFertiliser[[#Headers],[Category]], 0, -2)</f>
        <v>4.17</v>
      </c>
      <c r="M176" s="19" t="str" cm="1">
        <f t="array" ref="M176">Common_InputFunctions.Utility_DisplayArrayInTable(Scope3_SourceData.Scope3_InorganicFertilisers_Data(), Table_SourceData_Scope3_InorganicFertiliser[[#Headers],[Category]], 0, -2)</f>
        <v>at market</v>
      </c>
      <c r="N176" s="19" t="s">
        <v>1166</v>
      </c>
    </row>
    <row r="177" spans="1:14" ht="20.100000000000001" customHeight="1" x14ac:dyDescent="0.2">
      <c r="D177" s="19" t="str" cm="1">
        <f t="array" ref="D177">Common_InputFunctions.Utility_DisplayArrayInTable(Scope3_SourceData.Scope3_InorganicFertilisers_Data(), Table_SourceData_Scope3_InorganicFertiliser[[#Headers],[Category]], 0, 2)</f>
        <v>Inorganic fertilisers</v>
      </c>
      <c r="E177" s="19" t="str" cm="1">
        <f t="array" ref="E177">Common_InputFunctions.Utility_DisplayArrayInTable(Scope3_SourceData.Scope3_InorganicFertilisers_Data(), Table_SourceData_Scope3_InorganicFertiliser[[#Headers],[Category]], 0, 2)</f>
        <v>Ammonia, Yemen</v>
      </c>
      <c r="F177" s="19" t="str" cm="1">
        <f t="array" ref="F177">Common_InputFunctions.Utility_DisplayArrayInTable(Scope3_SourceData.Scope3_InorganicFertilisers_Data(), Table_SourceData_Scope3_InorganicFertiliser[[#Headers],[Category]], 0, 2)</f>
        <v>Yemen</v>
      </c>
      <c r="G177" s="19" t="str">
        <f>'Constants - Fertiliser'!$D$37</f>
        <v>Ammonia</v>
      </c>
      <c r="H177" s="19"/>
      <c r="I177" s="19" t="str">
        <f>'Constants - Fertiliser'!$V$23</f>
        <v>Yemen</v>
      </c>
      <c r="J177" s="19"/>
      <c r="K177" s="19" t="str" cm="1">
        <f t="array" ref="K177">Common_InputFunctions.Utility_DisplayArrayInTable(Scope3_SourceData.Scope3_InorganicFertilisers_Data(), Table_SourceData_Scope3_InorganicFertiliser[[#Headers],[Category]], 0, -2)</f>
        <v>kg</v>
      </c>
      <c r="L177" s="19" cm="1">
        <f t="array" ref="L177">Common_InputFunctions.Utility_DisplayArrayInTable(Scope3_SourceData.Scope3_InorganicFertilisers_Data(), Table_SourceData_Scope3_InorganicFertiliser[[#Headers],[Category]], 0, -2)</f>
        <v>2.2599999999999998</v>
      </c>
      <c r="M177" s="19" t="str" cm="1">
        <f t="array" ref="M177">Common_InputFunctions.Utility_DisplayArrayInTable(Scope3_SourceData.Scope3_InorganicFertilisers_Data(), Table_SourceData_Scope3_InorganicFertiliser[[#Headers],[Category]], 0, -2)</f>
        <v>at market</v>
      </c>
      <c r="N177" s="19" t="s">
        <v>1166</v>
      </c>
    </row>
    <row r="178" spans="1:14" ht="20.100000000000001" customHeight="1" x14ac:dyDescent="0.2">
      <c r="D178" s="19" t="str" cm="1">
        <f t="array" ref="D178">Common_InputFunctions.Utility_DisplayArrayInTable(Scope3_SourceData.Scope3_InorganicFertilisers_Data(), Table_SourceData_Scope3_InorganicFertiliser[[#Headers],[Category]], 0, 2)</f>
        <v>Inorganic fertilisers</v>
      </c>
      <c r="E178" s="19" t="str" cm="1">
        <f t="array" ref="E178">Common_InputFunctions.Utility_DisplayArrayInTable(Scope3_SourceData.Scope3_InorganicFertilisers_Data(), Table_SourceData_Scope3_InorganicFertiliser[[#Headers],[Category]], 0, 2)</f>
        <v>Ammonium nitrate, AU market mix</v>
      </c>
      <c r="F178" s="19" t="str" cm="1">
        <f t="array" ref="F178">Common_InputFunctions.Utility_DisplayArrayInTable(Scope3_SourceData.Scope3_InorganicFertilisers_Data(), Table_SourceData_Scope3_InorganicFertiliser[[#Headers],[Category]], 0, 2)</f>
        <v>Global</v>
      </c>
      <c r="G178" s="19" t="str">
        <f>'Constants - Fertiliser'!$D$25</f>
        <v>Ammonium nitrate (AN)</v>
      </c>
      <c r="H178" s="19"/>
      <c r="I178" s="19"/>
      <c r="J178" s="19"/>
      <c r="K178" s="19" t="str" cm="1">
        <f t="array" ref="K178">Common_InputFunctions.Utility_DisplayArrayInTable(Scope3_SourceData.Scope3_InorganicFertilisers_Data(), Table_SourceData_Scope3_InorganicFertiliser[[#Headers],[Category]], 0, -2)</f>
        <v>kg</v>
      </c>
      <c r="L178" s="19" cm="1">
        <f t="array" ref="L178">Common_InputFunctions.Utility_DisplayArrayInTable(Scope3_SourceData.Scope3_InorganicFertilisers_Data(), Table_SourceData_Scope3_InorganicFertiliser[[#Headers],[Category]], 0, -2)</f>
        <v>2.21</v>
      </c>
      <c r="M178" s="19" t="str" cm="1">
        <f t="array" ref="M178">Common_InputFunctions.Utility_DisplayArrayInTable(Scope3_SourceData.Scope3_InorganicFertilisers_Data(), Table_SourceData_Scope3_InorganicFertiliser[[#Headers],[Category]], 0, -2)</f>
        <v>at market</v>
      </c>
      <c r="N178" s="19" t="s">
        <v>1166</v>
      </c>
    </row>
    <row r="179" spans="1:14" ht="20.100000000000001" customHeight="1" x14ac:dyDescent="0.2">
      <c r="D179" s="19" t="str" cm="1">
        <f t="array" ref="D179">Common_InputFunctions.Utility_DisplayArrayInTable(Scope3_SourceData.Scope3_InorganicFertilisers_Data(), Table_SourceData_Scope3_InorganicFertiliser[[#Headers],[Category]], 0, 2)</f>
        <v>Inorganic fertilisers</v>
      </c>
      <c r="E179" s="19" t="str" cm="1">
        <f t="array" ref="E179">Common_InputFunctions.Utility_DisplayArrayInTable(Scope3_SourceData.Scope3_InorganicFertilisers_Data(), Table_SourceData_Scope3_InorganicFertiliser[[#Headers],[Category]], 0, 2)</f>
        <v>Calcium ammonium nitrate, AU market mix</v>
      </c>
      <c r="F179" s="19" t="str" cm="1">
        <f t="array" ref="F179">Common_InputFunctions.Utility_DisplayArrayInTable(Scope3_SourceData.Scope3_InorganicFertilisers_Data(), Table_SourceData_Scope3_InorganicFertiliser[[#Headers],[Category]], 0, 2)</f>
        <v>Global</v>
      </c>
      <c r="G179" s="19" t="str">
        <f>'Constants - Fertiliser'!$D$26</f>
        <v>Calcium ammonium nitrate (CAN)</v>
      </c>
      <c r="H179" s="19"/>
      <c r="I179" s="19"/>
      <c r="J179" s="19"/>
      <c r="K179" s="19" t="str" cm="1">
        <f t="array" ref="K179">Common_InputFunctions.Utility_DisplayArrayInTable(Scope3_SourceData.Scope3_InorganicFertilisers_Data(), Table_SourceData_Scope3_InorganicFertiliser[[#Headers],[Category]], 0, -2)</f>
        <v>kg</v>
      </c>
      <c r="L179" s="19" cm="1">
        <f t="array" ref="L179">Common_InputFunctions.Utility_DisplayArrayInTable(Scope3_SourceData.Scope3_InorganicFertilisers_Data(), Table_SourceData_Scope3_InorganicFertiliser[[#Headers],[Category]], 0, -2)</f>
        <v>1.1499999999999999</v>
      </c>
      <c r="M179" s="19" t="str" cm="1">
        <f t="array" ref="M179">Common_InputFunctions.Utility_DisplayArrayInTable(Scope3_SourceData.Scope3_InorganicFertilisers_Data(), Table_SourceData_Scope3_InorganicFertiliser[[#Headers],[Category]], 0, -2)</f>
        <v>at market</v>
      </c>
      <c r="N179" s="19" t="s">
        <v>1166</v>
      </c>
    </row>
    <row r="180" spans="1:14" ht="20.100000000000001" customHeight="1" x14ac:dyDescent="0.2">
      <c r="D180" s="19" t="str" cm="1">
        <f t="array" ref="D180">Common_InputFunctions.Utility_DisplayArrayInTable(Scope3_SourceData.Scope3_InorganicFertilisers_Data(), Table_SourceData_Scope3_InorganicFertiliser[[#Headers],[Category]], 0, 2)</f>
        <v>Inorganic fertilisers</v>
      </c>
      <c r="E180" s="19" t="str" cm="1">
        <f t="array" ref="E180">Common_InputFunctions.Utility_DisplayArrayInTable(Scope3_SourceData.Scope3_InorganicFertilisers_Data(), Table_SourceData_Scope3_InorganicFertiliser[[#Headers],[Category]], 0, 2)</f>
        <v>Calcium nitrate</v>
      </c>
      <c r="F180" s="19" t="str" cm="1">
        <f t="array" ref="F180">Common_InputFunctions.Utility_DisplayArrayInTable(Scope3_SourceData.Scope3_InorganicFertilisers_Data(), Table_SourceData_Scope3_InorganicFertiliser[[#Headers],[Category]], 0, 2)</f>
        <v>Global</v>
      </c>
      <c r="G180" s="19" t="str">
        <f>'Constants - Fertiliser'!$D$38</f>
        <v>Calcium nitrate</v>
      </c>
      <c r="H180" s="19"/>
      <c r="I180" s="19"/>
      <c r="J180" s="19"/>
      <c r="K180" s="19" t="str" cm="1">
        <f t="array" ref="K180">Common_InputFunctions.Utility_DisplayArrayInTable(Scope3_SourceData.Scope3_InorganicFertilisers_Data(), Table_SourceData_Scope3_InorganicFertiliser[[#Headers],[Category]], 0, -2)</f>
        <v>kg</v>
      </c>
      <c r="L180" s="19" cm="1">
        <f t="array" ref="L180">Common_InputFunctions.Utility_DisplayArrayInTable(Scope3_SourceData.Scope3_InorganicFertilisers_Data(), Table_SourceData_Scope3_InorganicFertiliser[[#Headers],[Category]], 0, -2)</f>
        <v>0.75</v>
      </c>
      <c r="M180" s="19" t="str" cm="1">
        <f t="array" ref="M180">Common_InputFunctions.Utility_DisplayArrayInTable(Scope3_SourceData.Scope3_InorganicFertilisers_Data(), Table_SourceData_Scope3_InorganicFertiliser[[#Headers],[Category]], 0, -2)</f>
        <v>at market</v>
      </c>
      <c r="N180" s="19" t="s">
        <v>1166</v>
      </c>
    </row>
    <row r="181" spans="1:14" ht="20.100000000000001" customHeight="1" x14ac:dyDescent="0.2">
      <c r="D181" s="19" t="str" cm="1">
        <f t="array" ref="D181">Common_InputFunctions.Utility_DisplayArrayInTable(Scope3_SourceData.Scope3_InorganicFertilisers_Data(), Table_SourceData_Scope3_InorganicFertiliser[[#Headers],[Category]], 0, 2)</f>
        <v>Inorganic fertilisers</v>
      </c>
      <c r="E181" s="19" t="str" cm="1">
        <f t="array" ref="E181">Common_InputFunctions.Utility_DisplayArrayInTable(Scope3_SourceData.Scope3_InorganicFertilisers_Data(), Table_SourceData_Scope3_InorganicFertiliser[[#Headers],[Category]], 0, 2)</f>
        <v>Diammonium phosphate, AU market mix</v>
      </c>
      <c r="F181" s="19" t="str" cm="1">
        <f t="array" ref="F181">Common_InputFunctions.Utility_DisplayArrayInTable(Scope3_SourceData.Scope3_InorganicFertilisers_Data(), Table_SourceData_Scope3_InorganicFertiliser[[#Headers],[Category]], 0, 2)</f>
        <v>Global</v>
      </c>
      <c r="G181" s="19" t="str">
        <f>'Constants - Fertiliser'!$D$21</f>
        <v>Diammonium phosphate (DAP)</v>
      </c>
      <c r="H181" s="19"/>
      <c r="I181" s="19"/>
      <c r="J181" s="19"/>
      <c r="K181" s="19" t="str" cm="1">
        <f t="array" ref="K181">Common_InputFunctions.Utility_DisplayArrayInTable(Scope3_SourceData.Scope3_InorganicFertilisers_Data(), Table_SourceData_Scope3_InorganicFertiliser[[#Headers],[Category]], 0, -2)</f>
        <v>kg</v>
      </c>
      <c r="L181" s="19" cm="1">
        <f t="array" ref="L181">Common_InputFunctions.Utility_DisplayArrayInTable(Scope3_SourceData.Scope3_InorganicFertilisers_Data(), Table_SourceData_Scope3_InorganicFertiliser[[#Headers],[Category]], 0, -2)</f>
        <v>1.34</v>
      </c>
      <c r="M181" s="19" t="str" cm="1">
        <f t="array" ref="M181">Common_InputFunctions.Utility_DisplayArrayInTable(Scope3_SourceData.Scope3_InorganicFertilisers_Data(), Table_SourceData_Scope3_InorganicFertiliser[[#Headers],[Category]], 0, -2)</f>
        <v>at market</v>
      </c>
      <c r="N181" s="19" t="s">
        <v>1166</v>
      </c>
    </row>
    <row r="182" spans="1:14" ht="20.100000000000001" customHeight="1" x14ac:dyDescent="0.2">
      <c r="D182" s="19" t="str" cm="1">
        <f t="array" ref="D182">Common_InputFunctions.Utility_DisplayArrayInTable(Scope3_SourceData.Scope3_InorganicFertilisers_Data(), Table_SourceData_Scope3_InorganicFertiliser[[#Headers],[Category]], 0, 2)</f>
        <v>Inorganic fertilisers</v>
      </c>
      <c r="E182" s="19" t="str" cm="1">
        <f t="array" ref="E182">Common_InputFunctions.Utility_DisplayArrayInTable(Scope3_SourceData.Scope3_InorganicFertilisers_Data(), Table_SourceData_Scope3_InorganicFertiliser[[#Headers],[Category]], 0, 2)</f>
        <v>Double superphosphate, AU market mix</v>
      </c>
      <c r="F182" s="19" t="str" cm="1">
        <f t="array" ref="F182">Common_InputFunctions.Utility_DisplayArrayInTable(Scope3_SourceData.Scope3_InorganicFertilisers_Data(), Table_SourceData_Scope3_InorganicFertiliser[[#Headers],[Category]], 0, 2)</f>
        <v>Global</v>
      </c>
      <c r="G182" s="19" t="str">
        <f>'Constants - Fertiliser'!$D$35</f>
        <v>Double superphosphate</v>
      </c>
      <c r="H182" s="19"/>
      <c r="I182" s="19"/>
      <c r="J182" s="19"/>
      <c r="K182" s="19" t="str" cm="1">
        <f t="array" ref="K182">Common_InputFunctions.Utility_DisplayArrayInTable(Scope3_SourceData.Scope3_InorganicFertilisers_Data(), Table_SourceData_Scope3_InorganicFertiliser[[#Headers],[Category]], 0, -2)</f>
        <v>kg</v>
      </c>
      <c r="L182" s="19" cm="1">
        <f t="array" ref="L182">Common_InputFunctions.Utility_DisplayArrayInTable(Scope3_SourceData.Scope3_InorganicFertilisers_Data(), Table_SourceData_Scope3_InorganicFertiliser[[#Headers],[Category]], 0, -2)</f>
        <v>0.39200000000000002</v>
      </c>
      <c r="M182" s="19" t="str" cm="1">
        <f t="array" ref="M182">Common_InputFunctions.Utility_DisplayArrayInTable(Scope3_SourceData.Scope3_InorganicFertilisers_Data(), Table_SourceData_Scope3_InorganicFertiliser[[#Headers],[Category]], 0, -2)</f>
        <v>at market</v>
      </c>
      <c r="N182" s="19" t="s">
        <v>1166</v>
      </c>
    </row>
    <row r="183" spans="1:14" ht="20.100000000000001" customHeight="1" x14ac:dyDescent="0.2">
      <c r="D183" s="19" t="str" cm="1">
        <f t="array" ref="D183">Common_InputFunctions.Utility_DisplayArrayInTable(Scope3_SourceData.Scope3_InorganicFertilisers_Data(), Table_SourceData_Scope3_InorganicFertiliser[[#Headers],[Category]], 0, 2)</f>
        <v>Inorganic fertilisers</v>
      </c>
      <c r="E183" s="19" t="str" cm="1">
        <f t="array" ref="E183">Common_InputFunctions.Utility_DisplayArrayInTable(Scope3_SourceData.Scope3_InorganicFertilisers_Data(), Table_SourceData_Scope3_InorganicFertiliser[[#Headers],[Category]], 0, 2)</f>
        <v>Monoammonium phosphate, AU market mix</v>
      </c>
      <c r="F183" s="19" t="str" cm="1">
        <f t="array" ref="F183">Common_InputFunctions.Utility_DisplayArrayInTable(Scope3_SourceData.Scope3_InorganicFertilisers_Data(), Table_SourceData_Scope3_InorganicFertiliser[[#Headers],[Category]], 0, 2)</f>
        <v>Global</v>
      </c>
      <c r="G183" s="19" t="str">
        <f>'Constants - Fertiliser'!$D$20</f>
        <v>Monoammonium phosphate (MAP)</v>
      </c>
      <c r="H183" s="19"/>
      <c r="I183" s="19"/>
      <c r="J183" s="19"/>
      <c r="K183" s="19" t="str" cm="1">
        <f t="array" ref="K183">Common_InputFunctions.Utility_DisplayArrayInTable(Scope3_SourceData.Scope3_InorganicFertilisers_Data(), Table_SourceData_Scope3_InorganicFertiliser[[#Headers],[Category]], 0, -2)</f>
        <v>kg</v>
      </c>
      <c r="L183" s="19" cm="1">
        <f t="array" ref="L183">Common_InputFunctions.Utility_DisplayArrayInTable(Scope3_SourceData.Scope3_InorganicFertilisers_Data(), Table_SourceData_Scope3_InorganicFertiliser[[#Headers],[Category]], 0, -2)</f>
        <v>0.82699999999999996</v>
      </c>
      <c r="M183" s="19" t="str" cm="1">
        <f t="array" ref="M183">Common_InputFunctions.Utility_DisplayArrayInTable(Scope3_SourceData.Scope3_InorganicFertilisers_Data(), Table_SourceData_Scope3_InorganicFertiliser[[#Headers],[Category]], 0, -2)</f>
        <v>at market</v>
      </c>
      <c r="N183" s="19" t="s">
        <v>1166</v>
      </c>
    </row>
    <row r="184" spans="1:14" ht="20.100000000000001" customHeight="1" x14ac:dyDescent="0.2">
      <c r="D184" s="19" t="str" cm="1">
        <f t="array" ref="D184">Common_InputFunctions.Utility_DisplayArrayInTable(Scope3_SourceData.Scope3_InorganicFertilisers_Data(), Table_SourceData_Scope3_InorganicFertiliser[[#Headers],[Category]], 0, 2)</f>
        <v>Inorganic fertilisers</v>
      </c>
      <c r="E184" s="19" t="str" cm="1">
        <f t="array" ref="E184">Common_InputFunctions.Utility_DisplayArrayInTable(Scope3_SourceData.Scope3_InorganicFertilisers_Data(), Table_SourceData_Scope3_InorganicFertiliser[[#Headers],[Category]], 0, 2)</f>
        <v>Muriate of potash, AU market mix</v>
      </c>
      <c r="F184" s="19" t="str" cm="1">
        <f t="array" ref="F184">Common_InputFunctions.Utility_DisplayArrayInTable(Scope3_SourceData.Scope3_InorganicFertilisers_Data(), Table_SourceData_Scope3_InorganicFertiliser[[#Headers],[Category]], 0, 2)</f>
        <v>Global</v>
      </c>
      <c r="G184" s="19" t="str">
        <f>'Constants - Fertiliser'!$D$34</f>
        <v>Muriate of potash (MOP)</v>
      </c>
      <c r="H184" s="19"/>
      <c r="I184" s="19"/>
      <c r="J184" s="19"/>
      <c r="K184" s="19" t="str" cm="1">
        <f t="array" ref="K184">Common_InputFunctions.Utility_DisplayArrayInTable(Scope3_SourceData.Scope3_InorganicFertilisers_Data(), Table_SourceData_Scope3_InorganicFertiliser[[#Headers],[Category]], 0, -2)</f>
        <v>kg</v>
      </c>
      <c r="L184" s="19" cm="1">
        <f t="array" ref="L184">Common_InputFunctions.Utility_DisplayArrayInTable(Scope3_SourceData.Scope3_InorganicFertilisers_Data(), Table_SourceData_Scope3_InorganicFertiliser[[#Headers],[Category]], 0, -2)</f>
        <v>0.54900000000000004</v>
      </c>
      <c r="M184" s="19" t="str" cm="1">
        <f t="array" ref="M184">Common_InputFunctions.Utility_DisplayArrayInTable(Scope3_SourceData.Scope3_InorganicFertilisers_Data(), Table_SourceData_Scope3_InorganicFertiliser[[#Headers],[Category]], 0, -2)</f>
        <v>at market</v>
      </c>
      <c r="N184" s="19" t="s">
        <v>1166</v>
      </c>
    </row>
    <row r="185" spans="1:14" ht="20.100000000000001" customHeight="1" x14ac:dyDescent="0.2">
      <c r="D185" s="19" t="str" cm="1">
        <f t="array" ref="D185">Common_InputFunctions.Utility_DisplayArrayInTable(Scope3_SourceData.Scope3_InorganicFertilisers_Data(), Table_SourceData_Scope3_InorganicFertiliser[[#Headers],[Category]], 0, 2)</f>
        <v>Inorganic fertilisers</v>
      </c>
      <c r="E185" s="19" t="str" cm="1">
        <f t="array" ref="E185">Common_InputFunctions.Utility_DisplayArrayInTable(Scope3_SourceData.Scope3_InorganicFertilisers_Data(), Table_SourceData_Scope3_InorganicFertiliser[[#Headers],[Category]], 0, 2)</f>
        <v>Nitrogen from ammonia, AU market mix</v>
      </c>
      <c r="F185" s="19" t="str" cm="1">
        <f t="array" ref="F185">Common_InputFunctions.Utility_DisplayArrayInTable(Scope3_SourceData.Scope3_InorganicFertilisers_Data(), Table_SourceData_Scope3_InorganicFertiliser[[#Headers],[Category]], 0, 2)</f>
        <v>Global</v>
      </c>
      <c r="G185" s="19" t="str">
        <f>'Constants - Fertiliser'!$D$27</f>
        <v>Nitrogen - Ammoniacal</v>
      </c>
      <c r="H185" s="19"/>
      <c r="I185" s="19"/>
      <c r="J185" s="19"/>
      <c r="K185" s="19" t="str" cm="1">
        <f t="array" ref="K185">Common_InputFunctions.Utility_DisplayArrayInTable(Scope3_SourceData.Scope3_InorganicFertilisers_Data(), Table_SourceData_Scope3_InorganicFertiliser[[#Headers],[Category]], 0, -2)</f>
        <v>kg N</v>
      </c>
      <c r="L185" s="19" cm="1">
        <f t="array" ref="L185">Common_InputFunctions.Utility_DisplayArrayInTable(Scope3_SourceData.Scope3_InorganicFertilisers_Data(), Table_SourceData_Scope3_InorganicFertiliser[[#Headers],[Category]], 0, -2)</f>
        <v>2.83</v>
      </c>
      <c r="M185" s="19" t="str" cm="1">
        <f t="array" ref="M185">Common_InputFunctions.Utility_DisplayArrayInTable(Scope3_SourceData.Scope3_InorganicFertilisers_Data(), Table_SourceData_Scope3_InorganicFertiliser[[#Headers],[Category]], 0, -2)</f>
        <v>at market</v>
      </c>
      <c r="N185" s="19" t="s">
        <v>1166</v>
      </c>
    </row>
    <row r="186" spans="1:14" ht="20.100000000000001" customHeight="1" x14ac:dyDescent="0.2">
      <c r="A186" s="79" t="str">
        <f>HYPERLINK("#A1", "▲ Back to top")</f>
        <v>▲ Back to top</v>
      </c>
      <c r="D186" s="19" t="str" cm="1">
        <f t="array" ref="D186">Common_InputFunctions.Utility_DisplayArrayInTable(Scope3_SourceData.Scope3_InorganicFertilisers_Data(), Table_SourceData_Scope3_InorganicFertiliser[[#Headers],[Category]], 0, 2)</f>
        <v>Inorganic fertilisers</v>
      </c>
      <c r="E186" s="19" t="str" cm="1">
        <f t="array" ref="E186">Common_InputFunctions.Utility_DisplayArrayInTable(Scope3_SourceData.Scope3_InorganicFertilisers_Data(), Table_SourceData_Scope3_InorganicFertiliser[[#Headers],[Category]], 0, 2)</f>
        <v>Nitrogen from fertilizer, AU market mix</v>
      </c>
      <c r="F186" s="19" t="str" cm="1">
        <f t="array" ref="F186">Common_InputFunctions.Utility_DisplayArrayInTable(Scope3_SourceData.Scope3_InorganicFertilisers_Data(), Table_SourceData_Scope3_InorganicFertiliser[[#Headers],[Category]], 0, 2)</f>
        <v>Global</v>
      </c>
      <c r="G186" s="19" t="str">
        <f>'Constants - Fertiliser'!$D$29</f>
        <v>Nitrogen - Generic</v>
      </c>
      <c r="H186" s="19"/>
      <c r="I186" s="19"/>
      <c r="J186" s="19"/>
      <c r="K186" s="19" t="str" cm="1">
        <f t="array" ref="K186">Common_InputFunctions.Utility_DisplayArrayInTable(Scope3_SourceData.Scope3_InorganicFertilisers_Data(), Table_SourceData_Scope3_InorganicFertiliser[[#Headers],[Category]], 0, -2)</f>
        <v>kg N</v>
      </c>
      <c r="L186" s="19" cm="1">
        <f t="array" ref="L186">Common_InputFunctions.Utility_DisplayArrayInTable(Scope3_SourceData.Scope3_InorganicFertilisers_Data(), Table_SourceData_Scope3_InorganicFertiliser[[#Headers],[Category]], 0, -2)</f>
        <v>4.2</v>
      </c>
      <c r="M186" s="19" t="str" cm="1">
        <f t="array" ref="M186">Common_InputFunctions.Utility_DisplayArrayInTable(Scope3_SourceData.Scope3_InorganicFertilisers_Data(), Table_SourceData_Scope3_InorganicFertiliser[[#Headers],[Category]], 0, -2)</f>
        <v>at market</v>
      </c>
      <c r="N186" s="19" t="s">
        <v>1166</v>
      </c>
    </row>
    <row r="187" spans="1:14" ht="20.100000000000001" customHeight="1" x14ac:dyDescent="0.2">
      <c r="D187" s="19" t="str" cm="1">
        <f t="array" ref="D187">Common_InputFunctions.Utility_DisplayArrayInTable(Scope3_SourceData.Scope3_InorganicFertilisers_Data(), Table_SourceData_Scope3_InorganicFertiliser[[#Headers],[Category]], 0, 2)</f>
        <v>Inorganic fertilisers</v>
      </c>
      <c r="E187" s="19" t="str" cm="1">
        <f t="array" ref="E187">Common_InputFunctions.Utility_DisplayArrayInTable(Scope3_SourceData.Scope3_InorganicFertilisers_Data(), Table_SourceData_Scope3_InorganicFertiliser[[#Headers],[Category]], 0, 2)</f>
        <v>Nitrogen from nitrate fertilizer, AU market mix</v>
      </c>
      <c r="F187" s="19" t="str" cm="1">
        <f t="array" ref="F187">Common_InputFunctions.Utility_DisplayArrayInTable(Scope3_SourceData.Scope3_InorganicFertilisers_Data(), Table_SourceData_Scope3_InorganicFertiliser[[#Headers],[Category]], 0, 2)</f>
        <v>Global</v>
      </c>
      <c r="G187" s="19" t="str">
        <f>'Constants - Fertiliser'!$D$28</f>
        <v>Nitrogen - Nitrate</v>
      </c>
      <c r="H187" s="19"/>
      <c r="I187" s="19"/>
      <c r="J187" s="19"/>
      <c r="K187" s="19" t="str" cm="1">
        <f t="array" ref="K187">Common_InputFunctions.Utility_DisplayArrayInTable(Scope3_SourceData.Scope3_InorganicFertilisers_Data(), Table_SourceData_Scope3_InorganicFertiliser[[#Headers],[Category]], 0, -2)</f>
        <v>kg N</v>
      </c>
      <c r="L187" s="19" cm="1">
        <f t="array" ref="L187">Common_InputFunctions.Utility_DisplayArrayInTable(Scope3_SourceData.Scope3_InorganicFertilisers_Data(), Table_SourceData_Scope3_InorganicFertiliser[[#Headers],[Category]], 0, -2)</f>
        <v>5.47</v>
      </c>
      <c r="M187" s="19" t="str" cm="1">
        <f t="array" ref="M187">Common_InputFunctions.Utility_DisplayArrayInTable(Scope3_SourceData.Scope3_InorganicFertilisers_Data(), Table_SourceData_Scope3_InorganicFertiliser[[#Headers],[Category]], 0, -2)</f>
        <v>at market</v>
      </c>
      <c r="N187" s="19" t="s">
        <v>1166</v>
      </c>
    </row>
    <row r="188" spans="1:14" ht="20.100000000000001" customHeight="1" x14ac:dyDescent="0.2">
      <c r="D188" s="19" t="str" cm="1">
        <f t="array" ref="D188">Common_InputFunctions.Utility_DisplayArrayInTable(Scope3_SourceData.Scope3_InorganicFertilisers_Data(), Table_SourceData_Scope3_InorganicFertiliser[[#Headers],[Category]], 0, 2)</f>
        <v>Inorganic fertilisers</v>
      </c>
      <c r="E188" s="19" t="str" cm="1">
        <f t="array" ref="E188">Common_InputFunctions.Utility_DisplayArrayInTable(Scope3_SourceData.Scope3_InorganicFertilisers_Data(), Table_SourceData_Scope3_InorganicFertiliser[[#Headers],[Category]], 0, 2)</f>
        <v>Phosphorus from fertilizer, AU market mix</v>
      </c>
      <c r="F188" s="19" t="str" cm="1">
        <f t="array" ref="F188">Common_InputFunctions.Utility_DisplayArrayInTable(Scope3_SourceData.Scope3_InorganicFertilisers_Data(), Table_SourceData_Scope3_InorganicFertiliser[[#Headers],[Category]], 0, 2)</f>
        <v>Global</v>
      </c>
      <c r="G188" s="19" t="str">
        <f>'Constants - Fertiliser'!$D$30</f>
        <v>Phosphorus - Generic</v>
      </c>
      <c r="H188" s="19"/>
      <c r="I188" s="19"/>
      <c r="J188" s="19"/>
      <c r="K188" s="19" t="str" cm="1">
        <f t="array" ref="K188">Common_InputFunctions.Utility_DisplayArrayInTable(Scope3_SourceData.Scope3_InorganicFertilisers_Data(), Table_SourceData_Scope3_InorganicFertiliser[[#Headers],[Category]], 0, -2)</f>
        <v>kg P</v>
      </c>
      <c r="L188" s="19" cm="1">
        <f t="array" ref="L188">Common_InputFunctions.Utility_DisplayArrayInTable(Scope3_SourceData.Scope3_InorganicFertilisers_Data(), Table_SourceData_Scope3_InorganicFertiliser[[#Headers],[Category]], 0, -2)</f>
        <v>3.96</v>
      </c>
      <c r="M188" s="19" t="str" cm="1">
        <f t="array" ref="M188">Common_InputFunctions.Utility_DisplayArrayInTable(Scope3_SourceData.Scope3_InorganicFertilisers_Data(), Table_SourceData_Scope3_InorganicFertiliser[[#Headers],[Category]], 0, -2)</f>
        <v>at market</v>
      </c>
      <c r="N188" s="19" t="s">
        <v>1166</v>
      </c>
    </row>
    <row r="189" spans="1:14" ht="20.100000000000001" customHeight="1" x14ac:dyDescent="0.2">
      <c r="D189" s="19" t="str" cm="1">
        <f t="array" ref="D189">Common_InputFunctions.Utility_DisplayArrayInTable(Scope3_SourceData.Scope3_InorganicFertilisers_Data(), Table_SourceData_Scope3_InorganicFertiliser[[#Headers],[Category]], 0, 2)</f>
        <v>Inorganic fertilisers</v>
      </c>
      <c r="E189" s="19" t="str" cm="1">
        <f t="array" ref="E189">Common_InputFunctions.Utility_DisplayArrayInTable(Scope3_SourceData.Scope3_InorganicFertilisers_Data(), Table_SourceData_Scope3_InorganicFertiliser[[#Headers],[Category]], 0, 2)</f>
        <v>Potassium from fertilizer, AU market mix</v>
      </c>
      <c r="F189" s="19" t="str" cm="1">
        <f t="array" ref="F189">Common_InputFunctions.Utility_DisplayArrayInTable(Scope3_SourceData.Scope3_InorganicFertilisers_Data(), Table_SourceData_Scope3_InorganicFertiliser[[#Headers],[Category]], 0, 2)</f>
        <v>Global</v>
      </c>
      <c r="G189" s="19" t="str">
        <f>'Constants - Fertiliser'!$D$31</f>
        <v>Potassium - Generic</v>
      </c>
      <c r="H189" s="19"/>
      <c r="I189" s="19"/>
      <c r="J189" s="19"/>
      <c r="K189" s="19" t="str" cm="1">
        <f t="array" ref="K189">Common_InputFunctions.Utility_DisplayArrayInTable(Scope3_SourceData.Scope3_InorganicFertilisers_Data(), Table_SourceData_Scope3_InorganicFertiliser[[#Headers],[Category]], 0, -2)</f>
        <v>kg K</v>
      </c>
      <c r="L189" s="19" cm="1">
        <f t="array" ref="L189">Common_InputFunctions.Utility_DisplayArrayInTable(Scope3_SourceData.Scope3_InorganicFertilisers_Data(), Table_SourceData_Scope3_InorganicFertiliser[[#Headers],[Category]], 0, -2)</f>
        <v>0.90900000000000003</v>
      </c>
      <c r="M189" s="19" t="str" cm="1">
        <f t="array" ref="M189">Common_InputFunctions.Utility_DisplayArrayInTable(Scope3_SourceData.Scope3_InorganicFertilisers_Data(), Table_SourceData_Scope3_InorganicFertiliser[[#Headers],[Category]], 0, -2)</f>
        <v>at market</v>
      </c>
      <c r="N189" s="19" t="s">
        <v>1166</v>
      </c>
    </row>
    <row r="190" spans="1:14" ht="20.100000000000001" customHeight="1" x14ac:dyDescent="0.2">
      <c r="D190" s="19" t="str" cm="1">
        <f t="array" ref="D190">Common_InputFunctions.Utility_DisplayArrayInTable(Scope3_SourceData.Scope3_InorganicFertilisers_Data(), Table_SourceData_Scope3_InorganicFertiliser[[#Headers],[Category]], 0, 2)</f>
        <v>Inorganic fertilisers</v>
      </c>
      <c r="E190" s="19" t="str" cm="1">
        <f t="array" ref="E190">Common_InputFunctions.Utility_DisplayArrayInTable(Scope3_SourceData.Scope3_InorganicFertilisers_Data(), Table_SourceData_Scope3_InorganicFertiliser[[#Headers],[Category]], 0, 2)</f>
        <v>Single superphosphate, AU market mix</v>
      </c>
      <c r="F190" s="19" t="str" cm="1">
        <f t="array" ref="F190">Common_InputFunctions.Utility_DisplayArrayInTable(Scope3_SourceData.Scope3_InorganicFertilisers_Data(), Table_SourceData_Scope3_InorganicFertiliser[[#Headers],[Category]], 0, 2)</f>
        <v>Global</v>
      </c>
      <c r="G190" s="19" t="str">
        <f>'Constants - Fertiliser'!$D$36</f>
        <v>Single superphosphate (SSP)</v>
      </c>
      <c r="H190" s="19"/>
      <c r="I190" s="19"/>
      <c r="J190" s="19"/>
      <c r="K190" s="19" t="str" cm="1">
        <f t="array" ref="K190">Common_InputFunctions.Utility_DisplayArrayInTable(Scope3_SourceData.Scope3_InorganicFertilisers_Data(), Table_SourceData_Scope3_InorganicFertiliser[[#Headers],[Category]], 0, -2)</f>
        <v>kg</v>
      </c>
      <c r="L190" s="19" cm="1">
        <f t="array" ref="L190">Common_InputFunctions.Utility_DisplayArrayInTable(Scope3_SourceData.Scope3_InorganicFertilisers_Data(), Table_SourceData_Scope3_InorganicFertiliser[[#Headers],[Category]], 0, -2)</f>
        <v>0.22700000000000001</v>
      </c>
      <c r="M190" s="19" t="str" cm="1">
        <f t="array" ref="M190">Common_InputFunctions.Utility_DisplayArrayInTable(Scope3_SourceData.Scope3_InorganicFertilisers_Data(), Table_SourceData_Scope3_InorganicFertiliser[[#Headers],[Category]], 0, -2)</f>
        <v>at market</v>
      </c>
      <c r="N190" s="19" t="s">
        <v>1166</v>
      </c>
    </row>
    <row r="191" spans="1:14" ht="20.100000000000001" customHeight="1" x14ac:dyDescent="0.2">
      <c r="D191" s="19" t="str" cm="1">
        <f t="array" ref="D191">Common_InputFunctions.Utility_DisplayArrayInTable(Scope3_SourceData.Scope3_InorganicFertilisers_Data(), Table_SourceData_Scope3_InorganicFertiliser[[#Headers],[Category]], 0, 2)</f>
        <v>Inorganic fertilisers</v>
      </c>
      <c r="E191" s="19" t="str" cm="1">
        <f t="array" ref="E191">Common_InputFunctions.Utility_DisplayArrayInTable(Scope3_SourceData.Scope3_InorganicFertilisers_Data(), Table_SourceData_Scope3_InorganicFertiliser[[#Headers],[Category]], 0, 2)</f>
        <v>Sulfur from fertilizer, AU market mix</v>
      </c>
      <c r="F191" s="19" t="str" cm="1">
        <f t="array" ref="F191">Common_InputFunctions.Utility_DisplayArrayInTable(Scope3_SourceData.Scope3_InorganicFertilisers_Data(), Table_SourceData_Scope3_InorganicFertiliser[[#Headers],[Category]], 0, 2)</f>
        <v>Global</v>
      </c>
      <c r="G191" s="19" t="str">
        <f>'Constants - Fertiliser'!$D$32</f>
        <v>Sulfur - Generic</v>
      </c>
      <c r="H191" s="19"/>
      <c r="I191" s="19"/>
      <c r="J191" s="19"/>
      <c r="K191" s="19" t="str" cm="1">
        <f t="array" ref="K191">Common_InputFunctions.Utility_DisplayArrayInTable(Scope3_SourceData.Scope3_InorganicFertilisers_Data(), Table_SourceData_Scope3_InorganicFertiliser[[#Headers],[Category]], 0, -2)</f>
        <v>kg S</v>
      </c>
      <c r="L191" s="19" cm="1">
        <f t="array" ref="L191">Common_InputFunctions.Utility_DisplayArrayInTable(Scope3_SourceData.Scope3_InorganicFertilisers_Data(), Table_SourceData_Scope3_InorganicFertiliser[[#Headers],[Category]], 0, -2)</f>
        <v>2.5</v>
      </c>
      <c r="M191" s="19" t="str" cm="1">
        <f t="array" ref="M191">Common_InputFunctions.Utility_DisplayArrayInTable(Scope3_SourceData.Scope3_InorganicFertilisers_Data(), Table_SourceData_Scope3_InorganicFertiliser[[#Headers],[Category]], 0, -2)</f>
        <v>at market</v>
      </c>
      <c r="N191" s="19" t="s">
        <v>1166</v>
      </c>
    </row>
    <row r="192" spans="1:14" ht="20.100000000000001" customHeight="1" x14ac:dyDescent="0.2">
      <c r="D192" s="19" t="str" cm="1">
        <f t="array" ref="D192">Common_InputFunctions.Utility_DisplayArrayInTable(Scope3_SourceData.Scope3_InorganicFertilisers_Data(), Table_SourceData_Scope3_InorganicFertiliser[[#Headers],[Category]], 0, 2)</f>
        <v>Inorganic fertilisers</v>
      </c>
      <c r="E192" s="19" t="str" cm="1">
        <f t="array" ref="E192">Common_InputFunctions.Utility_DisplayArrayInTable(Scope3_SourceData.Scope3_InorganicFertilisers_Data(), Table_SourceData_Scope3_InorganicFertiliser[[#Headers],[Category]], 0, 2)</f>
        <v>Ammonium sulphate, AU market mix</v>
      </c>
      <c r="F192" s="19" t="str" cm="1">
        <f t="array" ref="F192">Common_InputFunctions.Utility_DisplayArrayInTable(Scope3_SourceData.Scope3_InorganicFertilisers_Data(), Table_SourceData_Scope3_InorganicFertiliser[[#Headers],[Category]], 0, 2)</f>
        <v>Global</v>
      </c>
      <c r="G192" s="19" t="str">
        <f>'Constants - Fertiliser'!$D$23</f>
        <v>Sulphate of ammonia (SOA)</v>
      </c>
      <c r="H192" s="19"/>
      <c r="I192" s="19"/>
      <c r="J192" s="19"/>
      <c r="K192" s="19" t="str" cm="1">
        <f t="array" ref="K192">Common_InputFunctions.Utility_DisplayArrayInTable(Scope3_SourceData.Scope3_InorganicFertilisers_Data(), Table_SourceData_Scope3_InorganicFertiliser[[#Headers],[Category]], 0, -2)</f>
        <v>kg</v>
      </c>
      <c r="L192" s="19" cm="1">
        <f t="array" ref="L192">Common_InputFunctions.Utility_DisplayArrayInTable(Scope3_SourceData.Scope3_InorganicFertilisers_Data(), Table_SourceData_Scope3_InorganicFertiliser[[#Headers],[Category]], 0, -2)</f>
        <v>0.86499999999999999</v>
      </c>
      <c r="M192" s="19" t="str" cm="1">
        <f t="array" ref="M192">Common_InputFunctions.Utility_DisplayArrayInTable(Scope3_SourceData.Scope3_InorganicFertilisers_Data(), Table_SourceData_Scope3_InorganicFertiliser[[#Headers],[Category]], 0, -2)</f>
        <v>at market</v>
      </c>
      <c r="N192" s="19" t="s">
        <v>1166</v>
      </c>
    </row>
    <row r="193" spans="4:14" ht="20.100000000000001" customHeight="1" x14ac:dyDescent="0.2">
      <c r="D193" s="19" t="str" cm="1">
        <f t="array" ref="D193">Common_InputFunctions.Utility_DisplayArrayInTable(Scope3_SourceData.Scope3_InorganicFertilisers_Data(), Table_SourceData_Scope3_InorganicFertiliser[[#Headers],[Category]], 0, 2)</f>
        <v>Inorganic fertilisers</v>
      </c>
      <c r="E193" s="19" t="str" cm="1">
        <f t="array" ref="E193">Common_InputFunctions.Utility_DisplayArrayInTable(Scope3_SourceData.Scope3_InorganicFertilisers_Data(), Table_SourceData_Scope3_InorganicFertiliser[[#Headers],[Category]], 0, 2)</f>
        <v>Urea ammonium nitrate, AU market mix</v>
      </c>
      <c r="F193" s="19" t="str" cm="1">
        <f t="array" ref="F193">Common_InputFunctions.Utility_DisplayArrayInTable(Scope3_SourceData.Scope3_InorganicFertilisers_Data(), Table_SourceData_Scope3_InorganicFertiliser[[#Headers],[Category]], 0, 2)</f>
        <v>Global</v>
      </c>
      <c r="G193" s="19" t="str">
        <f>'Constants - Fertiliser'!$D$24</f>
        <v>Urea-ammonium nitrate (UAN)</v>
      </c>
      <c r="H193" s="19"/>
      <c r="I193" s="19"/>
      <c r="J193" s="19"/>
      <c r="K193" s="19" t="str" cm="1">
        <f t="array" ref="K193">Common_InputFunctions.Utility_DisplayArrayInTable(Scope3_SourceData.Scope3_InorganicFertilisers_Data(), Table_SourceData_Scope3_InorganicFertiliser[[#Headers],[Category]], 0, -2)</f>
        <v>kg</v>
      </c>
      <c r="L193" s="19" cm="1">
        <f t="array" ref="L193">Common_InputFunctions.Utility_DisplayArrayInTable(Scope3_SourceData.Scope3_InorganicFertilisers_Data(), Table_SourceData_Scope3_InorganicFertiliser[[#Headers],[Category]], 0, -2)</f>
        <v>1.75</v>
      </c>
      <c r="M193" s="19" t="str" cm="1">
        <f t="array" ref="M193">Common_InputFunctions.Utility_DisplayArrayInTable(Scope3_SourceData.Scope3_InorganicFertilisers_Data(), Table_SourceData_Scope3_InorganicFertiliser[[#Headers],[Category]], 0, -2)</f>
        <v>at market</v>
      </c>
      <c r="N193" s="19" t="s">
        <v>1166</v>
      </c>
    </row>
    <row r="194" spans="4:14" ht="20.100000000000001" customHeight="1" x14ac:dyDescent="0.2">
      <c r="D194" s="19" t="str" cm="1">
        <f t="array" ref="D194">Common_InputFunctions.Utility_DisplayArrayInTable(Scope3_SourceData.Scope3_InorganicFertilisers_Data(), Table_SourceData_Scope3_InorganicFertiliser[[#Headers],[Category]], 0, 2)</f>
        <v>Inorganic fertilisers</v>
      </c>
      <c r="E194" s="19" t="str" cm="1">
        <f t="array" ref="E194">Common_InputFunctions.Utility_DisplayArrayInTable(Scope3_SourceData.Scope3_InorganicFertilisers_Data(), Table_SourceData_Scope3_InorganicFertiliser[[#Headers],[Category]], 0, 2)</f>
        <v>Urea, AU market mix</v>
      </c>
      <c r="F194" s="19" t="str" cm="1">
        <f t="array" ref="F194">Common_InputFunctions.Utility_DisplayArrayInTable(Scope3_SourceData.Scope3_InorganicFertilisers_Data(), Table_SourceData_Scope3_InorganicFertiliser[[#Headers],[Category]], 0, 2)</f>
        <v>Global</v>
      </c>
      <c r="G194" s="19" t="str">
        <f>'Constants - Fertiliser'!$D$22</f>
        <v>Urea</v>
      </c>
      <c r="H194" s="19" t="str">
        <f>'Constants - Fertiliser'!$V$20</f>
        <v>Global</v>
      </c>
      <c r="I194" s="19"/>
      <c r="J194" s="19"/>
      <c r="K194" s="19" t="str" cm="1">
        <f t="array" ref="K194">Common_InputFunctions.Utility_DisplayArrayInTable(Scope3_SourceData.Scope3_InorganicFertilisers_Data(), Table_SourceData_Scope3_InorganicFertiliser[[#Headers],[Category]], 0, -2)</f>
        <v>kg</v>
      </c>
      <c r="L194" s="19" cm="1">
        <f t="array" ref="L194">Common_InputFunctions.Utility_DisplayArrayInTable(Scope3_SourceData.Scope3_InorganicFertilisers_Data(), Table_SourceData_Scope3_InorganicFertiliser[[#Headers],[Category]], 0, -2)</f>
        <v>0.96799999999999997</v>
      </c>
      <c r="M194" s="19" t="str" cm="1">
        <f t="array" ref="M194">Common_InputFunctions.Utility_DisplayArrayInTable(Scope3_SourceData.Scope3_InorganicFertilisers_Data(), Table_SourceData_Scope3_InorganicFertiliser[[#Headers],[Category]], 0, -2)</f>
        <v>at market</v>
      </c>
      <c r="N194" s="19" t="s">
        <v>1166</v>
      </c>
    </row>
    <row r="195" spans="4:14" ht="20.100000000000001" customHeight="1" x14ac:dyDescent="0.2">
      <c r="D195" s="19" t="str" cm="1">
        <f t="array" ref="D195">Common_InputFunctions.Utility_DisplayArrayInTable(Scope3_SourceData.Scope3_InorganicFertilisers_Data(), Table_SourceData_Scope3_InorganicFertiliser[[#Headers],[Category]], 0, 2)</f>
        <v>Inorganic fertilisers</v>
      </c>
      <c r="E195" s="19" t="str" cm="1">
        <f t="array" ref="E195">Common_InputFunctions.Utility_DisplayArrayInTable(Scope3_SourceData.Scope3_InorganicFertilisers_Data(), Table_SourceData_Scope3_InorganicFertiliser[[#Headers],[Category]], 0, 2)</f>
        <v>Urea, Canada</v>
      </c>
      <c r="F195" s="19" t="str" cm="1">
        <f t="array" ref="F195">Common_InputFunctions.Utility_DisplayArrayInTable(Scope3_SourceData.Scope3_InorganicFertilisers_Data(), Table_SourceData_Scope3_InorganicFertiliser[[#Headers],[Category]], 0, 2)</f>
        <v>Canada</v>
      </c>
      <c r="G195" s="19" t="str">
        <f>'Constants - Fertiliser'!$D$22</f>
        <v>Urea</v>
      </c>
      <c r="H195" s="19" t="str">
        <f>'Constants - Fertiliser'!$V$21</f>
        <v>Canada</v>
      </c>
      <c r="I195" s="19"/>
      <c r="J195" s="19"/>
      <c r="K195" s="19" t="str" cm="1">
        <f t="array" ref="K195">Common_InputFunctions.Utility_DisplayArrayInTable(Scope3_SourceData.Scope3_InorganicFertilisers_Data(), Table_SourceData_Scope3_InorganicFertiliser[[#Headers],[Category]], 0, -2)</f>
        <v>kg</v>
      </c>
      <c r="L195" s="19" cm="1">
        <f t="array" ref="L195">Common_InputFunctions.Utility_DisplayArrayInTable(Scope3_SourceData.Scope3_InorganicFertilisers_Data(), Table_SourceData_Scope3_InorganicFertiliser[[#Headers],[Category]], 0, -2)</f>
        <v>0.82299999999999995</v>
      </c>
      <c r="M195" s="19" t="str" cm="1">
        <f t="array" ref="M195">Common_InputFunctions.Utility_DisplayArrayInTable(Scope3_SourceData.Scope3_InorganicFertilisers_Data(), Table_SourceData_Scope3_InorganicFertiliser[[#Headers],[Category]], 0, -2)</f>
        <v>at market</v>
      </c>
      <c r="N195" s="19" t="s">
        <v>1166</v>
      </c>
    </row>
    <row r="196" spans="4:14" ht="20.100000000000001" customHeight="1" x14ac:dyDescent="0.2">
      <c r="D196" s="19" t="str" cm="1">
        <f t="array" ref="D196">Common_InputFunctions.Utility_DisplayArrayInTable(Scope3_SourceData.Scope3_InorganicFertilisers_Data(), Table_SourceData_Scope3_InorganicFertiliser[[#Headers],[Category]], 0, 2)</f>
        <v>Inorganic fertilisers</v>
      </c>
      <c r="E196" s="19" t="str" cm="1">
        <f t="array" ref="E196">Common_InputFunctions.Utility_DisplayArrayInTable(Scope3_SourceData.Scope3_InorganicFertilisers_Data(), Table_SourceData_Scope3_InorganicFertiliser[[#Headers],[Category]], 0, 2)</f>
        <v>Urea, China</v>
      </c>
      <c r="F196" s="19" t="str" cm="1">
        <f t="array" ref="F196">Common_InputFunctions.Utility_DisplayArrayInTable(Scope3_SourceData.Scope3_InorganicFertilisers_Data(), Table_SourceData_Scope3_InorganicFertiliser[[#Headers],[Category]], 0, 2)</f>
        <v>China</v>
      </c>
      <c r="G196" s="19" t="str">
        <f>'Constants - Fertiliser'!$D$22</f>
        <v>Urea</v>
      </c>
      <c r="H196" s="19" t="str">
        <f>'Constants - Fertiliser'!$V$22</f>
        <v>China</v>
      </c>
      <c r="I196" s="19"/>
      <c r="J196" s="19"/>
      <c r="K196" s="19" t="str" cm="1">
        <f t="array" ref="K196">Common_InputFunctions.Utility_DisplayArrayInTable(Scope3_SourceData.Scope3_InorganicFertilisers_Data(), Table_SourceData_Scope3_InorganicFertiliser[[#Headers],[Category]], 0, -2)</f>
        <v>kg</v>
      </c>
      <c r="L196" s="19" cm="1">
        <f t="array" ref="L196">Common_InputFunctions.Utility_DisplayArrayInTable(Scope3_SourceData.Scope3_InorganicFertilisers_Data(), Table_SourceData_Scope3_InorganicFertiliser[[#Headers],[Category]], 0, -2)</f>
        <v>2.09</v>
      </c>
      <c r="M196" s="19" t="str" cm="1">
        <f t="array" ref="M196">Common_InputFunctions.Utility_DisplayArrayInTable(Scope3_SourceData.Scope3_InorganicFertilisers_Data(), Table_SourceData_Scope3_InorganicFertiliser[[#Headers],[Category]], 0, -2)</f>
        <v>at market</v>
      </c>
      <c r="N196" s="19" t="s">
        <v>1166</v>
      </c>
    </row>
    <row r="197" spans="4:14" ht="20.100000000000001" customHeight="1" x14ac:dyDescent="0.2">
      <c r="D197" s="19" t="str" cm="1">
        <f t="array" ref="D197">Common_InputFunctions.Utility_DisplayArrayInTable(Scope3_SourceData.Scope3_InorganicFertilisers_Data(), Table_SourceData_Scope3_InorganicFertiliser[[#Headers],[Category]], 0, 2)</f>
        <v>Inorganic fertilisers</v>
      </c>
      <c r="E197" s="19" t="str" cm="1">
        <f t="array" ref="E197">Common_InputFunctions.Utility_DisplayArrayInTable(Scope3_SourceData.Scope3_InorganicFertilisers_Data(), Table_SourceData_Scope3_InorganicFertiliser[[#Headers],[Category]], 0, 2)</f>
        <v>Urea, Yemen</v>
      </c>
      <c r="F197" s="19" t="str" cm="1">
        <f t="array" ref="F197">Common_InputFunctions.Utility_DisplayArrayInTable(Scope3_SourceData.Scope3_InorganicFertilisers_Data(), Table_SourceData_Scope3_InorganicFertiliser[[#Headers],[Category]], 0, 2)</f>
        <v>Yemen</v>
      </c>
      <c r="G197" s="19" t="str">
        <f>'Constants - Fertiliser'!$D$22</f>
        <v>Urea</v>
      </c>
      <c r="H197" s="19" t="str">
        <f>'Constants - Fertiliser'!$V$23</f>
        <v>Yemen</v>
      </c>
      <c r="I197" s="19"/>
      <c r="J197" s="19"/>
      <c r="K197" s="19" t="str" cm="1">
        <f t="array" ref="K197">Common_InputFunctions.Utility_DisplayArrayInTable(Scope3_SourceData.Scope3_InorganicFertilisers_Data(), Table_SourceData_Scope3_InorganicFertiliser[[#Headers],[Category]], 0, -2)</f>
        <v>kg</v>
      </c>
      <c r="L197" s="19" cm="1">
        <f t="array" ref="L197">Common_InputFunctions.Utility_DisplayArrayInTable(Scope3_SourceData.Scope3_InorganicFertilisers_Data(), Table_SourceData_Scope3_InorganicFertiliser[[#Headers],[Category]], 0, -2)</f>
        <v>0.96299999999999997</v>
      </c>
      <c r="M197" s="19" t="str" cm="1">
        <f t="array" ref="M197">Common_InputFunctions.Utility_DisplayArrayInTable(Scope3_SourceData.Scope3_InorganicFertilisers_Data(), Table_SourceData_Scope3_InorganicFertiliser[[#Headers],[Category]], 0, -2)</f>
        <v>at market</v>
      </c>
      <c r="N197" s="19" t="s">
        <v>1166</v>
      </c>
    </row>
    <row r="198" spans="4:14" ht="20.100000000000001" customHeight="1" x14ac:dyDescent="0.2">
      <c r="D198" s="19" t="str" cm="1">
        <f t="array" ref="D198">Common_InputFunctions.Utility_DisplayArrayInTable(Scope3_SourceData.Scope3_InorganicFertilisers_Data(), Table_SourceData_Scope3_InorganicFertiliser[[#Headers],[Category]], 0, 2)</f>
        <v>Inorganic fertilisers</v>
      </c>
      <c r="E198" s="19" t="str" cm="1">
        <f t="array" ref="E198">Common_InputFunctions.Utility_DisplayArrayInTable(Scope3_SourceData.Scope3_InorganicFertilisers_Data(), Table_SourceData_Scope3_InorganicFertiliser[[#Headers],[Category]], 0, 2)</f>
        <v>Zinc from fertilizer</v>
      </c>
      <c r="F198" s="19" t="str" cm="1">
        <f t="array" ref="F198">Common_InputFunctions.Utility_DisplayArrayInTable(Scope3_SourceData.Scope3_InorganicFertilisers_Data(), Table_SourceData_Scope3_InorganicFertiliser[[#Headers],[Category]], 0, 2)</f>
        <v>Global</v>
      </c>
      <c r="G198" s="19" t="str">
        <f>'Constants - Fertiliser'!$D$33</f>
        <v>Zinc - Generic</v>
      </c>
      <c r="H198" s="19"/>
      <c r="I198" s="19"/>
      <c r="J198" s="19"/>
      <c r="K198" s="19" t="str" cm="1">
        <f t="array" ref="K198">Common_InputFunctions.Utility_DisplayArrayInTable(Scope3_SourceData.Scope3_InorganicFertilisers_Data(), Table_SourceData_Scope3_InorganicFertiliser[[#Headers],[Category]], 0, -2)</f>
        <v>kg Zn</v>
      </c>
      <c r="L198" s="19" cm="1">
        <f t="array" ref="L198">Common_InputFunctions.Utility_DisplayArrayInTable(Scope3_SourceData.Scope3_InorganicFertilisers_Data(), Table_SourceData_Scope3_InorganicFertiliser[[#Headers],[Category]], 0, -2)</f>
        <v>4.82</v>
      </c>
      <c r="M198" s="19" t="str" cm="1">
        <f t="array" ref="M198">Common_InputFunctions.Utility_DisplayArrayInTable(Scope3_SourceData.Scope3_InorganicFertilisers_Data(), Table_SourceData_Scope3_InorganicFertiliser[[#Headers],[Category]], 0, -2)</f>
        <v>at market</v>
      </c>
      <c r="N198" s="19" t="s">
        <v>1166</v>
      </c>
    </row>
    <row r="200" spans="4:14" ht="20.100000000000001" customHeight="1" x14ac:dyDescent="0.2">
      <c r="D200" s="2" t="s">
        <v>1178</v>
      </c>
    </row>
    <row r="201" spans="4:14" ht="20.100000000000001" customHeight="1" x14ac:dyDescent="0.2">
      <c r="D201" s="19" t="s">
        <v>1159</v>
      </c>
      <c r="E201" s="19" t="s">
        <v>132</v>
      </c>
      <c r="F201" s="19" t="s">
        <v>1160</v>
      </c>
      <c r="G201" s="19" t="s">
        <v>1161</v>
      </c>
      <c r="H201" s="19" t="s">
        <v>1162</v>
      </c>
      <c r="I201" s="19" t="s">
        <v>1163</v>
      </c>
      <c r="J201" s="19" t="s">
        <v>560</v>
      </c>
    </row>
    <row r="202" spans="4:14" ht="20.100000000000001" customHeight="1" x14ac:dyDescent="0.2">
      <c r="D202" s="19" t="str" cm="1">
        <f t="array" ref="D202">Common_InputFunctions.Utility_DisplayArrayInTable(Scope3_SourceData.Scope3_Other_Data(), Table_SourceData_Scope3_Other[[#Headers],[Category]], 0, 2)</f>
        <v>Other</v>
      </c>
      <c r="E202" s="19" t="str" cm="1">
        <f t="array" ref="E202">Common_InputFunctions.Utility_DisplayArrayInTable(Scope3_SourceData.Scope3_Other_Data(), Table_SourceData_Scope3_Other[[#Headers],[Category]], 0, 2)</f>
        <v>Animal ear tags (large)</v>
      </c>
      <c r="F202" s="19" t="str" cm="1">
        <f t="array" ref="F202">Common_InputFunctions.Utility_DisplayArrayInTable(Scope3_SourceData.Scope3_Other_Data(), Table_SourceData_Scope3_Other[[#Headers],[Category]], 0, 2)</f>
        <v>Australia</v>
      </c>
      <c r="G202" s="19" t="str" cm="1">
        <f t="array" ref="G202">Common_InputFunctions.Utility_DisplayArrayInTable(Scope3_SourceData.Scope3_Other_Data(), Table_SourceData_Scope3_Other[[#Headers],[Category]], 0, 2)</f>
        <v>p</v>
      </c>
      <c r="H202" s="19" cm="1">
        <f t="array" ref="H202">Common_InputFunctions.Utility_DisplayArrayInTable(Scope3_SourceData.Scope3_Other_Data(), Table_SourceData_Scope3_Other[[#Headers],[Category]], 0, 2)</f>
        <v>4.24E-2</v>
      </c>
      <c r="I202" s="19" t="str" cm="1">
        <f t="array" ref="I202">Common_InputFunctions.Utility_DisplayArrayInTable(Scope3_SourceData.Scope3_Other_Data(), Table_SourceData_Scope3_Other[[#Headers],[Category]], 0, 2)</f>
        <v>at market</v>
      </c>
      <c r="J202" s="19" t="s">
        <v>1166</v>
      </c>
    </row>
    <row r="203" spans="4:14" ht="20.100000000000001" customHeight="1" x14ac:dyDescent="0.2">
      <c r="D203" s="19" t="str" cm="1">
        <f t="array" ref="D203">Common_InputFunctions.Utility_DisplayArrayInTable(Scope3_SourceData.Scope3_Other_Data(), Table_SourceData_Scope3_Other[[#Headers],[Category]], 0, 2)</f>
        <v>Other</v>
      </c>
      <c r="E203" s="19" t="str" cm="1">
        <f t="array" ref="E203">Common_InputFunctions.Utility_DisplayArrayInTable(Scope3_SourceData.Scope3_Other_Data(), Table_SourceData_Scope3_Other[[#Headers],[Category]], 0, 2)</f>
        <v>Animal ear tags (small)</v>
      </c>
      <c r="F203" s="19" t="str" cm="1">
        <f t="array" ref="F203">Common_InputFunctions.Utility_DisplayArrayInTable(Scope3_SourceData.Scope3_Other_Data(), Table_SourceData_Scope3_Other[[#Headers],[Category]], 0, 2)</f>
        <v>Australia</v>
      </c>
      <c r="G203" s="19" t="str" cm="1">
        <f t="array" ref="G203">Common_InputFunctions.Utility_DisplayArrayInTable(Scope3_SourceData.Scope3_Other_Data(), Table_SourceData_Scope3_Other[[#Headers],[Category]], 0, 2)</f>
        <v>p</v>
      </c>
      <c r="H203" s="19" cm="1">
        <f t="array" ref="H203">Common_InputFunctions.Utility_DisplayArrayInTable(Scope3_SourceData.Scope3_Other_Data(), Table_SourceData_Scope3_Other[[#Headers],[Category]], 0, 2)</f>
        <v>2.93E-2</v>
      </c>
      <c r="I203" s="19" t="str" cm="1">
        <f t="array" ref="I203">Common_InputFunctions.Utility_DisplayArrayInTable(Scope3_SourceData.Scope3_Other_Data(), Table_SourceData_Scope3_Other[[#Headers],[Category]], 0, 2)</f>
        <v>at market</v>
      </c>
      <c r="J203" s="19" t="s">
        <v>1166</v>
      </c>
    </row>
    <row r="204" spans="4:14" ht="20.100000000000001" customHeight="1" x14ac:dyDescent="0.2">
      <c r="D204" s="19" t="str" cm="1">
        <f t="array" ref="D204">Common_InputFunctions.Utility_DisplayArrayInTable(Scope3_SourceData.Scope3_Other_Data(), Table_SourceData_Scope3_Other[[#Headers],[Category]], 0, 2)</f>
        <v>Other</v>
      </c>
      <c r="E204" s="19" t="str" cm="1">
        <f t="array" ref="E204">Common_InputFunctions.Utility_DisplayArrayInTable(Scope3_SourceData.Scope3_Other_Data(), Table_SourceData_Scope3_Other[[#Headers],[Category]], 0, 2)</f>
        <v>Barley grain (for seed)</v>
      </c>
      <c r="F204" s="19" t="str" cm="1">
        <f t="array" ref="F204">Common_InputFunctions.Utility_DisplayArrayInTable(Scope3_SourceData.Scope3_Other_Data(), Table_SourceData_Scope3_Other[[#Headers],[Category]], 0, 2)</f>
        <v>Australia</v>
      </c>
      <c r="G204" s="19" t="str" cm="1">
        <f t="array" ref="G204">Common_InputFunctions.Utility_DisplayArrayInTable(Scope3_SourceData.Scope3_Other_Data(), Table_SourceData_Scope3_Other[[#Headers],[Category]], 0, 2)</f>
        <v>kg</v>
      </c>
      <c r="H204" s="19" cm="1">
        <f t="array" ref="H204">Common_InputFunctions.Utility_DisplayArrayInTable(Scope3_SourceData.Scope3_Other_Data(), Table_SourceData_Scope3_Other[[#Headers],[Category]], 0, 2)</f>
        <v>0.23899999999999999</v>
      </c>
      <c r="I204" s="19" t="str" cm="1">
        <f t="array" ref="I204">Common_InputFunctions.Utility_DisplayArrayInTable(Scope3_SourceData.Scope3_Other_Data(), Table_SourceData_Scope3_Other[[#Headers],[Category]], 0, 2)</f>
        <v>at market</v>
      </c>
      <c r="J204" s="19" t="s">
        <v>1166</v>
      </c>
    </row>
    <row r="205" spans="4:14" ht="20.100000000000001" customHeight="1" x14ac:dyDescent="0.2">
      <c r="D205" s="19" t="str" cm="1">
        <f t="array" ref="D205">Common_InputFunctions.Utility_DisplayArrayInTable(Scope3_SourceData.Scope3_Other_Data(), Table_SourceData_Scope3_Other[[#Headers],[Category]], 0, 2)</f>
        <v>Other</v>
      </c>
      <c r="E205" s="19" t="str" cm="1">
        <f t="array" ref="E205">Common_InputFunctions.Utility_DisplayArrayInTable(Scope3_SourceData.Scope3_Other_Data(), Table_SourceData_Scope3_Other[[#Headers],[Category]], 0, 2)</f>
        <v>Maize grain (for seed)</v>
      </c>
      <c r="F205" s="19" t="str" cm="1">
        <f t="array" ref="F205">Common_InputFunctions.Utility_DisplayArrayInTable(Scope3_SourceData.Scope3_Other_Data(), Table_SourceData_Scope3_Other[[#Headers],[Category]], 0, 2)</f>
        <v>Australia</v>
      </c>
      <c r="G205" s="19" t="str" cm="1">
        <f t="array" ref="G205">Common_InputFunctions.Utility_DisplayArrayInTable(Scope3_SourceData.Scope3_Other_Data(), Table_SourceData_Scope3_Other[[#Headers],[Category]], 0, 2)</f>
        <v>kg</v>
      </c>
      <c r="H205" s="19" cm="1">
        <f t="array" ref="H205">Common_InputFunctions.Utility_DisplayArrayInTable(Scope3_SourceData.Scope3_Other_Data(), Table_SourceData_Scope3_Other[[#Headers],[Category]], 0, 2)</f>
        <v>0.18099999999999999</v>
      </c>
      <c r="I205" s="19" t="str" cm="1">
        <f t="array" ref="I205">Common_InputFunctions.Utility_DisplayArrayInTable(Scope3_SourceData.Scope3_Other_Data(), Table_SourceData_Scope3_Other[[#Headers],[Category]], 0, 2)</f>
        <v>at market</v>
      </c>
      <c r="J205" s="19" t="s">
        <v>1166</v>
      </c>
    </row>
    <row r="206" spans="4:14" ht="20.100000000000001" customHeight="1" x14ac:dyDescent="0.2">
      <c r="D206" s="19" t="str" cm="1">
        <f t="array" ref="D206">Common_InputFunctions.Utility_DisplayArrayInTable(Scope3_SourceData.Scope3_Other_Data(), Table_SourceData_Scope3_Other[[#Headers],[Category]], 0, 2)</f>
        <v>Other</v>
      </c>
      <c r="E206" s="19" t="str" cm="1">
        <f t="array" ref="E206">Common_InputFunctions.Utility_DisplayArrayInTable(Scope3_SourceData.Scope3_Other_Data(), Table_SourceData_Scope3_Other[[#Headers],[Category]], 0, 2)</f>
        <v>Nylon netting</v>
      </c>
      <c r="F206" s="19" t="str" cm="1">
        <f t="array" ref="F206">Common_InputFunctions.Utility_DisplayArrayInTable(Scope3_SourceData.Scope3_Other_Data(), Table_SourceData_Scope3_Other[[#Headers],[Category]], 0, 2)</f>
        <v>Global</v>
      </c>
      <c r="G206" s="19" t="str" cm="1">
        <f t="array" ref="G206">Common_InputFunctions.Utility_DisplayArrayInTable(Scope3_SourceData.Scope3_Other_Data(), Table_SourceData_Scope3_Other[[#Headers],[Category]], 0, 2)</f>
        <v>kg</v>
      </c>
      <c r="H206" s="19" cm="1">
        <f t="array" ref="H206">Common_InputFunctions.Utility_DisplayArrayInTable(Scope3_SourceData.Scope3_Other_Data(), Table_SourceData_Scope3_Other[[#Headers],[Category]], 0, 2)</f>
        <v>9.81</v>
      </c>
      <c r="I206" s="19" t="str" cm="1">
        <f t="array" ref="I206">Common_InputFunctions.Utility_DisplayArrayInTable(Scope3_SourceData.Scope3_Other_Data(), Table_SourceData_Scope3_Other[[#Headers],[Category]], 0, 2)</f>
        <v>at market</v>
      </c>
      <c r="J206" s="19" t="s">
        <v>1166</v>
      </c>
    </row>
    <row r="207" spans="4:14" ht="20.100000000000001" customHeight="1" x14ac:dyDescent="0.2">
      <c r="D207" s="19" t="str" cm="1">
        <f t="array" ref="D207">Common_InputFunctions.Utility_DisplayArrayInTable(Scope3_SourceData.Scope3_Other_Data(), Table_SourceData_Scope3_Other[[#Headers],[Category]], 0, 2)</f>
        <v>Other</v>
      </c>
      <c r="E207" s="19" t="str" cm="1">
        <f t="array" ref="E207">Common_InputFunctions.Utility_DisplayArrayInTable(Scope3_SourceData.Scope3_Other_Data(), Table_SourceData_Scope3_Other[[#Headers],[Category]], 0, 2)</f>
        <v>Oat grain (for seed)</v>
      </c>
      <c r="F207" s="19" t="str" cm="1">
        <f t="array" ref="F207">Common_InputFunctions.Utility_DisplayArrayInTable(Scope3_SourceData.Scope3_Other_Data(), Table_SourceData_Scope3_Other[[#Headers],[Category]], 0, 2)</f>
        <v>Australia</v>
      </c>
      <c r="G207" s="19" t="str" cm="1">
        <f t="array" ref="G207">Common_InputFunctions.Utility_DisplayArrayInTable(Scope3_SourceData.Scope3_Other_Data(), Table_SourceData_Scope3_Other[[#Headers],[Category]], 0, 2)</f>
        <v>kg</v>
      </c>
      <c r="H207" s="19" cm="1">
        <f t="array" ref="H207">Common_InputFunctions.Utility_DisplayArrayInTable(Scope3_SourceData.Scope3_Other_Data(), Table_SourceData_Scope3_Other[[#Headers],[Category]], 0, 2)</f>
        <v>0.27</v>
      </c>
      <c r="I207" s="19" t="str" cm="1">
        <f t="array" ref="I207">Common_InputFunctions.Utility_DisplayArrayInTable(Scope3_SourceData.Scope3_Other_Data(), Table_SourceData_Scope3_Other[[#Headers],[Category]], 0, 2)</f>
        <v>at market</v>
      </c>
      <c r="J207" s="19" t="s">
        <v>1166</v>
      </c>
    </row>
    <row r="208" spans="4:14" ht="20.100000000000001" customHeight="1" x14ac:dyDescent="0.2">
      <c r="D208" s="19" t="str" cm="1">
        <f t="array" ref="D208">Common_InputFunctions.Utility_DisplayArrayInTable(Scope3_SourceData.Scope3_Other_Data(), Table_SourceData_Scope3_Other[[#Headers],[Category]], 0, 2)</f>
        <v>Other</v>
      </c>
      <c r="E208" s="19" t="str" cm="1">
        <f t="array" ref="E208">Common_InputFunctions.Utility_DisplayArrayInTable(Scope3_SourceData.Scope3_Other_Data(), Table_SourceData_Scope3_Other[[#Headers],[Category]], 0, 2)</f>
        <v>Sorghum grain (for seed)</v>
      </c>
      <c r="F208" s="19" t="str" cm="1">
        <f t="array" ref="F208">Common_InputFunctions.Utility_DisplayArrayInTable(Scope3_SourceData.Scope3_Other_Data(), Table_SourceData_Scope3_Other[[#Headers],[Category]], 0, 2)</f>
        <v>Australia</v>
      </c>
      <c r="G208" s="19" t="str" cm="1">
        <f t="array" ref="G208">Common_InputFunctions.Utility_DisplayArrayInTable(Scope3_SourceData.Scope3_Other_Data(), Table_SourceData_Scope3_Other[[#Headers],[Category]], 0, 2)</f>
        <v>kg</v>
      </c>
      <c r="H208" s="19" cm="1">
        <f t="array" ref="H208">Common_InputFunctions.Utility_DisplayArrayInTable(Scope3_SourceData.Scope3_Other_Data(), Table_SourceData_Scope3_Other[[#Headers],[Category]], 0, 2)</f>
        <v>0.23200000000000001</v>
      </c>
      <c r="I208" s="19" t="str" cm="1">
        <f t="array" ref="I208">Common_InputFunctions.Utility_DisplayArrayInTable(Scope3_SourceData.Scope3_Other_Data(), Table_SourceData_Scope3_Other[[#Headers],[Category]], 0, 2)</f>
        <v>at market</v>
      </c>
      <c r="J208" s="19" t="s">
        <v>1166</v>
      </c>
    </row>
    <row r="209" spans="1:10" ht="20.100000000000001" customHeight="1" x14ac:dyDescent="0.2">
      <c r="D209" s="19" t="str" cm="1">
        <f t="array" ref="D209">Common_InputFunctions.Utility_DisplayArrayInTable(Scope3_SourceData.Scope3_Other_Data(), Table_SourceData_Scope3_Other[[#Headers],[Category]], 0, 2)</f>
        <v>Other</v>
      </c>
      <c r="E209" s="19" t="str" cm="1">
        <f t="array" ref="E209">Common_InputFunctions.Utility_DisplayArrayInTable(Scope3_SourceData.Scope3_Other_Data(), Table_SourceData_Scope3_Other[[#Headers],[Category]], 0, 2)</f>
        <v>Wheat grain (for seed)</v>
      </c>
      <c r="F209" s="19" t="str" cm="1">
        <f t="array" ref="F209">Common_InputFunctions.Utility_DisplayArrayInTable(Scope3_SourceData.Scope3_Other_Data(), Table_SourceData_Scope3_Other[[#Headers],[Category]], 0, 2)</f>
        <v>Australia</v>
      </c>
      <c r="G209" s="19" t="str" cm="1">
        <f t="array" ref="G209">Common_InputFunctions.Utility_DisplayArrayInTable(Scope3_SourceData.Scope3_Other_Data(), Table_SourceData_Scope3_Other[[#Headers],[Category]], 0, 2)</f>
        <v>kg</v>
      </c>
      <c r="H209" s="19" cm="1">
        <f t="array" ref="H209">Common_InputFunctions.Utility_DisplayArrayInTable(Scope3_SourceData.Scope3_Other_Data(), Table_SourceData_Scope3_Other[[#Headers],[Category]], 0, 2)</f>
        <v>0.26800000000000002</v>
      </c>
      <c r="I209" s="19" t="str" cm="1">
        <f t="array" ref="I209">Common_InputFunctions.Utility_DisplayArrayInTable(Scope3_SourceData.Scope3_Other_Data(), Table_SourceData_Scope3_Other[[#Headers],[Category]], 0, 2)</f>
        <v>at market</v>
      </c>
      <c r="J209" s="19" t="s">
        <v>1166</v>
      </c>
    </row>
    <row r="211" spans="1:10" ht="20.100000000000001" customHeight="1" x14ac:dyDescent="0.2">
      <c r="D211" s="2" t="s">
        <v>1179</v>
      </c>
    </row>
    <row r="212" spans="1:10" ht="20.100000000000001" customHeight="1" x14ac:dyDescent="0.2">
      <c r="D212" s="19" t="s">
        <v>1159</v>
      </c>
      <c r="E212" s="19" t="s">
        <v>132</v>
      </c>
      <c r="F212" s="19" t="s">
        <v>1160</v>
      </c>
      <c r="G212" s="19" t="s">
        <v>1161</v>
      </c>
      <c r="H212" s="19" t="s">
        <v>1162</v>
      </c>
      <c r="I212" s="19" t="s">
        <v>1163</v>
      </c>
      <c r="J212" s="19" t="s">
        <v>560</v>
      </c>
    </row>
    <row r="213" spans="1:10" ht="20.100000000000001" customHeight="1" x14ac:dyDescent="0.2">
      <c r="D213" s="19" t="str" cm="1">
        <f t="array" ref="D213">Common_InputFunctions.Utility_DisplayArrayInTable(Scope3_SourceData.Scope3_Packaging_Data(), Table_SourceData_Scope3_Packaging[[#Headers],[Category]], 0, 2)</f>
        <v>Packaging</v>
      </c>
      <c r="E213" s="19" t="str" cm="1">
        <f t="array" ref="E213">Common_InputFunctions.Utility_DisplayArrayInTable(Scope3_SourceData.Scope3_Packaging_Data(), Table_SourceData_Scope3_Packaging[[#Headers],[Category]], 0, 2)</f>
        <v>Corrugated board</v>
      </c>
      <c r="F213" s="19" t="str" cm="1">
        <f t="array" ref="F213">Common_InputFunctions.Utility_DisplayArrayInTable(Scope3_SourceData.Scope3_Packaging_Data(), Table_SourceData_Scope3_Packaging[[#Headers],[Category]], 0, 2)</f>
        <v>Global</v>
      </c>
      <c r="G213" s="19" t="str" cm="1">
        <f t="array" ref="G213">Common_InputFunctions.Utility_DisplayArrayInTable(Scope3_SourceData.Scope3_Packaging_Data(), Table_SourceData_Scope3_Packaging[[#Headers],[Category]], 0, 2)</f>
        <v>kg</v>
      </c>
      <c r="H213" s="19" cm="1">
        <f t="array" ref="H213">Common_InputFunctions.Utility_DisplayArrayInTable(Scope3_SourceData.Scope3_Packaging_Data(), Table_SourceData_Scope3_Packaging[[#Headers],[Category]], 0, 2)</f>
        <v>1.05</v>
      </c>
      <c r="I213" s="19" t="str" cm="1">
        <f t="array" ref="I213">Common_InputFunctions.Utility_DisplayArrayInTable(Scope3_SourceData.Scope3_Packaging_Data(), Table_SourceData_Scope3_Packaging[[#Headers],[Category]], 0, 2)</f>
        <v>at manufacturer</v>
      </c>
      <c r="J213" s="19" t="s">
        <v>1166</v>
      </c>
    </row>
    <row r="214" spans="1:10" ht="20.100000000000001" customHeight="1" x14ac:dyDescent="0.2">
      <c r="D214" s="19" t="str" cm="1">
        <f t="array" ref="D214">Common_InputFunctions.Utility_DisplayArrayInTable(Scope3_SourceData.Scope3_Packaging_Data(), Table_SourceData_Scope3_Packaging[[#Headers],[Category]], 0, 2)</f>
        <v>Packaging</v>
      </c>
      <c r="E214" s="19" t="str" cm="1">
        <f t="array" ref="E214">Common_InputFunctions.Utility_DisplayArrayInTable(Scope3_SourceData.Scope3_Packaging_Data(), Table_SourceData_Scope3_Packaging[[#Headers],[Category]], 0, 2)</f>
        <v>Plastic crate polypropylene</v>
      </c>
      <c r="F214" s="19" t="str" cm="1">
        <f t="array" ref="F214">Common_InputFunctions.Utility_DisplayArrayInTable(Scope3_SourceData.Scope3_Packaging_Data(), Table_SourceData_Scope3_Packaging[[#Headers],[Category]], 0, 2)</f>
        <v>Global</v>
      </c>
      <c r="G214" s="19" t="str" cm="1">
        <f t="array" ref="G214">Common_InputFunctions.Utility_DisplayArrayInTable(Scope3_SourceData.Scope3_Packaging_Data(), Table_SourceData_Scope3_Packaging[[#Headers],[Category]], 0, 2)</f>
        <v>p</v>
      </c>
      <c r="H214" s="19" cm="1">
        <f t="array" ref="H214">Common_InputFunctions.Utility_DisplayArrayInTable(Scope3_SourceData.Scope3_Packaging_Data(), Table_SourceData_Scope3_Packaging[[#Headers],[Category]], 0, 2)</f>
        <v>3.99</v>
      </c>
      <c r="I214" s="19" t="str" cm="1">
        <f t="array" ref="I214">Common_InputFunctions.Utility_DisplayArrayInTable(Scope3_SourceData.Scope3_Packaging_Data(), Table_SourceData_Scope3_Packaging[[#Headers],[Category]], 0, 2)</f>
        <v>at manufacturer</v>
      </c>
      <c r="J214" s="19" t="s">
        <v>1166</v>
      </c>
    </row>
    <row r="215" spans="1:10" ht="20.100000000000001" customHeight="1" x14ac:dyDescent="0.2">
      <c r="D215" s="19" t="str" cm="1">
        <f t="array" ref="D215">Common_InputFunctions.Utility_DisplayArrayInTable(Scope3_SourceData.Scope3_Packaging_Data(), Table_SourceData_Scope3_Packaging[[#Headers],[Category]], 0, 2)</f>
        <v>Packaging</v>
      </c>
      <c r="E215" s="19" t="str" cm="1">
        <f t="array" ref="E215">Common_InputFunctions.Utility_DisplayArrayInTable(Scope3_SourceData.Scope3_Packaging_Data(), Table_SourceData_Scope3_Packaging[[#Headers],[Category]], 0, 2)</f>
        <v>Plastic film LDPE</v>
      </c>
      <c r="F215" s="19" t="str" cm="1">
        <f t="array" ref="F215">Common_InputFunctions.Utility_DisplayArrayInTable(Scope3_SourceData.Scope3_Packaging_Data(), Table_SourceData_Scope3_Packaging[[#Headers],[Category]], 0, 2)</f>
        <v>Global</v>
      </c>
      <c r="G215" s="19" t="str" cm="1">
        <f t="array" ref="G215">Common_InputFunctions.Utility_DisplayArrayInTable(Scope3_SourceData.Scope3_Packaging_Data(), Table_SourceData_Scope3_Packaging[[#Headers],[Category]], 0, 2)</f>
        <v>kg</v>
      </c>
      <c r="H215" s="19" cm="1">
        <f t="array" ref="H215">Common_InputFunctions.Utility_DisplayArrayInTable(Scope3_SourceData.Scope3_Packaging_Data(), Table_SourceData_Scope3_Packaging[[#Headers],[Category]], 0, 2)</f>
        <v>3.44</v>
      </c>
      <c r="I215" s="19" t="str" cm="1">
        <f t="array" ref="I215">Common_InputFunctions.Utility_DisplayArrayInTable(Scope3_SourceData.Scope3_Packaging_Data(), Table_SourceData_Scope3_Packaging[[#Headers],[Category]], 0, 2)</f>
        <v>at manufacturer</v>
      </c>
      <c r="J215" s="19" t="s">
        <v>1166</v>
      </c>
    </row>
    <row r="216" spans="1:10" ht="20.100000000000001" customHeight="1" x14ac:dyDescent="0.2">
      <c r="A216" s="79" t="str">
        <f>HYPERLINK("#A1", "▲ Back to top")</f>
        <v>▲ Back to top</v>
      </c>
      <c r="D216" s="19" t="str" cm="1">
        <f t="array" ref="D216">Common_InputFunctions.Utility_DisplayArrayInTable(Scope3_SourceData.Scope3_Packaging_Data(), Table_SourceData_Scope3_Packaging[[#Headers],[Category]], 0, 2)</f>
        <v>Packaging</v>
      </c>
      <c r="E216" s="19" t="str" cm="1">
        <f t="array" ref="E216">Common_InputFunctions.Utility_DisplayArrayInTable(Scope3_SourceData.Scope3_Packaging_Data(), Table_SourceData_Scope3_Packaging[[#Headers],[Category]], 0, 2)</f>
        <v>Plastic sheet HDPE</v>
      </c>
      <c r="F216" s="19" t="str" cm="1">
        <f t="array" ref="F216">Common_InputFunctions.Utility_DisplayArrayInTable(Scope3_SourceData.Scope3_Packaging_Data(), Table_SourceData_Scope3_Packaging[[#Headers],[Category]], 0, 2)</f>
        <v>Global</v>
      </c>
      <c r="G216" s="19" t="str" cm="1">
        <f t="array" ref="G216">Common_InputFunctions.Utility_DisplayArrayInTable(Scope3_SourceData.Scope3_Packaging_Data(), Table_SourceData_Scope3_Packaging[[#Headers],[Category]], 0, 2)</f>
        <v>kg</v>
      </c>
      <c r="H216" s="19" cm="1">
        <f t="array" ref="H216">Common_InputFunctions.Utility_DisplayArrayInTable(Scope3_SourceData.Scope3_Packaging_Data(), Table_SourceData_Scope3_Packaging[[#Headers],[Category]], 0, 2)</f>
        <v>3.72</v>
      </c>
      <c r="I216" s="19" t="str" cm="1">
        <f t="array" ref="I216">Common_InputFunctions.Utility_DisplayArrayInTable(Scope3_SourceData.Scope3_Packaging_Data(), Table_SourceData_Scope3_Packaging[[#Headers],[Category]], 0, 2)</f>
        <v>at manufacturer</v>
      </c>
      <c r="J216" s="19" t="s">
        <v>1166</v>
      </c>
    </row>
    <row r="218" spans="1:10" ht="20.100000000000001" customHeight="1" x14ac:dyDescent="0.2">
      <c r="D218" s="2" t="s">
        <v>1180</v>
      </c>
    </row>
    <row r="219" spans="1:10" ht="20.100000000000001" customHeight="1" x14ac:dyDescent="0.2">
      <c r="D219" s="19" t="s">
        <v>1159</v>
      </c>
      <c r="E219" s="19" t="s">
        <v>132</v>
      </c>
      <c r="F219" s="19" t="s">
        <v>1160</v>
      </c>
      <c r="G219" s="19" t="s">
        <v>1161</v>
      </c>
      <c r="H219" s="19" t="s">
        <v>1162</v>
      </c>
      <c r="I219" s="19" t="s">
        <v>1163</v>
      </c>
      <c r="J219" s="19" t="s">
        <v>560</v>
      </c>
    </row>
    <row r="220" spans="1:10" ht="20.100000000000001" customHeight="1" x14ac:dyDescent="0.2">
      <c r="D220" s="19" t="str" cm="1">
        <f t="array" ref="D220">Common_InputFunctions.Utility_DisplayArrayInTable(Scope3_SourceData.Scope3_Pesticides_Data(), Table_SourceData_Scope3_Pesticides[[#Headers],[Category]], 0, 2)</f>
        <v>Pesticides</v>
      </c>
      <c r="E220" s="19" t="str" cm="1">
        <f t="array" ref="E220">Common_InputFunctions.Utility_DisplayArrayInTable(Scope3_SourceData.Scope3_Pesticides_Data(), Table_SourceData_Scope3_Pesticides[[#Headers],[Category]], 0, 2)</f>
        <v>2,4-D</v>
      </c>
      <c r="F220" s="19" t="str" cm="1">
        <f t="array" ref="F220">Common_InputFunctions.Utility_DisplayArrayInTable(Scope3_SourceData.Scope3_Pesticides_Data(), Table_SourceData_Scope3_Pesticides[[#Headers],[Category]], 0, 2)</f>
        <v>Global</v>
      </c>
      <c r="G220" s="19" t="str" cm="1">
        <f t="array" ref="G220">Common_InputFunctions.Utility_DisplayArrayInTable(Scope3_SourceData.Scope3_Pesticides_Data(), Table_SourceData_Scope3_Pesticides[[#Headers],[Category]], 0, 2)</f>
        <v>kg AI</v>
      </c>
      <c r="H220" s="19" cm="1">
        <f t="array" ref="H220">Common_InputFunctions.Utility_DisplayArrayInTable(Scope3_SourceData.Scope3_Pesticides_Data(), Table_SourceData_Scope3_Pesticides[[#Headers],[Category]], 0, 2)</f>
        <v>5.2</v>
      </c>
      <c r="I220" s="19" t="str" cm="1">
        <f t="array" ref="I220">Common_InputFunctions.Utility_DisplayArrayInTable(Scope3_SourceData.Scope3_Pesticides_Data(), Table_SourceData_Scope3_Pesticides[[#Headers],[Category]], 0, 2)</f>
        <v>at market</v>
      </c>
      <c r="J220" s="19" t="s">
        <v>1166</v>
      </c>
    </row>
    <row r="221" spans="1:10" ht="20.100000000000001" customHeight="1" x14ac:dyDescent="0.2">
      <c r="D221" s="19" t="str" cm="1">
        <f t="array" ref="D221">Common_InputFunctions.Utility_DisplayArrayInTable(Scope3_SourceData.Scope3_Pesticides_Data(), Table_SourceData_Scope3_Pesticides[[#Headers],[Category]], 0, 2)</f>
        <v>Pesticides</v>
      </c>
      <c r="E221" s="19" t="str" cm="1">
        <f t="array" ref="E221">Common_InputFunctions.Utility_DisplayArrayInTable(Scope3_SourceData.Scope3_Pesticides_Data(), Table_SourceData_Scope3_Pesticides[[#Headers],[Category]], 0, 2)</f>
        <v>Atrazine</v>
      </c>
      <c r="F221" s="19" t="str" cm="1">
        <f t="array" ref="F221">Common_InputFunctions.Utility_DisplayArrayInTable(Scope3_SourceData.Scope3_Pesticides_Data(), Table_SourceData_Scope3_Pesticides[[#Headers],[Category]], 0, 2)</f>
        <v>Global</v>
      </c>
      <c r="G221" s="19" t="str" cm="1">
        <f t="array" ref="G221">Common_InputFunctions.Utility_DisplayArrayInTable(Scope3_SourceData.Scope3_Pesticides_Data(), Table_SourceData_Scope3_Pesticides[[#Headers],[Category]], 0, 2)</f>
        <v>kg AI</v>
      </c>
      <c r="H221" s="19" cm="1">
        <f t="array" ref="H221">Common_InputFunctions.Utility_DisplayArrayInTable(Scope3_SourceData.Scope3_Pesticides_Data(), Table_SourceData_Scope3_Pesticides[[#Headers],[Category]], 0, 2)</f>
        <v>8.3800000000000008</v>
      </c>
      <c r="I221" s="19" t="str" cm="1">
        <f t="array" ref="I221">Common_InputFunctions.Utility_DisplayArrayInTable(Scope3_SourceData.Scope3_Pesticides_Data(), Table_SourceData_Scope3_Pesticides[[#Headers],[Category]], 0, 2)</f>
        <v>at market</v>
      </c>
      <c r="J221" s="19" t="s">
        <v>1166</v>
      </c>
    </row>
    <row r="222" spans="1:10" ht="20.100000000000001" customHeight="1" x14ac:dyDescent="0.2">
      <c r="D222" s="19" t="str" cm="1">
        <f t="array" ref="D222">Common_InputFunctions.Utility_DisplayArrayInTable(Scope3_SourceData.Scope3_Pesticides_Data(), Table_SourceData_Scope3_Pesticides[[#Headers],[Category]], 0, 2)</f>
        <v>Pesticides</v>
      </c>
      <c r="E222" s="19" t="str" cm="1">
        <f t="array" ref="E222">Common_InputFunctions.Utility_DisplayArrayInTable(Scope3_SourceData.Scope3_Pesticides_Data(), Table_SourceData_Scope3_Pesticides[[#Headers],[Category]], 0, 2)</f>
        <v>Diuron</v>
      </c>
      <c r="F222" s="19" t="str" cm="1">
        <f t="array" ref="F222">Common_InputFunctions.Utility_DisplayArrayInTable(Scope3_SourceData.Scope3_Pesticides_Data(), Table_SourceData_Scope3_Pesticides[[#Headers],[Category]], 0, 2)</f>
        <v>Global</v>
      </c>
      <c r="G222" s="19" t="str" cm="1">
        <f t="array" ref="G222">Common_InputFunctions.Utility_DisplayArrayInTable(Scope3_SourceData.Scope3_Pesticides_Data(), Table_SourceData_Scope3_Pesticides[[#Headers],[Category]], 0, 2)</f>
        <v>kg AI</v>
      </c>
      <c r="H222" s="19" cm="1">
        <f t="array" ref="H222">Common_InputFunctions.Utility_DisplayArrayInTable(Scope3_SourceData.Scope3_Pesticides_Data(), Table_SourceData_Scope3_Pesticides[[#Headers],[Category]], 0, 2)</f>
        <v>8.8000000000000007</v>
      </c>
      <c r="I222" s="19" t="str" cm="1">
        <f t="array" ref="I222">Common_InputFunctions.Utility_DisplayArrayInTable(Scope3_SourceData.Scope3_Pesticides_Data(), Table_SourceData_Scope3_Pesticides[[#Headers],[Category]], 0, 2)</f>
        <v>at market</v>
      </c>
      <c r="J222" s="19" t="s">
        <v>1166</v>
      </c>
    </row>
    <row r="223" spans="1:10" ht="20.100000000000001" customHeight="1" x14ac:dyDescent="0.2">
      <c r="D223" s="19" t="str" cm="1">
        <f t="array" ref="D223">Common_InputFunctions.Utility_DisplayArrayInTable(Scope3_SourceData.Scope3_Pesticides_Data(), Table_SourceData_Scope3_Pesticides[[#Headers],[Category]], 0, 2)</f>
        <v>Pesticides</v>
      </c>
      <c r="E223" s="19" t="str" cm="1">
        <f t="array" ref="E223">Common_InputFunctions.Utility_DisplayArrayInTable(Scope3_SourceData.Scope3_Pesticides_Data(), Table_SourceData_Scope3_Pesticides[[#Headers],[Category]], 0, 2)</f>
        <v>Glyphosate</v>
      </c>
      <c r="F223" s="19" t="str" cm="1">
        <f t="array" ref="F223">Common_InputFunctions.Utility_DisplayArrayInTable(Scope3_SourceData.Scope3_Pesticides_Data(), Table_SourceData_Scope3_Pesticides[[#Headers],[Category]], 0, 2)</f>
        <v>Global</v>
      </c>
      <c r="G223" s="19" t="str" cm="1">
        <f t="array" ref="G223">Common_InputFunctions.Utility_DisplayArrayInTable(Scope3_SourceData.Scope3_Pesticides_Data(), Table_SourceData_Scope3_Pesticides[[#Headers],[Category]], 0, 2)</f>
        <v>kg AI</v>
      </c>
      <c r="H223" s="19" cm="1">
        <f t="array" ref="H223">Common_InputFunctions.Utility_DisplayArrayInTable(Scope3_SourceData.Scope3_Pesticides_Data(), Table_SourceData_Scope3_Pesticides[[#Headers],[Category]], 0, 2)</f>
        <v>10.3</v>
      </c>
      <c r="I223" s="19" t="str" cm="1">
        <f t="array" ref="I223">Common_InputFunctions.Utility_DisplayArrayInTable(Scope3_SourceData.Scope3_Pesticides_Data(), Table_SourceData_Scope3_Pesticides[[#Headers],[Category]], 0, 2)</f>
        <v>at market</v>
      </c>
      <c r="J223" s="19" t="s">
        <v>1166</v>
      </c>
    </row>
    <row r="224" spans="1:10" ht="20.100000000000001" customHeight="1" x14ac:dyDescent="0.2">
      <c r="D224" s="19" t="str" cm="1">
        <f t="array" ref="D224">Common_InputFunctions.Utility_DisplayArrayInTable(Scope3_SourceData.Scope3_Pesticides_Data(), Table_SourceData_Scope3_Pesticides[[#Headers],[Category]], 0, 2)</f>
        <v>Pesticides</v>
      </c>
      <c r="E224" s="19" t="str" cm="1">
        <f t="array" ref="E224">Common_InputFunctions.Utility_DisplayArrayInTable(Scope3_SourceData.Scope3_Pesticides_Data(), Table_SourceData_Scope3_Pesticides[[#Headers],[Category]], 0, 2)</f>
        <v>Mancozeb</v>
      </c>
      <c r="F224" s="19" t="str" cm="1">
        <f t="array" ref="F224">Common_InputFunctions.Utility_DisplayArrayInTable(Scope3_SourceData.Scope3_Pesticides_Data(), Table_SourceData_Scope3_Pesticides[[#Headers],[Category]], 0, 2)</f>
        <v>Global</v>
      </c>
      <c r="G224" s="19" t="str" cm="1">
        <f t="array" ref="G224">Common_InputFunctions.Utility_DisplayArrayInTable(Scope3_SourceData.Scope3_Pesticides_Data(), Table_SourceData_Scope3_Pesticides[[#Headers],[Category]], 0, 2)</f>
        <v>kg AI</v>
      </c>
      <c r="H224" s="19" cm="1">
        <f t="array" ref="H224">Common_InputFunctions.Utility_DisplayArrayInTable(Scope3_SourceData.Scope3_Pesticides_Data(), Table_SourceData_Scope3_Pesticides[[#Headers],[Category]], 0, 2)</f>
        <v>4.55</v>
      </c>
      <c r="I224" s="19" t="str" cm="1">
        <f t="array" ref="I224">Common_InputFunctions.Utility_DisplayArrayInTable(Scope3_SourceData.Scope3_Pesticides_Data(), Table_SourceData_Scope3_Pesticides[[#Headers],[Category]], 0, 2)</f>
        <v>at market</v>
      </c>
      <c r="J224" s="19" t="s">
        <v>1166</v>
      </c>
    </row>
    <row r="225" spans="4:10" ht="20.100000000000001" customHeight="1" x14ac:dyDescent="0.2">
      <c r="D225" s="19" t="str" cm="1">
        <f t="array" ref="D225">Common_InputFunctions.Utility_DisplayArrayInTable(Scope3_SourceData.Scope3_Pesticides_Data(), Table_SourceData_Scope3_Pesticides[[#Headers],[Category]], 0, 2)</f>
        <v>Pesticides</v>
      </c>
      <c r="E225" s="19" t="str" cm="1">
        <f t="array" ref="E225">Common_InputFunctions.Utility_DisplayArrayInTable(Scope3_SourceData.Scope3_Pesticides_Data(), Table_SourceData_Scope3_Pesticides[[#Headers],[Category]], 0, 2)</f>
        <v>MCPA</v>
      </c>
      <c r="F225" s="19" t="str" cm="1">
        <f t="array" ref="F225">Common_InputFunctions.Utility_DisplayArrayInTable(Scope3_SourceData.Scope3_Pesticides_Data(), Table_SourceData_Scope3_Pesticides[[#Headers],[Category]], 0, 2)</f>
        <v>Global</v>
      </c>
      <c r="G225" s="19" t="str" cm="1">
        <f t="array" ref="G225">Common_InputFunctions.Utility_DisplayArrayInTable(Scope3_SourceData.Scope3_Pesticides_Data(), Table_SourceData_Scope3_Pesticides[[#Headers],[Category]], 0, 2)</f>
        <v>kg AI</v>
      </c>
      <c r="H225" s="19" cm="1">
        <f t="array" ref="H225">Common_InputFunctions.Utility_DisplayArrayInTable(Scope3_SourceData.Scope3_Pesticides_Data(), Table_SourceData_Scope3_Pesticides[[#Headers],[Category]], 0, 2)</f>
        <v>5.6</v>
      </c>
      <c r="I225" s="19" t="str" cm="1">
        <f t="array" ref="I225">Common_InputFunctions.Utility_DisplayArrayInTable(Scope3_SourceData.Scope3_Pesticides_Data(), Table_SourceData_Scope3_Pesticides[[#Headers],[Category]], 0, 2)</f>
        <v>at market</v>
      </c>
      <c r="J225" s="19" t="s">
        <v>1166</v>
      </c>
    </row>
    <row r="226" spans="4:10" ht="20.100000000000001" customHeight="1" x14ac:dyDescent="0.2">
      <c r="D226" s="19" t="str" cm="1">
        <f t="array" ref="D226">Common_InputFunctions.Utility_DisplayArrayInTable(Scope3_SourceData.Scope3_Pesticides_Data(), Table_SourceData_Scope3_Pesticides[[#Headers],[Category]], 0, 2)</f>
        <v>Pesticides</v>
      </c>
      <c r="E226" s="19" t="str" cm="1">
        <f t="array" ref="E226">Common_InputFunctions.Utility_DisplayArrayInTable(Scope3_SourceData.Scope3_Pesticides_Data(), Table_SourceData_Scope3_Pesticides[[#Headers],[Category]], 0, 2)</f>
        <v>Metolachlor</v>
      </c>
      <c r="F226" s="19" t="str" cm="1">
        <f t="array" ref="F226">Common_InputFunctions.Utility_DisplayArrayInTable(Scope3_SourceData.Scope3_Pesticides_Data(), Table_SourceData_Scope3_Pesticides[[#Headers],[Category]], 0, 2)</f>
        <v>Global</v>
      </c>
      <c r="G226" s="19" t="str" cm="1">
        <f t="array" ref="G226">Common_InputFunctions.Utility_DisplayArrayInTable(Scope3_SourceData.Scope3_Pesticides_Data(), Table_SourceData_Scope3_Pesticides[[#Headers],[Category]], 0, 2)</f>
        <v>kg AI</v>
      </c>
      <c r="H226" s="19" cm="1">
        <f t="array" ref="H226">Common_InputFunctions.Utility_DisplayArrayInTable(Scope3_SourceData.Scope3_Pesticides_Data(), Table_SourceData_Scope3_Pesticides[[#Headers],[Category]], 0, 2)</f>
        <v>8.06</v>
      </c>
      <c r="I226" s="19" t="str" cm="1">
        <f t="array" ref="I226">Common_InputFunctions.Utility_DisplayArrayInTable(Scope3_SourceData.Scope3_Pesticides_Data(), Table_SourceData_Scope3_Pesticides[[#Headers],[Category]], 0, 2)</f>
        <v>at market</v>
      </c>
      <c r="J226" s="19" t="s">
        <v>1166</v>
      </c>
    </row>
    <row r="227" spans="4:10" ht="20.100000000000001" customHeight="1" x14ac:dyDescent="0.2">
      <c r="D227" s="19" t="str" cm="1">
        <f t="array" ref="D227">Common_InputFunctions.Utility_DisplayArrayInTable(Scope3_SourceData.Scope3_Pesticides_Data(), Table_SourceData_Scope3_Pesticides[[#Headers],[Category]], 0, 2)</f>
        <v>Pesticides</v>
      </c>
      <c r="E227" s="19" t="str" cm="1">
        <f t="array" ref="E227">Common_InputFunctions.Utility_DisplayArrayInTable(Scope3_SourceData.Scope3_Pesticides_Data(), Table_SourceData_Scope3_Pesticides[[#Headers],[Category]], 0, 2)</f>
        <v>Metsulfuron-methyl</v>
      </c>
      <c r="F227" s="19" t="str" cm="1">
        <f t="array" ref="F227">Common_InputFunctions.Utility_DisplayArrayInTable(Scope3_SourceData.Scope3_Pesticides_Data(), Table_SourceData_Scope3_Pesticides[[#Headers],[Category]], 0, 2)</f>
        <v>Global</v>
      </c>
      <c r="G227" s="19" t="str" cm="1">
        <f t="array" ref="G227">Common_InputFunctions.Utility_DisplayArrayInTable(Scope3_SourceData.Scope3_Pesticides_Data(), Table_SourceData_Scope3_Pesticides[[#Headers],[Category]], 0, 2)</f>
        <v>kg AI</v>
      </c>
      <c r="H227" s="19" cm="1">
        <f t="array" ref="H227">Common_InputFunctions.Utility_DisplayArrayInTable(Scope3_SourceData.Scope3_Pesticides_Data(), Table_SourceData_Scope3_Pesticides[[#Headers],[Category]], 0, 2)</f>
        <v>8.8000000000000007</v>
      </c>
      <c r="I227" s="19" t="str" cm="1">
        <f t="array" ref="I227">Common_InputFunctions.Utility_DisplayArrayInTable(Scope3_SourceData.Scope3_Pesticides_Data(), Table_SourceData_Scope3_Pesticides[[#Headers],[Category]], 0, 2)</f>
        <v>at market</v>
      </c>
      <c r="J227" s="19" t="s">
        <v>1166</v>
      </c>
    </row>
    <row r="228" spans="4:10" ht="20.100000000000001" customHeight="1" x14ac:dyDescent="0.2">
      <c r="D228" s="19" t="str" cm="1">
        <f t="array" ref="D228">Common_InputFunctions.Utility_DisplayArrayInTable(Scope3_SourceData.Scope3_Pesticides_Data(), Table_SourceData_Scope3_Pesticides[[#Headers],[Category]], 0, 2)</f>
        <v>Pesticides</v>
      </c>
      <c r="E228" s="19" t="str" cm="1">
        <f t="array" ref="E228">Common_InputFunctions.Utility_DisplayArrayInTable(Scope3_SourceData.Scope3_Pesticides_Data(), Table_SourceData_Scope3_Pesticides[[#Headers],[Category]], 0, 2)</f>
        <v>Pesticides (generic)</v>
      </c>
      <c r="F228" s="19" t="str" cm="1">
        <f t="array" ref="F228">Common_InputFunctions.Utility_DisplayArrayInTable(Scope3_SourceData.Scope3_Pesticides_Data(), Table_SourceData_Scope3_Pesticides[[#Headers],[Category]], 0, 2)</f>
        <v>Global</v>
      </c>
      <c r="G228" s="19" t="str" cm="1">
        <f t="array" ref="G228">Common_InputFunctions.Utility_DisplayArrayInTable(Scope3_SourceData.Scope3_Pesticides_Data(), Table_SourceData_Scope3_Pesticides[[#Headers],[Category]], 0, 2)</f>
        <v>kg AI</v>
      </c>
      <c r="H228" s="19" cm="1">
        <f t="array" ref="H228">Common_InputFunctions.Utility_DisplayArrayInTable(Scope3_SourceData.Scope3_Pesticides_Data(), Table_SourceData_Scope3_Pesticides[[#Headers],[Category]], 0, 2)</f>
        <v>9.16</v>
      </c>
      <c r="I228" s="19" t="str" cm="1">
        <f t="array" ref="I228">Common_InputFunctions.Utility_DisplayArrayInTable(Scope3_SourceData.Scope3_Pesticides_Data(), Table_SourceData_Scope3_Pesticides[[#Headers],[Category]], 0, 2)</f>
        <v>at market</v>
      </c>
      <c r="J228" s="19" t="s">
        <v>1166</v>
      </c>
    </row>
    <row r="229" spans="4:10" ht="20.100000000000001" customHeight="1" x14ac:dyDescent="0.2">
      <c r="D229" s="19" t="str" cm="1">
        <f t="array" ref="D229">Common_InputFunctions.Utility_DisplayArrayInTable(Scope3_SourceData.Scope3_Pesticides_Data(), Table_SourceData_Scope3_Pesticides[[#Headers],[Category]], 0, 2)</f>
        <v>Pesticides</v>
      </c>
      <c r="E229" s="19" t="str" cm="1">
        <f t="array" ref="E229">Common_InputFunctions.Utility_DisplayArrayInTable(Scope3_SourceData.Scope3_Pesticides_Data(), Table_SourceData_Scope3_Pesticides[[#Headers],[Category]], 0, 2)</f>
        <v>Tri-allate</v>
      </c>
      <c r="F229" s="19" t="str" cm="1">
        <f t="array" ref="F229">Common_InputFunctions.Utility_DisplayArrayInTable(Scope3_SourceData.Scope3_Pesticides_Data(), Table_SourceData_Scope3_Pesticides[[#Headers],[Category]], 0, 2)</f>
        <v>Global</v>
      </c>
      <c r="G229" s="19" t="str" cm="1">
        <f t="array" ref="G229">Common_InputFunctions.Utility_DisplayArrayInTable(Scope3_SourceData.Scope3_Pesticides_Data(), Table_SourceData_Scope3_Pesticides[[#Headers],[Category]], 0, 2)</f>
        <v>kg AI</v>
      </c>
      <c r="H229" s="19" cm="1">
        <f t="array" ref="H229">Common_InputFunctions.Utility_DisplayArrayInTable(Scope3_SourceData.Scope3_Pesticides_Data(), Table_SourceData_Scope3_Pesticides[[#Headers],[Category]], 0, 2)</f>
        <v>8.57</v>
      </c>
      <c r="I229" s="19" t="str" cm="1">
        <f t="array" ref="I229">Common_InputFunctions.Utility_DisplayArrayInTable(Scope3_SourceData.Scope3_Pesticides_Data(), Table_SourceData_Scope3_Pesticides[[#Headers],[Category]], 0, 2)</f>
        <v>at market</v>
      </c>
      <c r="J229" s="19" t="s">
        <v>1166</v>
      </c>
    </row>
    <row r="230" spans="4:10" ht="20.100000000000001" customHeight="1" x14ac:dyDescent="0.2">
      <c r="D230" s="19" t="str" cm="1">
        <f t="array" ref="D230">Common_InputFunctions.Utility_DisplayArrayInTable(Scope3_SourceData.Scope3_Pesticides_Data(), Table_SourceData_Scope3_Pesticides[[#Headers],[Category]], 0, 2)</f>
        <v>Pesticides</v>
      </c>
      <c r="E230" s="19" t="str" cm="1">
        <f t="array" ref="E230">Common_InputFunctions.Utility_DisplayArrayInTable(Scope3_SourceData.Scope3_Pesticides_Data(), Table_SourceData_Scope3_Pesticides[[#Headers],[Category]], 0, 2)</f>
        <v>Tribenuron methyl</v>
      </c>
      <c r="F230" s="19" t="str" cm="1">
        <f t="array" ref="F230">Common_InputFunctions.Utility_DisplayArrayInTable(Scope3_SourceData.Scope3_Pesticides_Data(), Table_SourceData_Scope3_Pesticides[[#Headers],[Category]], 0, 2)</f>
        <v>Global</v>
      </c>
      <c r="G230" s="19" t="str" cm="1">
        <f t="array" ref="G230">Common_InputFunctions.Utility_DisplayArrayInTable(Scope3_SourceData.Scope3_Pesticides_Data(), Table_SourceData_Scope3_Pesticides[[#Headers],[Category]], 0, 2)</f>
        <v>kg AI</v>
      </c>
      <c r="H230" s="19" cm="1">
        <f t="array" ref="H230">Common_InputFunctions.Utility_DisplayArrayInTable(Scope3_SourceData.Scope3_Pesticides_Data(), Table_SourceData_Scope3_Pesticides[[#Headers],[Category]], 0, 2)</f>
        <v>8.8000000000000007</v>
      </c>
      <c r="I230" s="19" t="str" cm="1">
        <f t="array" ref="I230">Common_InputFunctions.Utility_DisplayArrayInTable(Scope3_SourceData.Scope3_Pesticides_Data(), Table_SourceData_Scope3_Pesticides[[#Headers],[Category]], 0, 2)</f>
        <v>at market</v>
      </c>
      <c r="J230" s="19" t="s">
        <v>1166</v>
      </c>
    </row>
    <row r="231" spans="4:10" ht="20.100000000000001" customHeight="1" x14ac:dyDescent="0.2">
      <c r="D231" s="19" t="str" cm="1">
        <f t="array" ref="D231">Common_InputFunctions.Utility_DisplayArrayInTable(Scope3_SourceData.Scope3_Pesticides_Data(), Table_SourceData_Scope3_Pesticides[[#Headers],[Category]], 0, 2)</f>
        <v>Pesticides</v>
      </c>
      <c r="E231" s="19" t="str" cm="1">
        <f t="array" ref="E231">Common_InputFunctions.Utility_DisplayArrayInTable(Scope3_SourceData.Scope3_Pesticides_Data(), Table_SourceData_Scope3_Pesticides[[#Headers],[Category]], 0, 2)</f>
        <v>Trifluralin</v>
      </c>
      <c r="F231" s="19" t="str" cm="1">
        <f t="array" ref="F231">Common_InputFunctions.Utility_DisplayArrayInTable(Scope3_SourceData.Scope3_Pesticides_Data(), Table_SourceData_Scope3_Pesticides[[#Headers],[Category]], 0, 2)</f>
        <v>Global</v>
      </c>
      <c r="G231" s="19" t="str" cm="1">
        <f t="array" ref="G231">Common_InputFunctions.Utility_DisplayArrayInTable(Scope3_SourceData.Scope3_Pesticides_Data(), Table_SourceData_Scope3_Pesticides[[#Headers],[Category]], 0, 2)</f>
        <v>kg AI</v>
      </c>
      <c r="H231" s="19" cm="1">
        <f t="array" ref="H231">Common_InputFunctions.Utility_DisplayArrayInTable(Scope3_SourceData.Scope3_Pesticides_Data(), Table_SourceData_Scope3_Pesticides[[#Headers],[Category]], 0, 2)</f>
        <v>6.16</v>
      </c>
      <c r="I231" s="19" t="str" cm="1">
        <f t="array" ref="I231">Common_InputFunctions.Utility_DisplayArrayInTable(Scope3_SourceData.Scope3_Pesticides_Data(), Table_SourceData_Scope3_Pesticides[[#Headers],[Category]], 0, 2)</f>
        <v>at market</v>
      </c>
      <c r="J231" s="19" t="s">
        <v>1166</v>
      </c>
    </row>
    <row r="233" spans="4:10" ht="20.100000000000001" customHeight="1" x14ac:dyDescent="0.2">
      <c r="D233" s="2" t="s">
        <v>1181</v>
      </c>
    </row>
    <row r="234" spans="4:10" ht="20.100000000000001" customHeight="1" x14ac:dyDescent="0.2">
      <c r="D234" s="19" t="s">
        <v>1159</v>
      </c>
      <c r="E234" s="19" t="s">
        <v>132</v>
      </c>
      <c r="F234" s="19" t="s">
        <v>1160</v>
      </c>
      <c r="G234" s="19" t="s">
        <v>1161</v>
      </c>
      <c r="H234" s="19" t="s">
        <v>1162</v>
      </c>
      <c r="I234" s="19" t="s">
        <v>1163</v>
      </c>
      <c r="J234" s="19" t="s">
        <v>560</v>
      </c>
    </row>
    <row r="235" spans="4:10" ht="20.100000000000001" customHeight="1" x14ac:dyDescent="0.2">
      <c r="D235" s="19" t="str" cm="1">
        <f t="array" ref="D235">Common_InputFunctions.Utility_DisplayArrayInTable(Scope3_SourceData.Scope3_SoilAmendments_Data(), Table_SourceData_Scope3_SoilAmeliorants[[#Headers],[Category]], 0, 2)</f>
        <v>Soil ameliorants</v>
      </c>
      <c r="E235" s="19" t="str" cm="1">
        <f t="array" ref="E235">Common_InputFunctions.Utility_DisplayArrayInTable(Scope3_SourceData.Scope3_SoilAmendments_Data(), Table_SourceData_Scope3_SoilAmeliorants[[#Headers],[Category]], 0, 2)</f>
        <v>Dolomite</v>
      </c>
      <c r="F235" s="19" t="str" cm="1">
        <f t="array" ref="F235">Common_InputFunctions.Utility_DisplayArrayInTable(Scope3_SourceData.Scope3_SoilAmendments_Data(), Table_SourceData_Scope3_SoilAmeliorants[[#Headers],[Category]], 0, 2)</f>
        <v>Australia</v>
      </c>
      <c r="G235" s="19" t="str" cm="1">
        <f t="array" ref="G235">Common_InputFunctions.Utility_DisplayArrayInTable(Scope3_SourceData.Scope3_SoilAmendments_Data(), Table_SourceData_Scope3_SoilAmeliorants[[#Headers],[Category]], 0, 2)</f>
        <v>kg</v>
      </c>
      <c r="H235" s="19" cm="1">
        <f t="array" ref="H235">Common_InputFunctions.Utility_DisplayArrayInTable(Scope3_SourceData.Scope3_SoilAmendments_Data(), Table_SourceData_Scope3_SoilAmeliorants[[#Headers],[Category]], 0, 2)</f>
        <v>6.5199999999999994E-2</v>
      </c>
      <c r="I235" s="19" t="str" cm="1">
        <f t="array" ref="I235">Common_InputFunctions.Utility_DisplayArrayInTable(Scope3_SourceData.Scope3_SoilAmendments_Data(), Table_SourceData_Scope3_SoilAmeliorants[[#Headers],[Category]], 0, 2)</f>
        <v>at market</v>
      </c>
      <c r="J235" s="19" t="s">
        <v>1166</v>
      </c>
    </row>
    <row r="236" spans="4:10" ht="20.100000000000001" customHeight="1" x14ac:dyDescent="0.2">
      <c r="D236" s="19" t="str" cm="1">
        <f t="array" ref="D236">Common_InputFunctions.Utility_DisplayArrayInTable(Scope3_SourceData.Scope3_SoilAmendments_Data(), Table_SourceData_Scope3_SoilAmeliorants[[#Headers],[Category]], 0, 2)</f>
        <v>Soil ameliorants</v>
      </c>
      <c r="E236" s="19" t="str" cm="1">
        <f t="array" ref="E236">Common_InputFunctions.Utility_DisplayArrayInTable(Scope3_SourceData.Scope3_SoilAmendments_Data(), Table_SourceData_Scope3_SoilAmeliorants[[#Headers],[Category]], 0, 2)</f>
        <v>Gypsum</v>
      </c>
      <c r="F236" s="19" t="str" cm="1">
        <f t="array" ref="F236">Common_InputFunctions.Utility_DisplayArrayInTable(Scope3_SourceData.Scope3_SoilAmendments_Data(), Table_SourceData_Scope3_SoilAmeliorants[[#Headers],[Category]], 0, 2)</f>
        <v>Australia</v>
      </c>
      <c r="G236" s="19" t="str" cm="1">
        <f t="array" ref="G236">Common_InputFunctions.Utility_DisplayArrayInTable(Scope3_SourceData.Scope3_SoilAmendments_Data(), Table_SourceData_Scope3_SoilAmeliorants[[#Headers],[Category]], 0, 2)</f>
        <v>kg</v>
      </c>
      <c r="H236" s="19" cm="1">
        <f t="array" ref="H236">Common_InputFunctions.Utility_DisplayArrayInTable(Scope3_SourceData.Scope3_SoilAmendments_Data(), Table_SourceData_Scope3_SoilAmeliorants[[#Headers],[Category]], 0, 2)</f>
        <v>6.5199999999999994E-2</v>
      </c>
      <c r="I236" s="19" t="str" cm="1">
        <f t="array" ref="I236">Common_InputFunctions.Utility_DisplayArrayInTable(Scope3_SourceData.Scope3_SoilAmendments_Data(), Table_SourceData_Scope3_SoilAmeliorants[[#Headers],[Category]], 0, 2)</f>
        <v>at market</v>
      </c>
      <c r="J236" s="19" t="s">
        <v>1166</v>
      </c>
    </row>
    <row r="237" spans="4:10" ht="20.100000000000001" customHeight="1" x14ac:dyDescent="0.2">
      <c r="D237" s="19" t="str" cm="1">
        <f t="array" ref="D237">Common_InputFunctions.Utility_DisplayArrayInTable(Scope3_SourceData.Scope3_SoilAmendments_Data(), Table_SourceData_Scope3_SoilAmeliorants[[#Headers],[Category]], 0, 2)</f>
        <v>Soil ameliorants</v>
      </c>
      <c r="E237" s="19" t="str" cm="1">
        <f t="array" ref="E237">Common_InputFunctions.Utility_DisplayArrayInTable(Scope3_SourceData.Scope3_SoilAmendments_Data(), Table_SourceData_Scope3_SoilAmeliorants[[#Headers],[Category]], 0, 2)</f>
        <v>Limestone (crushed)</v>
      </c>
      <c r="F237" s="19" t="str" cm="1">
        <f t="array" ref="F237">Common_InputFunctions.Utility_DisplayArrayInTable(Scope3_SourceData.Scope3_SoilAmendments_Data(), Table_SourceData_Scope3_SoilAmeliorants[[#Headers],[Category]], 0, 2)</f>
        <v>Australia</v>
      </c>
      <c r="G237" s="19" t="str" cm="1">
        <f t="array" ref="G237">Common_InputFunctions.Utility_DisplayArrayInTable(Scope3_SourceData.Scope3_SoilAmendments_Data(), Table_SourceData_Scope3_SoilAmeliorants[[#Headers],[Category]], 0, 2)</f>
        <v>kg</v>
      </c>
      <c r="H237" s="19" cm="1">
        <f t="array" ref="H237">Common_InputFunctions.Utility_DisplayArrayInTable(Scope3_SourceData.Scope3_SoilAmendments_Data(), Table_SourceData_Scope3_SoilAmeliorants[[#Headers],[Category]], 0, 2)</f>
        <v>4.8500000000000001E-2</v>
      </c>
      <c r="I237" s="19" t="str" cm="1">
        <f t="array" ref="I237">Common_InputFunctions.Utility_DisplayArrayInTable(Scope3_SourceData.Scope3_SoilAmendments_Data(), Table_SourceData_Scope3_SoilAmeliorants[[#Headers],[Category]], 0, 2)</f>
        <v>at market</v>
      </c>
      <c r="J237" s="19" t="s">
        <v>1166</v>
      </c>
    </row>
    <row r="240" spans="4:10" ht="20.100000000000001" customHeight="1" x14ac:dyDescent="0.2">
      <c r="D240" s="2" t="s">
        <v>1182</v>
      </c>
    </row>
    <row r="241" spans="1:18" ht="20.100000000000001" customHeight="1" x14ac:dyDescent="0.2">
      <c r="D241" s="19" t="s">
        <v>1159</v>
      </c>
      <c r="E241" s="19" t="s">
        <v>132</v>
      </c>
      <c r="F241" s="19" t="s">
        <v>1160</v>
      </c>
      <c r="G241" s="19" t="s">
        <v>1161</v>
      </c>
      <c r="H241" s="19" t="s">
        <v>1162</v>
      </c>
      <c r="I241" s="19" t="s">
        <v>1163</v>
      </c>
      <c r="J241" s="19" t="s">
        <v>560</v>
      </c>
      <c r="L241" s="19" t="s">
        <v>132</v>
      </c>
      <c r="M241" s="19" t="s">
        <v>1164</v>
      </c>
      <c r="N241" s="1" t="str">
        <f>"Table_ProductRegions_" &amp; SUBSTITUTE(SUBSTITUTE(SUBSTITUTE(SUBSTITUTE(L242, " ", ""), ",", ""), "(", ""), ")", "")</f>
        <v>Table_ProductRegions_Sardineswhole</v>
      </c>
      <c r="R241" s="1"/>
    </row>
    <row r="242" spans="1:18" ht="20.100000000000001" customHeight="1" x14ac:dyDescent="0.2">
      <c r="D242" s="19" t="str" cm="1">
        <f t="array" ref="D242">Common_InputFunctions.Utility_DisplayArrayInTable(Scope3_SourceData.Scope3_Feed_Data(), Table_SourceData_Scope3_FishFeedAndBait[[#Headers],[Category]], 0, 2)</f>
        <v>Aquaculture feed</v>
      </c>
      <c r="E242" s="19" t="str" cm="1">
        <f t="array" ref="E242">Common_InputFunctions.Utility_DisplayArrayInTable(Scope3_SourceData.Scope3_Feed_Data(), Table_SourceData_Scope3_FishFeedAndBait[[#Headers],[Category]], 0, 2)</f>
        <v>Sardines (whole)</v>
      </c>
      <c r="F242" s="19" t="str" cm="1">
        <f t="array" ref="F242">Common_InputFunctions.Utility_DisplayArrayInTable(Scope3_SourceData.Scope3_Feed_Data(), Table_SourceData_Scope3_FishFeedAndBait[[#Headers],[Category]], 0, 2)</f>
        <v>SA</v>
      </c>
      <c r="G242" s="19" t="str" cm="1">
        <f t="array" ref="G242">Common_InputFunctions.Utility_DisplayArrayInTable(Scope3_SourceData.Scope3_Feed_Data(), Table_SourceData_Scope3_FishFeedAndBait[[#Headers],[Category]], 0, 2)</f>
        <v>kg</v>
      </c>
      <c r="H242" s="19" cm="1">
        <f t="array" ref="H242">Common_InputFunctions.Utility_DisplayArrayInTable(Scope3_SourceData.Scope3_Feed_Data(), Table_SourceData_Scope3_FishFeedAndBait[[#Headers],[Category]], 0, 2)</f>
        <v>0.376</v>
      </c>
      <c r="I242" s="19" t="str" cm="1">
        <f t="array" ref="I242">Common_InputFunctions.Utility_DisplayArrayInTable(Scope3_SourceData.Scope3_Feed_Data(), Table_SourceData_Scope3_FishFeedAndBait[[#Headers],[Category]], 0, 2)</f>
        <v>at market</v>
      </c>
      <c r="J242" s="19" t="s">
        <v>1166</v>
      </c>
      <c r="L242" s="19" t="str">
        <f>Table_SourceData_Scope3_FishFeedAndBait[[#This Row],[Product]]</f>
        <v>Sardines (whole)</v>
      </c>
      <c r="M242" s="19" t="str">
        <f>Table_SourceData_Scope3_FishFeedAndBait[[#This Row],[Region of origin]]</f>
        <v>SA</v>
      </c>
      <c r="R242" s="1"/>
    </row>
    <row r="243" spans="1:18" ht="20.100000000000001" customHeight="1" x14ac:dyDescent="0.2">
      <c r="D243" s="19" t="str" cm="1">
        <f t="array" ref="D243">Common_InputFunctions.Utility_DisplayArrayInTable(Scope3_SourceData.Scope3_FishFeedAndBait_Data(), Table_SourceData_Scope3_FishFeedAndBait[[#Headers],[Category]], 1, 1)</f>
        <v>Fish feed and bait</v>
      </c>
      <c r="E243" s="19" t="str" cm="1">
        <f t="array" ref="E243">Common_InputFunctions.Utility_DisplayArrayInTable(Scope3_SourceData.Scope3_FishFeedAndBait_Data(), Table_SourceData_Scope3_FishFeedAndBait[[#Headers],[Category]], 1, 1)</f>
        <v>Sardines (whole)</v>
      </c>
      <c r="F243" s="19" t="str" cm="1">
        <f t="array" ref="F243">Common_InputFunctions.Utility_DisplayArrayInTable(Scope3_SourceData.Scope3_FishFeedAndBait_Data(), Table_SourceData_Scope3_FishFeedAndBait[[#Headers],[Category]], 1, 1)</f>
        <v>Australia</v>
      </c>
      <c r="G243" s="19" t="str" cm="1">
        <f t="array" ref="G243">Common_InputFunctions.Utility_DisplayArrayInTable(Scope3_SourceData.Scope3_FishFeedAndBait_Data(), Table_SourceData_Scope3_FishFeedAndBait[[#Headers],[Category]], 1, 1)</f>
        <v>kg</v>
      </c>
      <c r="H243" s="19" cm="1">
        <f t="array" ref="H243">Common_InputFunctions.Utility_DisplayArrayInTable(Scope3_SourceData.Scope3_FishFeedAndBait_Data(), Table_SourceData_Scope3_FishFeedAndBait[[#Headers],[Category]], 1, 1)</f>
        <v>0.3</v>
      </c>
      <c r="I243" s="19" t="str" cm="1">
        <f t="array" ref="I243">Common_InputFunctions.Utility_DisplayArrayInTable(Scope3_SourceData.Scope3_FishFeedAndBait_Data(), Table_SourceData_Scope3_FishFeedAndBait[[#Headers],[Category]], 1, 1)</f>
        <v>Not specified</v>
      </c>
      <c r="J243" s="19" t="s">
        <v>1183</v>
      </c>
      <c r="L243" s="1" t="str">
        <f>Table_SourceData_Scope3_FishFeedAndBait[[#This Row],[Product]]</f>
        <v>Sardines (whole)</v>
      </c>
      <c r="M243" s="1" t="str">
        <f>Table_SourceData_Scope3_FishFeedAndBait[[#This Row],[Region of origin]]</f>
        <v>Australia</v>
      </c>
      <c r="R243" s="1"/>
    </row>
    <row r="244" spans="1:18" ht="20.100000000000001" customHeight="1" x14ac:dyDescent="0.2">
      <c r="D244" s="19" t="str" cm="1">
        <f t="array" ref="D244">Common_InputFunctions.Utility_DisplayArrayInTable(Scope3_SourceData.Scope3_FishFeedAndBait_Data(), Table_SourceData_Scope3_FishFeedAndBait[[#Headers],[Category]], 1, 1)</f>
        <v>Fish feed and bait</v>
      </c>
      <c r="E244" s="19" t="str" cm="1">
        <f t="array" ref="E244">Common_InputFunctions.Utility_DisplayArrayInTable(Scope3_SourceData.Scope3_FishFeedAndBait_Data(), Table_SourceData_Scope3_FishFeedAndBait[[#Headers],[Category]], 1, 1)</f>
        <v>Low Animal Protein Formulated Feed</v>
      </c>
      <c r="F244" s="19" t="str" cm="1">
        <f t="array" ref="F244">Common_InputFunctions.Utility_DisplayArrayInTable(Scope3_SourceData.Scope3_FishFeedAndBait_Data(), Table_SourceData_Scope3_FishFeedAndBait[[#Headers],[Category]], 1, 1)</f>
        <v>Australia</v>
      </c>
      <c r="G244" s="19" t="str" cm="1">
        <f t="array" ref="G244">Common_InputFunctions.Utility_DisplayArrayInTable(Scope3_SourceData.Scope3_FishFeedAndBait_Data(), Table_SourceData_Scope3_FishFeedAndBait[[#Headers],[Category]], 1, 1)</f>
        <v>kg</v>
      </c>
      <c r="H244" s="19" cm="1">
        <f t="array" ref="H244">Common_InputFunctions.Utility_DisplayArrayInTable(Scope3_SourceData.Scope3_FishFeedAndBait_Data(), Table_SourceData_Scope3_FishFeedAndBait[[#Headers],[Category]], 1, 1)</f>
        <v>2.2000000000000002</v>
      </c>
      <c r="I244" s="19" t="str" cm="1">
        <f t="array" ref="I244">Common_InputFunctions.Utility_DisplayArrayInTable(Scope3_SourceData.Scope3_FishFeedAndBait_Data(), Table_SourceData_Scope3_FishFeedAndBait[[#Headers],[Category]], 1, 1)</f>
        <v>Not specified</v>
      </c>
      <c r="J244" s="19" t="s">
        <v>1183</v>
      </c>
      <c r="R244" s="1"/>
    </row>
    <row r="245" spans="1:18" ht="20.100000000000001" customHeight="1" x14ac:dyDescent="0.2">
      <c r="D245" s="19" t="str" cm="1">
        <f t="array" ref="D245">Common_InputFunctions.Utility_DisplayArrayInTable(Scope3_SourceData.Scope3_FishFeedAndBait_Data(), Table_SourceData_Scope3_FishFeedAndBait[[#Headers],[Category]], 1, 1)</f>
        <v>Fish feed and bait</v>
      </c>
      <c r="E245" s="19" t="str" cm="1">
        <f t="array" ref="E245">Common_InputFunctions.Utility_DisplayArrayInTable(Scope3_SourceData.Scope3_FishFeedAndBait_Data(), Table_SourceData_Scope3_FishFeedAndBait[[#Headers],[Category]], 1, 1)</f>
        <v>Squid</v>
      </c>
      <c r="F245" s="19" t="str" cm="1">
        <f t="array" ref="F245">Common_InputFunctions.Utility_DisplayArrayInTable(Scope3_SourceData.Scope3_FishFeedAndBait_Data(), Table_SourceData_Scope3_FishFeedAndBait[[#Headers],[Category]], 1, 1)</f>
        <v>Australia</v>
      </c>
      <c r="G245" s="19" t="str" cm="1">
        <f t="array" ref="G245">Common_InputFunctions.Utility_DisplayArrayInTable(Scope3_SourceData.Scope3_FishFeedAndBait_Data(), Table_SourceData_Scope3_FishFeedAndBait[[#Headers],[Category]], 1, 1)</f>
        <v>kg</v>
      </c>
      <c r="H245" s="19" cm="1">
        <f t="array" ref="H245">Common_InputFunctions.Utility_DisplayArrayInTable(Scope3_SourceData.Scope3_FishFeedAndBait_Data(), Table_SourceData_Scope3_FishFeedAndBait[[#Headers],[Category]], 1, 1)</f>
        <v>0.3</v>
      </c>
      <c r="I245" s="19" t="str" cm="1">
        <f t="array" ref="I245">Common_InputFunctions.Utility_DisplayArrayInTable(Scope3_SourceData.Scope3_FishFeedAndBait_Data(), Table_SourceData_Scope3_FishFeedAndBait[[#Headers],[Category]], 1, 1)</f>
        <v>Not specified</v>
      </c>
      <c r="J245" s="19" t="s">
        <v>1183</v>
      </c>
      <c r="R245" s="1"/>
    </row>
    <row r="246" spans="1:18" ht="20.100000000000001" customHeight="1" x14ac:dyDescent="0.2">
      <c r="A246" s="79" t="str">
        <f>HYPERLINK("#A1", "▲ Back to top")</f>
        <v>▲ Back to top</v>
      </c>
      <c r="D246" s="19" t="str" cm="1">
        <f t="array" ref="D246">Common_InputFunctions.Utility_DisplayArrayInTable(Scope3_SourceData.Scope3_FishFeedAndBait_Data(), Table_SourceData_Scope3_FishFeedAndBait[[#Headers],[Category]], 1, 1)</f>
        <v>Fish feed and bait</v>
      </c>
      <c r="E246" s="19" t="str" cm="1">
        <f t="array" ref="E246">Common_InputFunctions.Utility_DisplayArrayInTable(Scope3_SourceData.Scope3_FishFeedAndBait_Data(), Table_SourceData_Scope3_FishFeedAndBait[[#Headers],[Category]], 1, 1)</f>
        <v>Whole fish</v>
      </c>
      <c r="F246" s="19" t="str" cm="1">
        <f t="array" ref="F246">Common_InputFunctions.Utility_DisplayArrayInTable(Scope3_SourceData.Scope3_FishFeedAndBait_Data(), Table_SourceData_Scope3_FishFeedAndBait[[#Headers],[Category]], 1, 1)</f>
        <v>Australia</v>
      </c>
      <c r="G246" s="19" t="str" cm="1">
        <f t="array" ref="G246">Common_InputFunctions.Utility_DisplayArrayInTable(Scope3_SourceData.Scope3_FishFeedAndBait_Data(), Table_SourceData_Scope3_FishFeedAndBait[[#Headers],[Category]], 1, 1)</f>
        <v>kg</v>
      </c>
      <c r="H246" s="19" cm="1">
        <f t="array" ref="H246">Common_InputFunctions.Utility_DisplayArrayInTable(Scope3_SourceData.Scope3_FishFeedAndBait_Data(), Table_SourceData_Scope3_FishFeedAndBait[[#Headers],[Category]], 1, 1)</f>
        <v>0.3</v>
      </c>
      <c r="I246" s="19" t="str" cm="1">
        <f t="array" ref="I246">Common_InputFunctions.Utility_DisplayArrayInTable(Scope3_SourceData.Scope3_FishFeedAndBait_Data(), Table_SourceData_Scope3_FishFeedAndBait[[#Headers],[Category]], 1, 1)</f>
        <v>Not specified</v>
      </c>
      <c r="J246" s="19" t="s">
        <v>1183</v>
      </c>
      <c r="R246" s="1"/>
    </row>
    <row r="247" spans="1:18" ht="20.100000000000001" customHeight="1" x14ac:dyDescent="0.2">
      <c r="D247" s="19" t="str" cm="1">
        <f t="array" ref="D247">Common_InputFunctions.Utility_DisplayArrayInTable(Scope3_SourceData.Scope3_FishFeedAndBait_Data(), Table_SourceData_Scope3_FishFeedAndBait[[#Headers],[Category]], 1, 1)</f>
        <v>Fish feed and bait</v>
      </c>
      <c r="E247" s="19" t="str" cm="1">
        <f t="array" ref="E247">Common_InputFunctions.Utility_DisplayArrayInTable(Scope3_SourceData.Scope3_FishFeedAndBait_Data(), Table_SourceData_Scope3_FishFeedAndBait[[#Headers],[Category]], 1, 1)</f>
        <v>Custom Bait</v>
      </c>
      <c r="F247" s="19" t="str" cm="1">
        <f t="array" ref="F247">Common_InputFunctions.Utility_DisplayArrayInTable(Scope3_SourceData.Scope3_FishFeedAndBait_Data(), Table_SourceData_Scope3_FishFeedAndBait[[#Headers],[Category]], 1, 1)</f>
        <v>Australia</v>
      </c>
      <c r="G247" s="19" t="str" cm="1">
        <f t="array" ref="G247">Common_InputFunctions.Utility_DisplayArrayInTable(Scope3_SourceData.Scope3_FishFeedAndBait_Data(), Table_SourceData_Scope3_FishFeedAndBait[[#Headers],[Category]], 1, 1)</f>
        <v>kg</v>
      </c>
      <c r="H247" s="19" cm="1">
        <f t="array" ref="H247">Common_InputFunctions.Utility_DisplayArrayInTable(Scope3_SourceData.Scope3_FishFeedAndBait_Data(), Table_SourceData_Scope3_FishFeedAndBait[[#Headers],[Category]], 1, 1)</f>
        <v>0.08</v>
      </c>
      <c r="I247" s="19" t="str" cm="1">
        <f t="array" ref="I247">Common_InputFunctions.Utility_DisplayArrayInTable(Scope3_SourceData.Scope3_FishFeedAndBait_Data(), Table_SourceData_Scope3_FishFeedAndBait[[#Headers],[Category]], 1, 1)</f>
        <v>Not specified</v>
      </c>
      <c r="J247" s="19" t="s">
        <v>1183</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79140-45C7-45DA-A9D3-9E6863DDEA4D}">
  <sheetPr>
    <tabColor theme="2" tint="-0.499984740745262"/>
  </sheetPr>
  <dimension ref="A1:AI68"/>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0" customFormat="1" ht="30" customHeight="1" x14ac:dyDescent="0.35">
      <c r="A1" s="10" t="e" vm="1">
        <v>#VALUE!</v>
      </c>
      <c r="C1" s="20" t="s">
        <v>921</v>
      </c>
      <c r="AG1"/>
      <c r="AH1"/>
      <c r="AI1"/>
    </row>
    <row r="2" spans="1:35" s="3" customFormat="1" ht="20.100000000000001" customHeight="1" x14ac:dyDescent="0.2">
      <c r="A2"/>
      <c r="AG2"/>
      <c r="AH2"/>
      <c r="AI2"/>
    </row>
    <row r="3" spans="1:3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tr" cm="1">
        <f t="array" ref="D5">WasteSolid_SourceData.Waste_EmissionFactorsForWasteTreatment_Title()</f>
        <v>Emission factors for wastes disposed of at different treatment facilities</v>
      </c>
    </row>
    <row r="6" spans="1:35" ht="20.100000000000001" customHeight="1" x14ac:dyDescent="0.2">
      <c r="D6" s="17" t="str" cm="1">
        <f t="array" ref="D6">WasteSolid_SourceData.Waste_EmissionFactorsForWasteTreatment_Source()</f>
        <v>VEERG 2026: Table A.4.1.1</v>
      </c>
    </row>
    <row r="7" spans="1:35" ht="20.100000000000001" customHeight="1" x14ac:dyDescent="0.2">
      <c r="D7" s="25" t="str" cm="1">
        <f t="array" ref="D7:D13">WasteSolid_SourceData.Waste_EmissionFactorsForWasteTreatment_Variation()</f>
        <v>VARIATION ON SOURCE:</v>
      </c>
    </row>
    <row r="8" spans="1:35" ht="20.100000000000001" customHeight="1" x14ac:dyDescent="0.2">
      <c r="A8" s="7" t="s">
        <v>0</v>
      </c>
      <c r="D8" s="25" t="str">
        <v>Fixed typo 'paper and carboard' to 'paper and cardboard'</v>
      </c>
    </row>
    <row r="9" spans="1:35" ht="20.100000000000001" customHeight="1" x14ac:dyDescent="0.2">
      <c r="A9" s="5" t="str">
        <f>HYPERLINK("#'Input - Enterprise'!A1", "Enterprise")</f>
        <v>Enterprise</v>
      </c>
      <c r="D9" s="25" t="str">
        <v>Fixed typo 'prunnings' to 'prunings'</v>
      </c>
    </row>
    <row r="10" spans="1:35" ht="20.100000000000001" customHeight="1" x14ac:dyDescent="0.2">
      <c r="A10" s="5" t="str">
        <f>HYPERLINK("#'Input - Site'!A1", "Site")</f>
        <v>Site</v>
      </c>
      <c r="D10" s="25" t="str">
        <v>Added EF source column with specific references</v>
      </c>
    </row>
    <row r="11" spans="1:35" ht="20.100000000000001" customHeight="1" x14ac:dyDescent="0.2">
      <c r="A11" s="5" t="str">
        <f>HYPERLINK("#'Input - Feedlot'!A1", "Feedlot")</f>
        <v>Feedlot</v>
      </c>
      <c r="D11" s="25" t="str">
        <v>Added sub-categories for 'Incineration: Food waste, green waste, wood, sludge' in order to use volume to mass conversion factor values</v>
      </c>
    </row>
    <row r="12" spans="1:35" ht="20.100000000000001" customHeight="1" x14ac:dyDescent="0.2">
      <c r="A12" s="5" t="str">
        <f>HYPERLINK("#'Input - Livestock sales'!A1", "Livestock sales")</f>
        <v>Livestock sales</v>
      </c>
      <c r="D12" s="25" t="str">
        <v>Added sub-categories for 'Composting: All organic waste' in order to use volume to mass conversion factor values</v>
      </c>
    </row>
    <row r="13" spans="1:35" ht="20.100000000000001" customHeight="1" x14ac:dyDescent="0.2">
      <c r="A13" s="5" t="str">
        <f>HYPERLINK("#'Input - Beef cattle purchases'!A1", "Beef cattle purchases")</f>
        <v>Beef cattle purchases</v>
      </c>
      <c r="D13" s="25" t="str">
        <v>Added sub-categories for 'Anaerobic digestion: All organic waste' in order to use volume to mass conversion factor values</v>
      </c>
    </row>
    <row r="14" spans="1:35" ht="20.100000000000001" customHeight="1" x14ac:dyDescent="0.2">
      <c r="A14" s="5" t="str">
        <f>HYPERLINK("#'Input - Fuel'!A1", "Fuel")</f>
        <v>Fuel</v>
      </c>
      <c r="D14" s="1" t="str" cm="1">
        <f t="array" ref="D14">WasteSolid_SourceData.Waste_EmissionFactorsForWasteTreatment_Variable()</f>
        <v>EFwt</v>
      </c>
    </row>
    <row r="15" spans="1:35" ht="20.100000000000001" customHeight="1" x14ac:dyDescent="0.2">
      <c r="A15" s="5" t="str">
        <f>HYPERLINK("#'Input - Electricity'!A1", "Electricity")</f>
        <v>Electricity</v>
      </c>
      <c r="D15" s="9" t="str" cm="1">
        <f t="array" ref="D15">WasteSolid_SourceData.Waste_EmissionFactorsForWasteTreatment_Unit()</f>
        <v>t CO2e / t</v>
      </c>
      <c r="I15" s="1" t="s">
        <v>922</v>
      </c>
      <c r="K15" s="1" t="s">
        <v>923</v>
      </c>
      <c r="M15" s="1" t="s">
        <v>924</v>
      </c>
      <c r="O15" s="1" t="s">
        <v>925</v>
      </c>
    </row>
    <row r="16" spans="1:35" ht="20.100000000000001" customHeight="1" x14ac:dyDescent="0.2">
      <c r="A16" s="5" t="str">
        <f>HYPERLINK("#'Input - Common farm inputs'!A1", "Common farm inputs")</f>
        <v>Common farm inputs</v>
      </c>
      <c r="D16" s="19" t="s">
        <v>926</v>
      </c>
      <c r="E16" s="19" t="s">
        <v>927</v>
      </c>
      <c r="F16" s="19" t="s">
        <v>928</v>
      </c>
      <c r="G16" s="19" t="s">
        <v>929</v>
      </c>
      <c r="I16" s="19" t="s">
        <v>927</v>
      </c>
      <c r="K16" s="135" t="s">
        <v>927</v>
      </c>
      <c r="M16" s="135" t="s">
        <v>927</v>
      </c>
      <c r="O16" s="135" t="s">
        <v>927</v>
      </c>
    </row>
    <row r="17" spans="1:15" ht="20.100000000000001" customHeight="1" x14ac:dyDescent="0.2">
      <c r="A17" s="5" t="str">
        <f>HYPERLINK("#'Input - Livestock farm Inputs'!A1", "Livestock farm Inputs")</f>
        <v>Livestock farm Inputs</v>
      </c>
      <c r="D17" s="19" t="str" cm="1">
        <f t="array" ref="D17">Common_InputFunctions.Utility_DisplayArrayInTable(WasteSolid_SourceData.Waste_EmissionFactorsForWasteTreatment_Data(), Table_SourceData_WasteSolid_WasteTreatmentEFs[[#Headers],[Treatment type t]], 0)</f>
        <v>Landfill</v>
      </c>
      <c r="E17" s="19"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9" cm="1">
        <f t="array" ref="F17">Common_InputFunctions.Utility_DisplayArrayInTable(WasteSolid_SourceData.Waste_EmissionFactorsForWasteTreatment_Data(), Table_SourceData_WasteSolid_WasteTreatmentEFs[[#Headers],[Treatment type t]], 0)</f>
        <v>2.1</v>
      </c>
      <c r="G17" s="19" t="str" cm="1">
        <f t="array" ref="G17">Common_InputFunctions.Utility_DisplayArrayInTable(WasteSolid_SourceData.Waste_EmissionFactorsForWasteTreatment_Data(), Table_SourceData_WasteSolid_WasteTreatmentEFs[[#Headers],[Treatment type t]], 0)</f>
        <v>NGAF 2025 table 15</v>
      </c>
      <c r="I17" s="19"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Freight'!A1", "Freight")</f>
        <v>Freight</v>
      </c>
      <c r="D18" s="1" t="str" cm="1">
        <f t="array" ref="D18">Common_InputFunctions.Utility_DisplayArrayInTable(WasteSolid_SourceData.Waste_EmissionFactorsForWasteTreatment_Data(), Table_SourceData_WasteSolid_WasteTreatmentEFs[[#Headers],[Treatment type t]], 0)</f>
        <v>Landfill</v>
      </c>
      <c r="E18" s="19" t="str" cm="1">
        <f t="array" ref="E18">Common_InputFunctions.Utility_DisplayArrayInTable(WasteSolid_SourceData.Waste_EmissionFactorsForWasteTreatment_Data(), Table_SourceData_WasteSolid_WasteTreatmentEFs[[#Headers],[Treatment type t]], 0)</f>
        <v>Paper and cardboard</v>
      </c>
      <c r="F18" s="19" cm="1">
        <f t="array" ref="F18">Common_InputFunctions.Utility_DisplayArrayInTable(WasteSolid_SourceData.Waste_EmissionFactorsForWasteTreatment_Data(), Table_SourceData_WasteSolid_WasteTreatmentEFs[[#Headers],[Treatment type t]], 0)</f>
        <v>3.3</v>
      </c>
      <c r="G18" s="19" t="str" cm="1">
        <f t="array" ref="G18">Common_InputFunctions.Utility_DisplayArrayInTable(WasteSolid_SourceData.Waste_EmissionFactorsForWasteTreatment_Data(), Table_SourceData_WasteSolid_WasteTreatmentEFs[[#Headers],[Treatment type t]], 0)</f>
        <v>NGAF 2025 table 15</v>
      </c>
      <c r="I18" s="19"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Solid waste'!A1", "Solid waste")</f>
        <v>Solid waste</v>
      </c>
      <c r="D19" s="1" t="str" cm="1">
        <f t="array" ref="D19">Common_InputFunctions.Utility_DisplayArrayInTable(WasteSolid_SourceData.Waste_EmissionFactorsForWasteTreatment_Data(), Table_SourceData_WasteSolid_WasteTreatmentEFs[[#Headers],[Treatment type t]], 0)</f>
        <v>Landfill</v>
      </c>
      <c r="E19" s="19" t="str" cm="1">
        <f t="array" ref="E19">Common_InputFunctions.Utility_DisplayArrayInTable(WasteSolid_SourceData.Waste_EmissionFactorsForWasteTreatment_Data(), Table_SourceData_WasteSolid_WasteTreatmentEFs[[#Headers],[Treatment type t]], 0)</f>
        <v>Green waste (including crop residues or prunings)</v>
      </c>
      <c r="F19" s="19" cm="1">
        <f t="array" ref="F19">Common_InputFunctions.Utility_DisplayArrayInTable(WasteSolid_SourceData.Waste_EmissionFactorsForWasteTreatment_Data(), Table_SourceData_WasteSolid_WasteTreatmentEFs[[#Headers],[Treatment type t]], 0)</f>
        <v>1.6</v>
      </c>
      <c r="G19" s="19" t="str" cm="1">
        <f t="array" ref="G19">Common_InputFunctions.Utility_DisplayArrayInTable(WasteSolid_SourceData.Waste_EmissionFactorsForWasteTreatment_Data(), Table_SourceData_WasteSolid_WasteTreatmentEFs[[#Headers],[Treatment type t]], 0)</f>
        <v>NGAF 2025 table 15</v>
      </c>
      <c r="I19" s="19"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Manure sent off-site'!A1", "Manure sent off-site")</f>
        <v>Manure sent off-site</v>
      </c>
      <c r="D20" s="1" t="str" cm="1">
        <f t="array" ref="D20">Common_InputFunctions.Utility_DisplayArrayInTable(WasteSolid_SourceData.Waste_EmissionFactorsForWasteTreatment_Data(), Table_SourceData_WasteSolid_WasteTreatmentEFs[[#Headers],[Treatment type t]], 0)</f>
        <v>Landfill</v>
      </c>
      <c r="E20" s="19" t="str" cm="1">
        <f t="array" ref="E20">Common_InputFunctions.Utility_DisplayArrayInTable(WasteSolid_SourceData.Waste_EmissionFactorsForWasteTreatment_Data(), Table_SourceData_WasteSolid_WasteTreatmentEFs[[#Headers],[Treatment type t]], 0)</f>
        <v>Wood</v>
      </c>
      <c r="F20" s="19" cm="1">
        <f t="array" ref="F20">Common_InputFunctions.Utility_DisplayArrayInTable(WasteSolid_SourceData.Waste_EmissionFactorsForWasteTreatment_Data(), Table_SourceData_WasteSolid_WasteTreatmentEFs[[#Headers],[Treatment type t]], 0)</f>
        <v>0.7</v>
      </c>
      <c r="G20" s="19" t="str" cm="1">
        <f t="array" ref="G20">Common_InputFunctions.Utility_DisplayArrayInTable(WasteSolid_SourceData.Waste_EmissionFactorsForWasteTreatment_Data(), Table_SourceData_WasteSolid_WasteTreatmentEFs[[#Headers],[Treatment type t]], 0)</f>
        <v>NGAF 2025 table 15</v>
      </c>
      <c r="I20" s="19" t="str">
        <f>Table_SourceData_WasteSolid_WasteTreatmentEFs[[#This Row],[Waste type w]]</f>
        <v>Wood</v>
      </c>
      <c r="K20" s="1" t="str">
        <f t="shared" si="0"/>
        <v>Sludge</v>
      </c>
      <c r="M20" s="1" t="str">
        <f>E43</f>
        <v>Sludge</v>
      </c>
      <c r="O20" s="1" t="str">
        <f>E49</f>
        <v>Sludge</v>
      </c>
    </row>
    <row r="21" spans="1:15" ht="20.100000000000001" customHeight="1" x14ac:dyDescent="0.2">
      <c r="A21" s="5" t="str">
        <f>HYPERLINK("#'Input - Data quality'!A1", "Data quality")</f>
        <v>Data quality</v>
      </c>
      <c r="D21" s="1" t="str" cm="1">
        <f t="array" ref="D21">Common_InputFunctions.Utility_DisplayArrayInTable(WasteSolid_SourceData.Waste_EmissionFactorsForWasteTreatment_Data(), Table_SourceData_WasteSolid_WasteTreatmentEFs[[#Headers],[Treatment type t]], 0)</f>
        <v>Landfill</v>
      </c>
      <c r="E21" s="19" t="str" cm="1">
        <f t="array" ref="E21">Common_InputFunctions.Utility_DisplayArrayInTable(WasteSolid_SourceData.Waste_EmissionFactorsForWasteTreatment_Data(), Table_SourceData_WasteSolid_WasteTreatmentEFs[[#Headers],[Treatment type t]], 0)</f>
        <v>Textiles</v>
      </c>
      <c r="F21" s="19" cm="1">
        <f t="array" ref="F21">Common_InputFunctions.Utility_DisplayArrayInTable(WasteSolid_SourceData.Waste_EmissionFactorsForWasteTreatment_Data(), Table_SourceData_WasteSolid_WasteTreatmentEFs[[#Headers],[Treatment type t]], 0)</f>
        <v>2</v>
      </c>
      <c r="G21" s="19" t="str" cm="1">
        <f t="array" ref="G21">Common_InputFunctions.Utility_DisplayArrayInTable(WasteSolid_SourceData.Waste_EmissionFactorsForWasteTreatment_Data(), Table_SourceData_WasteSolid_WasteTreatmentEFs[[#Headers],[Treatment type t]], 0)</f>
        <v>NGAF 2025 table 15</v>
      </c>
      <c r="I21" s="19"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A22" s="5" t="str">
        <f>HYPERLINK("#'Input - Fert Prod System'!A1", "Fert Prod System")</f>
        <v>Fert Prod System</v>
      </c>
      <c r="D22" s="1" t="str" cm="1">
        <f t="array" ref="D22">Common_InputFunctions.Utility_DisplayArrayInTable(WasteSolid_SourceData.Waste_EmissionFactorsForWasteTreatment_Data(), Table_SourceData_WasteSolid_WasteTreatmentEFs[[#Headers],[Treatment type t]], 0)</f>
        <v>Landfill</v>
      </c>
      <c r="E22" s="19" t="str" cm="1">
        <f t="array" ref="E22">Common_InputFunctions.Utility_DisplayArrayInTable(WasteSolid_SourceData.Waste_EmissionFactorsForWasteTreatment_Data(), Table_SourceData_WasteSolid_WasteTreatmentEFs[[#Headers],[Treatment type t]], 0)</f>
        <v>Sludge</v>
      </c>
      <c r="F22" s="19" cm="1">
        <f t="array" ref="F22">Common_InputFunctions.Utility_DisplayArrayInTable(WasteSolid_SourceData.Waste_EmissionFactorsForWasteTreatment_Data(), Table_SourceData_WasteSolid_WasteTreatmentEFs[[#Headers],[Treatment type t]], 0)</f>
        <v>0.4</v>
      </c>
      <c r="G22" s="19" t="str" cm="1">
        <f t="array" ref="G22">Common_InputFunctions.Utility_DisplayArrayInTable(WasteSolid_SourceData.Waste_EmissionFactorsForWasteTreatment_Data(), Table_SourceData_WasteSolid_WasteTreatmentEFs[[#Headers],[Treatment type t]], 0)</f>
        <v>NGAF 2025 table 15</v>
      </c>
      <c r="I22" s="19" t="str">
        <f>Table_SourceData_WasteSolid_WasteTreatmentEFs[[#This Row],[Waste type w]]</f>
        <v>Sludge</v>
      </c>
      <c r="K22" s="1" t="str">
        <f t="shared" si="0"/>
        <v>Textiles</v>
      </c>
    </row>
    <row r="23" spans="1:15" ht="20.100000000000001" customHeight="1" x14ac:dyDescent="0.2">
      <c r="A23" s="5" t="str">
        <f>HYPERLINK("#'Input - Fertiliser'!A1", "Fertiliser")</f>
        <v>Fertiliser</v>
      </c>
      <c r="D23" s="1" t="str" cm="1">
        <f t="array" ref="D23">Common_InputFunctions.Utility_DisplayArrayInTable(WasteSolid_SourceData.Waste_EmissionFactorsForWasteTreatment_Data(), Table_SourceData_WasteSolid_WasteTreatmentEFs[[#Headers],[Treatment type t]], 0)</f>
        <v>Landfill</v>
      </c>
      <c r="E23" s="19" t="str" cm="1">
        <f t="array" ref="E23">Common_InputFunctions.Utility_DisplayArrayInTable(WasteSolid_SourceData.Waste_EmissionFactorsForWasteTreatment_Data(), Table_SourceData_WasteSolid_WasteTreatmentEFs[[#Headers],[Treatment type t]], 0)</f>
        <v>Rubber and leather</v>
      </c>
      <c r="F23" s="19" cm="1">
        <f t="array" ref="F23">Common_InputFunctions.Utility_DisplayArrayInTable(WasteSolid_SourceData.Waste_EmissionFactorsForWasteTreatment_Data(), Table_SourceData_WasteSolid_WasteTreatmentEFs[[#Headers],[Treatment type t]], 0)</f>
        <v>3.3</v>
      </c>
      <c r="G23" s="19" t="str" cm="1">
        <f t="array" ref="G23">Common_InputFunctions.Utility_DisplayArrayInTable(WasteSolid_SourceData.Waste_EmissionFactorsForWasteTreatment_Data(), Table_SourceData_WasteSolid_WasteTreatmentEFs[[#Headers],[Treatment type t]], 0)</f>
        <v>NGAF 2025 table 15</v>
      </c>
      <c r="I23" s="19" t="str">
        <f>Table_SourceData_WasteSolid_WasteTreatmentEFs[[#This Row],[Waste type w]]</f>
        <v>Rubber and leather</v>
      </c>
      <c r="K23" s="1" t="str">
        <f t="shared" si="0"/>
        <v>Rubber and leather</v>
      </c>
    </row>
    <row r="24" spans="1:15" ht="20.100000000000001" customHeight="1" x14ac:dyDescent="0.2">
      <c r="D24" s="1" t="str" cm="1">
        <f t="array" ref="D24">Common_InputFunctions.Utility_DisplayArrayInTable(WasteSolid_SourceData.Waste_EmissionFactorsForWasteTreatment_Data(), Table_SourceData_WasteSolid_WasteTreatmentEFs[[#Headers],[Treatment type t]], 0)</f>
        <v>Landfill</v>
      </c>
      <c r="E24" s="19" t="str" cm="1">
        <f t="array" ref="E24">Common_InputFunctions.Utility_DisplayArrayInTable(WasteSolid_SourceData.Waste_EmissionFactorsForWasteTreatment_Data(), Table_SourceData_WasteSolid_WasteTreatmentEFs[[#Headers],[Treatment type t]], 0)</f>
        <v>Inert waste (including concrete, metal, plastic or glass)</v>
      </c>
      <c r="F24" s="19" cm="1">
        <f t="array" ref="F24">Common_InputFunctions.Utility_DisplayArrayInTable(WasteSolid_SourceData.Waste_EmissionFactorsForWasteTreatment_Data(), Table_SourceData_WasteSolid_WasteTreatmentEFs[[#Headers],[Treatment type t]], 0)</f>
        <v>0</v>
      </c>
      <c r="G24" s="19" t="str" cm="1">
        <f t="array" ref="G24">Common_InputFunctions.Utility_DisplayArrayInTable(WasteSolid_SourceData.Waste_EmissionFactorsForWasteTreatment_Data(), Table_SourceData_WasteSolid_WasteTreatmentEFs[[#Headers],[Treatment type t]], 0)</f>
        <v>NGAF 2025 table 15</v>
      </c>
      <c r="I24" s="19"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D25" s="1" t="str" cm="1">
        <f t="array" ref="D25">Common_InputFunctions.Utility_DisplayArrayInTable(WasteSolid_SourceData.Waste_EmissionFactorsForWasteTreatment_Data(), Table_SourceData_WasteSolid_WasteTreatmentEFs[[#Headers],[Treatment type t]], 0)</f>
        <v>Landfill</v>
      </c>
      <c r="E25" s="19" t="str" cm="1">
        <f t="array" ref="E25">Common_InputFunctions.Utility_DisplayArrayInTable(WasteSolid_SourceData.Waste_EmissionFactorsForWasteTreatment_Data(), Table_SourceData_WasteSolid_WasteTreatmentEFs[[#Headers],[Treatment type t]], 0)</f>
        <v>Municipal solid waste</v>
      </c>
      <c r="F25" s="19" cm="1">
        <f t="array" ref="F25">Common_InputFunctions.Utility_DisplayArrayInTable(WasteSolid_SourceData.Waste_EmissionFactorsForWasteTreatment_Data(), Table_SourceData_WasteSolid_WasteTreatmentEFs[[#Headers],[Treatment type t]], 0)</f>
        <v>1.6</v>
      </c>
      <c r="G25" s="19" t="str" cm="1">
        <f t="array" ref="G25">Common_InputFunctions.Utility_DisplayArrayInTable(WasteSolid_SourceData.Waste_EmissionFactorsForWasteTreatment_Data(), Table_SourceData_WasteSolid_WasteTreatmentEFs[[#Headers],[Treatment type t]], 0)</f>
        <v>NGAF 2025 table 15</v>
      </c>
      <c r="I25" s="19" t="str">
        <f>Table_SourceData_WasteSolid_WasteTreatmentEFs[[#This Row],[Waste type w]]</f>
        <v>Municipal solid waste</v>
      </c>
      <c r="K25" s="1" t="str">
        <f t="shared" si="0"/>
        <v>Municipal solid waste</v>
      </c>
    </row>
    <row r="26" spans="1:15" ht="20.100000000000001" customHeight="1" x14ac:dyDescent="0.2">
      <c r="A26" s="6" t="s">
        <v>2</v>
      </c>
      <c r="D26" s="1" t="str" cm="1">
        <f t="array" ref="D26">Common_InputFunctions.Utility_DisplayArrayInTable(WasteSolid_SourceData.Waste_EmissionFactorsForWasteTreatment_Data(), Table_SourceData_WasteSolid_WasteTreatmentEFs[[#Headers],[Treatment type t]], 0)</f>
        <v>Landfill</v>
      </c>
      <c r="E26" s="19" t="str" cm="1">
        <f t="array" ref="E26">Common_InputFunctions.Utility_DisplayArrayInTable(WasteSolid_SourceData.Waste_EmissionFactorsForWasteTreatment_Data(), Table_SourceData_WasteSolid_WasteTreatmentEFs[[#Headers],[Treatment type t]], 0)</f>
        <v>Commercial and industrial waste</v>
      </c>
      <c r="F26" s="19" cm="1">
        <f t="array" ref="F26">Common_InputFunctions.Utility_DisplayArrayInTable(WasteSolid_SourceData.Waste_EmissionFactorsForWasteTreatment_Data(), Table_SourceData_WasteSolid_WasteTreatmentEFs[[#Headers],[Treatment type t]], 0)</f>
        <v>1.3</v>
      </c>
      <c r="G26" s="19" t="str" cm="1">
        <f t="array" ref="G26">Common_InputFunctions.Utility_DisplayArrayInTable(WasteSolid_SourceData.Waste_EmissionFactorsForWasteTreatment_Data(), Table_SourceData_WasteSolid_WasteTreatmentEFs[[#Headers],[Treatment type t]], 0)</f>
        <v>NGAF 2025 table 15</v>
      </c>
      <c r="I26" s="19" t="str">
        <f>Table_SourceData_WasteSolid_WasteTreatmentEFs[[#This Row],[Waste type w]]</f>
        <v>Commercial and industrial waste</v>
      </c>
      <c r="K26" s="1" t="str">
        <f t="shared" si="0"/>
        <v>Commercial and industrial waste</v>
      </c>
    </row>
    <row r="27" spans="1:15" ht="20.100000000000001" customHeight="1" x14ac:dyDescent="0.2">
      <c r="A27" s="5" t="str">
        <f>HYPERLINK("#'3.1.1.1-2 Enteric Methane'!A1", "3.1.1.1-2 Enteric Methane")</f>
        <v>3.1.1.1-2 Enteric Methane</v>
      </c>
      <c r="D27" s="1" t="str" cm="1">
        <f t="array" ref="D27">Common_InputFunctions.Utility_DisplayArrayInTable(WasteSolid_SourceData.Waste_EmissionFactorsForWasteTreatment_Data(), Table_SourceData_WasteSolid_WasteTreatmentEFs[[#Headers],[Treatment type t]], 0)</f>
        <v>Landfill</v>
      </c>
      <c r="E27" s="19" t="str" cm="1">
        <f t="array" ref="E27">Common_InputFunctions.Utility_DisplayArrayInTable(WasteSolid_SourceData.Waste_EmissionFactorsForWasteTreatment_Data(), Table_SourceData_WasteSolid_WasteTreatmentEFs[[#Headers],[Treatment type t]], 0)</f>
        <v>Construction and demolition waste</v>
      </c>
      <c r="F27" s="19" cm="1">
        <f t="array" ref="F27">Common_InputFunctions.Utility_DisplayArrayInTable(WasteSolid_SourceData.Waste_EmissionFactorsForWasteTreatment_Data(), Table_SourceData_WasteSolid_WasteTreatmentEFs[[#Headers],[Treatment type t]], 0)</f>
        <v>0.2</v>
      </c>
      <c r="G27" s="19" t="str" cm="1">
        <f t="array" ref="G27">Common_InputFunctions.Utility_DisplayArrayInTable(WasteSolid_SourceData.Waste_EmissionFactorsForWasteTreatment_Data(), Table_SourceData_WasteSolid_WasteTreatmentEFs[[#Headers],[Treatment type t]], 0)</f>
        <v>NGAF 2025 table 15</v>
      </c>
      <c r="I27" s="19" t="str">
        <f>Table_SourceData_WasteSolid_WasteTreatmentEFs[[#This Row],[Waste type w]]</f>
        <v>Construction and demolition waste</v>
      </c>
    </row>
    <row r="28" spans="1:15" ht="20.100000000000001" customHeight="1" x14ac:dyDescent="0.2">
      <c r="A28" s="5" t="str">
        <f>HYPERLINK("#'4.1.1.1-2 Methane'!A1", "4.1.1.1-2 Manure Methane")</f>
        <v>4.1.1.1-2 Manure Methane</v>
      </c>
      <c r="D28" s="1" t="str" cm="1">
        <f t="array" ref="D28">Common_InputFunctions.Utility_DisplayArrayInTable(WasteSolid_SourceData.Waste_EmissionFactorsForWasteTreatment_Data(), Table_SourceData_WasteSolid_WasteTreatmentEFs[[#Headers],[Treatment type t]], 0)</f>
        <v>Incineration</v>
      </c>
      <c r="E28" s="19" t="str" cm="1">
        <f t="array" ref="E28">Common_InputFunctions.Utility_DisplayArrayInTable(WasteSolid_SourceData.Waste_EmissionFactorsForWasteTreatment_Data(), Table_SourceData_WasteSolid_WasteTreatmentEFs[[#Headers],[Treatment type t]], 0)</f>
        <v>Food waste, green waste, wood, sludge</v>
      </c>
      <c r="F28" s="19" cm="1">
        <f t="array" ref="F28">Common_InputFunctions.Utility_DisplayArrayInTable(WasteSolid_SourceData.Waste_EmissionFactorsForWasteTreatment_Data(), Table_SourceData_WasteSolid_WasteTreatmentEFs[[#Headers],[Treatment type t]], 0)</f>
        <v>0</v>
      </c>
      <c r="G28" s="19"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
      <c r="A29" s="5" t="str">
        <f>HYPERLINK("#'4.1.1.3-4 Direct N20'!A1", "4.1.1.3-4 Manure Direct N2O")</f>
        <v>4.1.1.3-4 Manure Direct N2O</v>
      </c>
      <c r="D29" s="1" t="str" cm="1">
        <f t="array" ref="D29">Common_InputFunctions.Utility_DisplayArrayInTable(WasteSolid_SourceData.Waste_EmissionFactorsForWasteTreatment_Data(), Table_SourceData_WasteSolid_WasteTreatmentEFs[[#Headers],[Treatment type t]], 0)</f>
        <v>Incineration</v>
      </c>
      <c r="E29" s="19"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9" cm="1">
        <f t="array" ref="F29">Common_InputFunctions.Utility_DisplayArrayInTable(WasteSolid_SourceData.Waste_EmissionFactorsForWasteTreatment_Data(), Table_SourceData_WasteSolid_WasteTreatmentEFs[[#Headers],[Treatment type t]], 0)</f>
        <v>0</v>
      </c>
      <c r="G29" s="19"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
      <c r="A30" s="5" t="str">
        <f>HYPERLINK("#'4.1.1.5-6 Atmos Deposition'!A1", "4.1.1.5-6 Manure Atmos Dep")</f>
        <v>4.1.1.5-6 Manure Atmos Dep</v>
      </c>
      <c r="D30" s="1" t="str" cm="1">
        <f t="array" ref="D30">Common_InputFunctions.Utility_DisplayArrayInTable(WasteSolid_SourceData.Waste_EmissionFactorsForWasteTreatment_Data(), Table_SourceData_WasteSolid_WasteTreatmentEFs[[#Headers],[Treatment type t]], 0)</f>
        <v>Incineration</v>
      </c>
      <c r="E30" s="19" t="str" cm="1">
        <f t="array" ref="E30">Common_InputFunctions.Utility_DisplayArrayInTable(WasteSolid_SourceData.Waste_EmissionFactorsForWasteTreatment_Data(), Table_SourceData_WasteSolid_WasteTreatmentEFs[[#Headers],[Treatment type t]], 0)</f>
        <v>Green waste (including crop residues or prunings)</v>
      </c>
      <c r="F30" s="19" cm="1">
        <f t="array" ref="F30">Common_InputFunctions.Utility_DisplayArrayInTable(WasteSolid_SourceData.Waste_EmissionFactorsForWasteTreatment_Data(), Table_SourceData_WasteSolid_WasteTreatmentEFs[[#Headers],[Treatment type t]], 0)</f>
        <v>0</v>
      </c>
      <c r="G30" s="19"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
      <c r="A31" s="5" t="str">
        <f>HYPERLINK("#'4.1.1.9 Manure applied to soils'!A1", "4.1.1.9 Manure applied to soils")</f>
        <v>4.1.1.9 Manure applied to soils</v>
      </c>
      <c r="D31" s="1" t="str" cm="1">
        <f t="array" ref="D31">Common_InputFunctions.Utility_DisplayArrayInTable(WasteSolid_SourceData.Waste_EmissionFactorsForWasteTreatment_Data(), Table_SourceData_WasteSolid_WasteTreatmentEFs[[#Headers],[Treatment type t]], 0)</f>
        <v>Incineration</v>
      </c>
      <c r="E31" s="19" t="str" cm="1">
        <f t="array" ref="E31">Common_InputFunctions.Utility_DisplayArrayInTable(WasteSolid_SourceData.Waste_EmissionFactorsForWasteTreatment_Data(), Table_SourceData_WasteSolid_WasteTreatmentEFs[[#Headers],[Treatment type t]], 0)</f>
        <v>Wood</v>
      </c>
      <c r="F31" s="19" cm="1">
        <f t="array" ref="F31">Common_InputFunctions.Utility_DisplayArrayInTable(WasteSolid_SourceData.Waste_EmissionFactorsForWasteTreatment_Data(), Table_SourceData_WasteSolid_WasteTreatmentEFs[[#Headers],[Treatment type t]], 0)</f>
        <v>0</v>
      </c>
      <c r="G31" s="19"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
      <c r="A32" s="5" t="str">
        <f>HYPERLINK("#'8.1.1.1-2 Transport fuel'!A1", "8.1.1.1-2 Transport fuel")</f>
        <v>8.1.1.1-2 Transport fuel</v>
      </c>
      <c r="D32" s="1" t="str" cm="1">
        <f t="array" ref="D32">Common_InputFunctions.Utility_DisplayArrayInTable(WasteSolid_SourceData.Waste_EmissionFactorsForWasteTreatment_Data(), Table_SourceData_WasteSolid_WasteTreatmentEFs[[#Headers],[Treatment type t]], 0)</f>
        <v>Incineration</v>
      </c>
      <c r="E32" s="19" t="str" cm="1">
        <f t="array" ref="E32">Common_InputFunctions.Utility_DisplayArrayInTable(WasteSolid_SourceData.Waste_EmissionFactorsForWasteTreatment_Data(), Table_SourceData_WasteSolid_WasteTreatmentEFs[[#Headers],[Treatment type t]], 0)</f>
        <v>Sludge</v>
      </c>
      <c r="F32" s="19" cm="1">
        <f t="array" ref="F32">Common_InputFunctions.Utility_DisplayArrayInTable(WasteSolid_SourceData.Waste_EmissionFactorsForWasteTreatment_Data(), Table_SourceData_WasteSolid_WasteTreatmentEFs[[#Headers],[Treatment type t]], 0)</f>
        <v>0</v>
      </c>
      <c r="G32" s="19"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
      <c r="A33" s="5" t="str">
        <f>HYPERLINK("#'8.2.1.1-2 Stationary fuel'!A1", "8.2.1.1-2 Stationary fuel")</f>
        <v>8.2.1.1-2 Stationary fuel</v>
      </c>
      <c r="D33" s="1" t="str" cm="1">
        <f t="array" ref="D33">Common_InputFunctions.Utility_DisplayArrayInTable(WasteSolid_SourceData.Waste_EmissionFactorsForWasteTreatment_Data(), Table_SourceData_WasteSolid_WasteTreatmentEFs[[#Headers],[Treatment type t]], 0)</f>
        <v>Incineration</v>
      </c>
      <c r="E33" s="19" t="str" cm="1">
        <f t="array" ref="E33">Common_InputFunctions.Utility_DisplayArrayInTable(WasteSolid_SourceData.Waste_EmissionFactorsForWasteTreatment_Data(), Table_SourceData_WasteSolid_WasteTreatmentEFs[[#Headers],[Treatment type t]], 0)</f>
        <v>Paper and cardboard</v>
      </c>
      <c r="F33" s="19" cm="1">
        <f t="array" ref="F33">Common_InputFunctions.Utility_DisplayArrayInTable(WasteSolid_SourceData.Waste_EmissionFactorsForWasteTreatment_Data(), Table_SourceData_WasteSolid_WasteTreatmentEFs[[#Headers],[Treatment type t]], 0)</f>
        <v>1.6899999999999998E-2</v>
      </c>
      <c r="G33" s="19"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
      <c r="A34" s="5" t="str">
        <f>HYPERLINK("#'10.1.1-2 Solid waste treatment'!A1", "10.1.1.1-2 Solid waste")</f>
        <v>10.1.1.1-2 Solid waste</v>
      </c>
      <c r="D34" s="1" t="str" cm="1">
        <f t="array" ref="D34">Common_InputFunctions.Utility_DisplayArrayInTable(WasteSolid_SourceData.Waste_EmissionFactorsForWasteTreatment_Data(), Table_SourceData_WasteSolid_WasteTreatmentEFs[[#Headers],[Treatment type t]], 0)</f>
        <v>Incineration</v>
      </c>
      <c r="E34" s="19" t="str" cm="1">
        <f t="array" ref="E34">Common_InputFunctions.Utility_DisplayArrayInTable(WasteSolid_SourceData.Waste_EmissionFactorsForWasteTreatment_Data(), Table_SourceData_WasteSolid_WasteTreatmentEFs[[#Headers],[Treatment type t]], 0)</f>
        <v>Textiles</v>
      </c>
      <c r="F34" s="19" cm="1">
        <f t="array" ref="F34">Common_InputFunctions.Utility_DisplayArrayInTable(WasteSolid_SourceData.Waste_EmissionFactorsForWasteTreatment_Data(), Table_SourceData_WasteSolid_WasteTreatmentEFs[[#Headers],[Treatment type t]], 0)</f>
        <v>0.36670000000000003</v>
      </c>
      <c r="G34" s="19"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
      <c r="A35" s="5" t="str">
        <f>HYPERLINK("#'14.1.1-2 Purchased electricity'!A1", "14.1.1-2 Purchased electricity")</f>
        <v>14.1.1-2 Purchased electricity</v>
      </c>
      <c r="D35" s="1" t="str" cm="1">
        <f t="array" ref="D35">Common_InputFunctions.Utility_DisplayArrayInTable(WasteSolid_SourceData.Waste_EmissionFactorsForWasteTreatment_Data(), Table_SourceData_WasteSolid_WasteTreatmentEFs[[#Headers],[Treatment type t]], 0)</f>
        <v>Incineration</v>
      </c>
      <c r="E35" s="19" t="str" cm="1">
        <f t="array" ref="E35">Common_InputFunctions.Utility_DisplayArrayInTable(WasteSolid_SourceData.Waste_EmissionFactorsForWasteTreatment_Data(), Table_SourceData_WasteSolid_WasteTreatmentEFs[[#Headers],[Treatment type t]], 0)</f>
        <v>Rubber and leather</v>
      </c>
      <c r="F35" s="19" cm="1">
        <f t="array" ref="F35">Common_InputFunctions.Utility_DisplayArrayInTable(WasteSolid_SourceData.Waste_EmissionFactorsForWasteTreatment_Data(), Table_SourceData_WasteSolid_WasteTreatmentEFs[[#Headers],[Treatment type t]], 0)</f>
        <v>0.4919</v>
      </c>
      <c r="G35" s="19"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
      <c r="A36" s="5" t="str">
        <f>HYPERLINK("#'15 Scope 3'!A1", "15 Scope 3")</f>
        <v>15 Scope 3</v>
      </c>
      <c r="D36" s="1" t="str" cm="1">
        <f t="array" ref="D36">Common_InputFunctions.Utility_DisplayArrayInTable(WasteSolid_SourceData.Waste_EmissionFactorsForWasteTreatment_Data(), Table_SourceData_WasteSolid_WasteTreatmentEFs[[#Headers],[Treatment type t]], 0)</f>
        <v>Incineration</v>
      </c>
      <c r="E36" s="19" t="str" cm="1">
        <f t="array" ref="E36">Common_InputFunctions.Utility_DisplayArrayInTable(WasteSolid_SourceData.Waste_EmissionFactorsForWasteTreatment_Data(), Table_SourceData_WasteSolid_WasteTreatmentEFs[[#Headers],[Treatment type t]], 0)</f>
        <v>Inert waste (including concrete, metal, plastic or glass)</v>
      </c>
      <c r="F36" s="19" cm="1">
        <f t="array" ref="F36">Common_InputFunctions.Utility_DisplayArrayInTable(WasteSolid_SourceData.Waste_EmissionFactorsForWasteTreatment_Data(), Table_SourceData_WasteSolid_WasteTreatmentEFs[[#Headers],[Treatment type t]], 0)</f>
        <v>0.11</v>
      </c>
      <c r="G36" s="19"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
      <c r="A37" s="5" t="str">
        <f>HYPERLINK("#'Calcs - Manure sent off-site'!A1", "Calcs - Manure sent off-site")</f>
        <v>Calcs - Manure sent off-site</v>
      </c>
      <c r="D37" s="1" t="str" cm="1">
        <f t="array" ref="D37">Common_InputFunctions.Utility_DisplayArrayInTable(WasteSolid_SourceData.Waste_EmissionFactorsForWasteTreatment_Data(), Table_SourceData_WasteSolid_WasteTreatmentEFs[[#Headers],[Treatment type t]], 0)</f>
        <v>Incineration</v>
      </c>
      <c r="E37" s="19" t="str" cm="1">
        <f t="array" ref="E37">Common_InputFunctions.Utility_DisplayArrayInTable(WasteSolid_SourceData.Waste_EmissionFactorsForWasteTreatment_Data(), Table_SourceData_WasteSolid_WasteTreatmentEFs[[#Headers],[Treatment type t]], 0)</f>
        <v>Municipal solid waste</v>
      </c>
      <c r="F37" s="19" cm="1">
        <f t="array" ref="F37">Common_InputFunctions.Utility_DisplayArrayInTable(WasteSolid_SourceData.Waste_EmissionFactorsForWasteTreatment_Data(), Table_SourceData_WasteSolid_WasteTreatmentEFs[[#Headers],[Treatment type t]], 0)</f>
        <v>5.3699999999999998E-2</v>
      </c>
      <c r="G37" s="235"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
      <c r="A38" s="5" t="str">
        <f>HYPERLINK("#'5.1.1.1-2 Inorganic fert N2O'!A1", "5.1.1.1-2 Inorganic fert N2O")</f>
        <v>5.1.1.1-2 Inorganic fert N2O</v>
      </c>
      <c r="D38" s="1" t="str" cm="1">
        <f t="array" ref="D38">Common_InputFunctions.Utility_DisplayArrayInTable(WasteSolid_SourceData.Waste_EmissionFactorsForWasteTreatment_Data(), Table_SourceData_WasteSolid_WasteTreatmentEFs[[#Headers],[Treatment type t]], 0)</f>
        <v>Incineration</v>
      </c>
      <c r="E38" s="19" t="str" cm="1">
        <f t="array" ref="E38">Common_InputFunctions.Utility_DisplayArrayInTable(WasteSolid_SourceData.Waste_EmissionFactorsForWasteTreatment_Data(), Table_SourceData_WasteSolid_WasteTreatmentEFs[[#Headers],[Treatment type t]], 0)</f>
        <v>Commercial and industrial waste</v>
      </c>
      <c r="F38" s="19" cm="1">
        <f t="array" ref="F38">Common_InputFunctions.Utility_DisplayArrayInTable(WasteSolid_SourceData.Waste_EmissionFactorsForWasteTreatment_Data(), Table_SourceData_WasteSolid_WasteTreatmentEFs[[#Headers],[Treatment type t]], 0)</f>
        <v>1.649</v>
      </c>
      <c r="G38" s="235"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
      <c r="A39" s="5" t="str">
        <f>HYPERLINK("#'5.1.1.3-4 Inorganic fert CO2'!A1", "5.1.1.3-4 Inorganic fert CO2")</f>
        <v>5.1.1.3-4 Inorganic fert CO2</v>
      </c>
      <c r="D39" s="1" t="str" cm="1">
        <f t="array" ref="D39">Common_InputFunctions.Utility_DisplayArrayInTable(WasteSolid_SourceData.Waste_EmissionFactorsForWasteTreatment_Data(), Table_SourceData_WasteSolid_WasteTreatmentEFs[[#Headers],[Treatment type t]], 0)</f>
        <v>Composting</v>
      </c>
      <c r="E39" s="19" t="str" cm="1">
        <f t="array" ref="E39">Common_InputFunctions.Utility_DisplayArrayInTable(WasteSolid_SourceData.Waste_EmissionFactorsForWasteTreatment_Data(), Table_SourceData_WasteSolid_WasteTreatmentEFs[[#Headers],[Treatment type t]], 0)</f>
        <v>All organic waste</v>
      </c>
      <c r="F39" s="19" cm="1">
        <f t="array" ref="F39">Common_InputFunctions.Utility_DisplayArrayInTable(WasteSolid_SourceData.Waste_EmissionFactorsForWasteTreatment_Data(), Table_SourceData_WasteSolid_WasteTreatmentEFs[[#Headers],[Treatment type t]], 0)</f>
        <v>4.5999999999999999E-2</v>
      </c>
      <c r="G39" s="235"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
      <c r="A40" s="5" t="str">
        <f>HYPERLINK("#'5.2.1.1-2 Organic Fert N2O'!A1", "5.2.1.1-2 Organic Fert N2O")</f>
        <v>5.2.1.1-2 Organic Fert N2O</v>
      </c>
      <c r="D40" s="1" t="str" cm="1">
        <f t="array" ref="D40">Common_InputFunctions.Utility_DisplayArrayInTable(WasteSolid_SourceData.Waste_EmissionFactorsForWasteTreatment_Data(), Table_SourceData_WasteSolid_WasteTreatmentEFs[[#Headers],[Treatment type t]], 0)</f>
        <v>Composting</v>
      </c>
      <c r="E40" s="19"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9" cm="1">
        <f t="array" ref="F40">Common_InputFunctions.Utility_DisplayArrayInTable(WasteSolid_SourceData.Waste_EmissionFactorsForWasteTreatment_Data(), Table_SourceData_WasteSolid_WasteTreatmentEFs[[#Headers],[Treatment type t]], 0)</f>
        <v>4.5999999999999999E-2</v>
      </c>
      <c r="G40" s="235"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
      <c r="A41" s="5" t="str">
        <f>HYPERLINK("#'5.3.1.1-2 Lime CO2'!A1", "5.3.1.1-2 Lime CO2")</f>
        <v>5.3.1.1-2 Lime CO2</v>
      </c>
      <c r="D41" s="1" t="str" cm="1">
        <f t="array" ref="D41">Common_InputFunctions.Utility_DisplayArrayInTable(WasteSolid_SourceData.Waste_EmissionFactorsForWasteTreatment_Data(), Table_SourceData_WasteSolid_WasteTreatmentEFs[[#Headers],[Treatment type t]], 0)</f>
        <v>Composting</v>
      </c>
      <c r="E41" s="19" t="str" cm="1">
        <f t="array" ref="E41">Common_InputFunctions.Utility_DisplayArrayInTable(WasteSolid_SourceData.Waste_EmissionFactorsForWasteTreatment_Data(), Table_SourceData_WasteSolid_WasteTreatmentEFs[[#Headers],[Treatment type t]], 0)</f>
        <v>Green waste (including crop residues or prunings)</v>
      </c>
      <c r="F41" s="19" cm="1">
        <f t="array" ref="F41">Common_InputFunctions.Utility_DisplayArrayInTable(WasteSolid_SourceData.Waste_EmissionFactorsForWasteTreatment_Data(), Table_SourceData_WasteSolid_WasteTreatmentEFs[[#Headers],[Treatment type t]], 0)</f>
        <v>4.5999999999999999E-2</v>
      </c>
      <c r="G41" s="235"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
      <c r="A42" s="5" t="str">
        <f>HYPERLINK("#'5.4.1.1-4 Atmos deposition'!A1", "5.4.1.1-4 Atmos deposition")</f>
        <v>5.4.1.1-4 Atmos deposition</v>
      </c>
      <c r="D42" s="1" t="str" cm="1">
        <f t="array" ref="D42">Common_InputFunctions.Utility_DisplayArrayInTable(WasteSolid_SourceData.Waste_EmissionFactorsForWasteTreatment_Data(), Table_SourceData_WasteSolid_WasteTreatmentEFs[[#Headers],[Treatment type t]], 0)</f>
        <v>Composting</v>
      </c>
      <c r="E42" s="19" t="str" cm="1">
        <f t="array" ref="E42">Common_InputFunctions.Utility_DisplayArrayInTable(WasteSolid_SourceData.Waste_EmissionFactorsForWasteTreatment_Data(), Table_SourceData_WasteSolid_WasteTreatmentEFs[[#Headers],[Treatment type t]], 0)</f>
        <v>Wood</v>
      </c>
      <c r="F42" s="19" cm="1">
        <f t="array" ref="F42">Common_InputFunctions.Utility_DisplayArrayInTable(WasteSolid_SourceData.Waste_EmissionFactorsForWasteTreatment_Data(), Table_SourceData_WasteSolid_WasteTreatmentEFs[[#Headers],[Treatment type t]], 0)</f>
        <v>4.5999999999999999E-2</v>
      </c>
      <c r="G42" s="235"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
      <c r="A43" s="5" t="str">
        <f>HYPERLINK("#'5.5.1.1-2 Leaching and runoff'!A1", "5.5.1.1-2 Leaching and runoff")</f>
        <v>5.5.1.1-2 Leaching and runoff</v>
      </c>
      <c r="D43" s="1" t="str" cm="1">
        <f t="array" ref="D43">Common_InputFunctions.Utility_DisplayArrayInTable(WasteSolid_SourceData.Waste_EmissionFactorsForWasteTreatment_Data(), Table_SourceData_WasteSolid_WasteTreatmentEFs[[#Headers],[Treatment type t]], 0)</f>
        <v>Composting</v>
      </c>
      <c r="E43" s="19" t="str" cm="1">
        <f t="array" ref="E43">Common_InputFunctions.Utility_DisplayArrayInTable(WasteSolid_SourceData.Waste_EmissionFactorsForWasteTreatment_Data(), Table_SourceData_WasteSolid_WasteTreatmentEFs[[#Headers],[Treatment type t]], 0)</f>
        <v>Sludge</v>
      </c>
      <c r="F43" s="19" cm="1">
        <f t="array" ref="F43">Common_InputFunctions.Utility_DisplayArrayInTable(WasteSolid_SourceData.Waste_EmissionFactorsForWasteTreatment_Data(), Table_SourceData_WasteSolid_WasteTreatmentEFs[[#Headers],[Treatment type t]], 0)</f>
        <v>4.5999999999999999E-2</v>
      </c>
      <c r="G43" s="235"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
      <c r="D44" s="1" t="str" cm="1">
        <f t="array" ref="D44">Common_InputFunctions.Utility_DisplayArrayInTable(WasteSolid_SourceData.Waste_EmissionFactorsForWasteTreatment_Data(), Table_SourceData_WasteSolid_WasteTreatmentEFs[[#Headers],[Treatment type t]], 0)</f>
        <v>Composting</v>
      </c>
      <c r="E44" s="19" t="str" cm="1">
        <f t="array" ref="E44">Common_InputFunctions.Utility_DisplayArrayInTable(WasteSolid_SourceData.Waste_EmissionFactorsForWasteTreatment_Data(), Table_SourceData_WasteSolid_WasteTreatmentEFs[[#Headers],[Treatment type t]], 0)</f>
        <v>Paper and cardboard</v>
      </c>
      <c r="F44" s="19" cm="1">
        <f t="array" ref="F44">Common_InputFunctions.Utility_DisplayArrayInTable(WasteSolid_SourceData.Waste_EmissionFactorsForWasteTreatment_Data(), Table_SourceData_WasteSolid_WasteTreatmentEFs[[#Headers],[Treatment type t]], 0)</f>
        <v>4.5999999999999999E-2</v>
      </c>
      <c r="G44" s="235"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
      <c r="D45" s="1" t="str" cm="1">
        <f t="array" ref="D45">Common_InputFunctions.Utility_DisplayArrayInTable(WasteSolid_SourceData.Waste_EmissionFactorsForWasteTreatment_Data(), Table_SourceData_WasteSolid_WasteTreatmentEFs[[#Headers],[Treatment type t]], 0)</f>
        <v>Anaerobic digestion</v>
      </c>
      <c r="E45" s="19" t="str" cm="1">
        <f t="array" ref="E45">Common_InputFunctions.Utility_DisplayArrayInTable(WasteSolid_SourceData.Waste_EmissionFactorsForWasteTreatment_Data(), Table_SourceData_WasteSolid_WasteTreatmentEFs[[#Headers],[Treatment type t]], 0)</f>
        <v>All organic waste</v>
      </c>
      <c r="F45" s="19" cm="1">
        <f t="array" ref="F45">Common_InputFunctions.Utility_DisplayArrayInTable(WasteSolid_SourceData.Waste_EmissionFactorsForWasteTreatment_Data(), Table_SourceData_WasteSolid_WasteTreatmentEFs[[#Headers],[Treatment type t]], 0)</f>
        <v>2.8000000000000001E-2</v>
      </c>
      <c r="G45" s="235"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
      <c r="A46" s="80" t="s">
        <v>1</v>
      </c>
      <c r="D46" s="1" t="str" cm="1">
        <f t="array" ref="D46">Common_InputFunctions.Utility_DisplayArrayInTable(WasteSolid_SourceData.Waste_EmissionFactorsForWasteTreatment_Data(), Table_SourceData_WasteSolid_WasteTreatmentEFs[[#Headers],[Treatment type t]], 0)</f>
        <v>Anaerobic digestion</v>
      </c>
      <c r="E46" s="19"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9" cm="1">
        <f t="array" ref="F46">Common_InputFunctions.Utility_DisplayArrayInTable(WasteSolid_SourceData.Waste_EmissionFactorsForWasteTreatment_Data(), Table_SourceData_WasteSolid_WasteTreatmentEFs[[#Headers],[Treatment type t]], 0)</f>
        <v>2.8000000000000001E-2</v>
      </c>
      <c r="G46" s="235"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
      <c r="A47" s="5" t="str">
        <f>HYPERLINK("#'Constants - Feedlot'!A1", "Constants - Feedlot")</f>
        <v>Constants - Feedlot</v>
      </c>
      <c r="D47" s="1" t="str" cm="1">
        <f t="array" ref="D47">Common_InputFunctions.Utility_DisplayArrayInTable(WasteSolid_SourceData.Waste_EmissionFactorsForWasteTreatment_Data(), Table_SourceData_WasteSolid_WasteTreatmentEFs[[#Headers],[Treatment type t]], 0)</f>
        <v>Anaerobic digestion</v>
      </c>
      <c r="E47" s="19" t="str" cm="1">
        <f t="array" ref="E47">Common_InputFunctions.Utility_DisplayArrayInTable(WasteSolid_SourceData.Waste_EmissionFactorsForWasteTreatment_Data(), Table_SourceData_WasteSolid_WasteTreatmentEFs[[#Headers],[Treatment type t]], 0)</f>
        <v>Green waste (including crop residues or prunings)</v>
      </c>
      <c r="F47" s="19" cm="1">
        <f t="array" ref="F47">Common_InputFunctions.Utility_DisplayArrayInTable(WasteSolid_SourceData.Waste_EmissionFactorsForWasteTreatment_Data(), Table_SourceData_WasteSolid_WasteTreatmentEFs[[#Headers],[Treatment type t]], 0)</f>
        <v>2.8000000000000001E-2</v>
      </c>
      <c r="G47" s="235"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
      <c r="A48" s="5" t="str">
        <f>HYPERLINK("#'Constants - Common livestock'!A1", "Constants - Common Livestock")</f>
        <v>Constants - Common Livestock</v>
      </c>
      <c r="D48" s="1" t="str" cm="1">
        <f t="array" ref="D48">Common_InputFunctions.Utility_DisplayArrayInTable(WasteSolid_SourceData.Waste_EmissionFactorsForWasteTreatment_Data(), Table_SourceData_WasteSolid_WasteTreatmentEFs[[#Headers],[Treatment type t]], 0)</f>
        <v>Anaerobic digestion</v>
      </c>
      <c r="E48" s="19" t="str" cm="1">
        <f t="array" ref="E48">Common_InputFunctions.Utility_DisplayArrayInTable(WasteSolid_SourceData.Waste_EmissionFactorsForWasteTreatment_Data(), Table_SourceData_WasteSolid_WasteTreatmentEFs[[#Headers],[Treatment type t]], 0)</f>
        <v>Wood</v>
      </c>
      <c r="F48" s="19" cm="1">
        <f t="array" ref="F48">Common_InputFunctions.Utility_DisplayArrayInTable(WasteSolid_SourceData.Waste_EmissionFactorsForWasteTreatment_Data(), Table_SourceData_WasteSolid_WasteTreatmentEFs[[#Headers],[Treatment type t]], 0)</f>
        <v>2.8000000000000001E-2</v>
      </c>
      <c r="G48" s="235"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
      <c r="A49" s="5" t="str">
        <f>HYPERLINK("#'Constants - Electricity'!A1", "Constants - Electricity")</f>
        <v>Constants - Electricity</v>
      </c>
      <c r="D49" s="1" t="str" cm="1">
        <f t="array" ref="D49">Common_InputFunctions.Utility_DisplayArrayInTable(WasteSolid_SourceData.Waste_EmissionFactorsForWasteTreatment_Data(), Table_SourceData_WasteSolid_WasteTreatmentEFs[[#Headers],[Treatment type t]], 0)</f>
        <v>Anaerobic digestion</v>
      </c>
      <c r="E49" s="19" t="str" cm="1">
        <f t="array" ref="E49">Common_InputFunctions.Utility_DisplayArrayInTable(WasteSolid_SourceData.Waste_EmissionFactorsForWasteTreatment_Data(), Table_SourceData_WasteSolid_WasteTreatmentEFs[[#Headers],[Treatment type t]], 0)</f>
        <v>Sludge</v>
      </c>
      <c r="F49" s="19" cm="1">
        <f t="array" ref="F49">Common_InputFunctions.Utility_DisplayArrayInTable(WasteSolid_SourceData.Waste_EmissionFactorsForWasteTreatment_Data(), Table_SourceData_WasteSolid_WasteTreatmentEFs[[#Headers],[Treatment type t]], 0)</f>
        <v>2.8000000000000001E-2</v>
      </c>
      <c r="G49" s="235"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
      <c r="A50" s="5" t="str">
        <f>HYPERLINK("#'Constants - Fertiliser'!A1", "Constants - Fertiliser")</f>
        <v>Constants - Fertiliser</v>
      </c>
      <c r="D50" s="1" t="str" cm="1">
        <f t="array" ref="D50">Common_InputFunctions.Utility_DisplayArrayInTable(WasteSolid_SourceData.Waste_EmissionFactorsForWasteTreatment_Data(), Table_SourceData_WasteSolid_WasteTreatmentEFs[[#Headers],[Treatment type t]], 0)</f>
        <v>Anaerobic digestion</v>
      </c>
      <c r="E50" s="19" t="str" cm="1">
        <f t="array" ref="E50">Common_InputFunctions.Utility_DisplayArrayInTable(WasteSolid_SourceData.Waste_EmissionFactorsForWasteTreatment_Data(), Table_SourceData_WasteSolid_WasteTreatmentEFs[[#Headers],[Treatment type t]], 0)</f>
        <v>Paper and cardboard</v>
      </c>
      <c r="F50" s="19" cm="1">
        <f t="array" ref="F50">Common_InputFunctions.Utility_DisplayArrayInTable(WasteSolid_SourceData.Waste_EmissionFactorsForWasteTreatment_Data(), Table_SourceData_WasteSolid_WasteTreatmentEFs[[#Headers],[Treatment type t]], 0)</f>
        <v>2.8000000000000001E-2</v>
      </c>
      <c r="G50" s="235"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
      <c r="A51" s="5" t="str">
        <f>HYPERLINK("#'Constants - Fuel'!A1", "Constants - Fuel")</f>
        <v>Constants - Fuel</v>
      </c>
    </row>
    <row r="52" spans="1:7" ht="20.100000000000001" customHeight="1" x14ac:dyDescent="0.2">
      <c r="A52" s="5" t="str">
        <f>HYPERLINK("#'Constants - Scope 3'!A1", "Constants - Scope 3")</f>
        <v>Constants - Scope 3</v>
      </c>
      <c r="D52" s="2" t="str" cm="1">
        <f t="array" ref="D52">WasteSolid_SourceData.Waste_WasteVolumeToMassConversion_Title()</f>
        <v>Volume to mass conversion factor for various waste types</v>
      </c>
    </row>
    <row r="53" spans="1:7" ht="20.100000000000001" customHeight="1" x14ac:dyDescent="0.2">
      <c r="A53" s="81" t="str">
        <f>HYPERLINK("#'Constants - Solid Waste'!A1", "Constants - Solid Waste")</f>
        <v>Constants - Solid Waste</v>
      </c>
      <c r="D53" s="17" t="str" cm="1">
        <f t="array" ref="D53">WasteSolid_SourceData.Waste_WasteVolumeToMassConversion_Source()</f>
        <v>VEERG 2026: Table A.4.1.2</v>
      </c>
    </row>
    <row r="54" spans="1:7" ht="20.100000000000001" customHeight="1" x14ac:dyDescent="0.2">
      <c r="A54" s="5" t="str">
        <f>HYPERLINK("#'Constants - Common'!A1", "Constants - Common")</f>
        <v>Constants - Common</v>
      </c>
      <c r="D54" s="25" t="str" cm="1">
        <f t="array" ref="D54">WasteSolid_SourceData.Waste_WasteVolumeToMassConversion_Variation()</f>
        <v>VARIATION OF SOURCE: Changed column header CFw to VTMw to match title variable.</v>
      </c>
    </row>
    <row r="55" spans="1:7" ht="20.100000000000001" customHeight="1" x14ac:dyDescent="0.2">
      <c r="A55" s="5" t="str">
        <f>HYPERLINK("#'Acknowledgements'!A1", "Acknowledgements")</f>
        <v>Acknowledgements</v>
      </c>
      <c r="D55" s="1" t="str" cm="1">
        <f t="array" ref="D55">WasteSolid_SourceData.Waste_WasteVolumeToMassConversion_Variable()</f>
        <v>VTMw</v>
      </c>
    </row>
    <row r="56" spans="1:7" ht="20.100000000000001" customHeight="1" x14ac:dyDescent="0.2">
      <c r="D56" s="9" t="str" cm="1">
        <f t="array" ref="D56">WasteSolid_SourceData.Waste_WasteVolumeToMassConversion_Unit()</f>
        <v>t/m3</v>
      </c>
    </row>
    <row r="57" spans="1:7" ht="20.100000000000001" customHeight="1" x14ac:dyDescent="0.2">
      <c r="D57" s="19" t="s">
        <v>927</v>
      </c>
      <c r="E57" s="19" t="s">
        <v>930</v>
      </c>
    </row>
    <row r="58" spans="1:7" ht="20.100000000000001" customHeight="1" x14ac:dyDescent="0.2">
      <c r="D58" s="19"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9" cm="1">
        <f t="array" ref="E58">Common_InputFunctions.Utility_DisplayArrayInTable(WasteSolid_SourceData.Waste_WasteVolumeToMassConversion_Data(), Table_SourceData_WasteSolid_VolumeToMassConversion[[#Headers],[Waste type w]], 0)</f>
        <v>0.5</v>
      </c>
    </row>
    <row r="59" spans="1:7" ht="20.100000000000001" customHeight="1" x14ac:dyDescent="0.2">
      <c r="D59" s="1" t="str" cm="1">
        <f t="array" ref="D59">Common_InputFunctions.Utility_DisplayArrayInTable(WasteSolid_SourceData.Waste_WasteVolumeToMassConversion_Data(), Table_SourceData_WasteSolid_VolumeToMassConversion[[#Headers],[Waste type w]], 0)</f>
        <v>Paper and cardboard</v>
      </c>
      <c r="E59" s="19" cm="1">
        <f t="array" ref="E59">Common_InputFunctions.Utility_DisplayArrayInTable(WasteSolid_SourceData.Waste_WasteVolumeToMassConversion_Data(), Table_SourceData_WasteSolid_VolumeToMassConversion[[#Headers],[Waste type w]], 0)</f>
        <v>0.09</v>
      </c>
    </row>
    <row r="60" spans="1:7" ht="20.100000000000001" customHeight="1" x14ac:dyDescent="0.2">
      <c r="D60" s="1" t="str" cm="1">
        <f t="array" ref="D60">Common_InputFunctions.Utility_DisplayArrayInTable(WasteSolid_SourceData.Waste_WasteVolumeToMassConversion_Data(), Table_SourceData_WasteSolid_VolumeToMassConversion[[#Headers],[Waste type w]], 0)</f>
        <v>Green waste (including crop residues or prunings)</v>
      </c>
      <c r="E60" s="19" cm="1">
        <f t="array" ref="E60">Common_InputFunctions.Utility_DisplayArrayInTable(WasteSolid_SourceData.Waste_WasteVolumeToMassConversion_Data(), Table_SourceData_WasteSolid_VolumeToMassConversion[[#Headers],[Waste type w]], 0)</f>
        <v>0.24</v>
      </c>
    </row>
    <row r="61" spans="1:7" ht="20.100000000000001" customHeight="1" x14ac:dyDescent="0.2">
      <c r="D61" s="1" t="str" cm="1">
        <f t="array" ref="D61">Common_InputFunctions.Utility_DisplayArrayInTable(WasteSolid_SourceData.Waste_WasteVolumeToMassConversion_Data(), Table_SourceData_WasteSolid_VolumeToMassConversion[[#Headers],[Waste type w]], 0)</f>
        <v>Wood</v>
      </c>
      <c r="E61" s="19" cm="1">
        <f t="array" ref="E61">Common_InputFunctions.Utility_DisplayArrayInTable(WasteSolid_SourceData.Waste_WasteVolumeToMassConversion_Data(), Table_SourceData_WasteSolid_VolumeToMassConversion[[#Headers],[Waste type w]], 0)</f>
        <v>0.15</v>
      </c>
    </row>
    <row r="62" spans="1:7" ht="20.100000000000001" customHeight="1" x14ac:dyDescent="0.2">
      <c r="D62" s="1" t="str" cm="1">
        <f t="array" ref="D62">Common_InputFunctions.Utility_DisplayArrayInTable(WasteSolid_SourceData.Waste_WasteVolumeToMassConversion_Data(), Table_SourceData_WasteSolid_VolumeToMassConversion[[#Headers],[Waste type w]], 0)</f>
        <v>Textiles</v>
      </c>
      <c r="E62" s="19"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
      <c r="D63" s="1" t="str" cm="1">
        <f t="array" ref="D63">Common_InputFunctions.Utility_DisplayArrayInTable(WasteSolid_SourceData.Waste_WasteVolumeToMassConversion_Data(), Table_SourceData_WasteSolid_VolumeToMassConversion[[#Headers],[Waste type w]], 0)</f>
        <v>Sludge</v>
      </c>
      <c r="E63" s="19" cm="1">
        <f t="array" ref="E63">Common_InputFunctions.Utility_DisplayArrayInTable(WasteSolid_SourceData.Waste_WasteVolumeToMassConversion_Data(), Table_SourceData_WasteSolid_VolumeToMassConversion[[#Headers],[Waste type w]], 0)</f>
        <v>0.72</v>
      </c>
    </row>
    <row r="64" spans="1:7" ht="20.100000000000001" customHeight="1" x14ac:dyDescent="0.2">
      <c r="D64" s="1" t="str" cm="1">
        <f t="array" ref="D64">Common_InputFunctions.Utility_DisplayArrayInTable(WasteSolid_SourceData.Waste_WasteVolumeToMassConversion_Data(), Table_SourceData_WasteSolid_VolumeToMassConversion[[#Headers],[Waste type w]], 0)</f>
        <v>Rubber and leather</v>
      </c>
      <c r="E64" s="19"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19" cm="1">
        <f t="array" ref="E65">Common_InputFunctions.Utility_DisplayArrayInTable(WasteSolid_SourceData.Waste_WasteVolumeToMassConversion_Data(), Table_SourceData_WasteSolid_VolumeToMassConversion[[#Headers],[Waste type w]], 0)</f>
        <v>0.42</v>
      </c>
    </row>
    <row r="66" spans="1:5" ht="20.100000000000001" customHeight="1" x14ac:dyDescent="0.2">
      <c r="A66" s="79" t="str">
        <f>HYPERLINK("#A1", "▲ Back to top")</f>
        <v>▲ Back to top</v>
      </c>
      <c r="D66" s="1" t="str" cm="1">
        <f t="array" ref="D66">Common_InputFunctions.Utility_DisplayArrayInTable(WasteSolid_SourceData.Waste_WasteVolumeToMassConversion_Data(), Table_SourceData_WasteSolid_VolumeToMassConversion[[#Headers],[Waste type w]], 0)</f>
        <v>Municipal solid waste</v>
      </c>
      <c r="E66" s="19" cm="1">
        <f t="array" ref="E66">Common_InputFunctions.Utility_DisplayArrayInTable(WasteSolid_SourceData.Waste_WasteVolumeToMassConversion_Data(), Table_SourceData_WasteSolid_VolumeToMassConversion[[#Headers],[Waste type w]], 0)</f>
        <v>0.36</v>
      </c>
    </row>
    <row r="67" spans="1:5" ht="20.100000000000001" customHeight="1" x14ac:dyDescent="0.2">
      <c r="D67" s="1" t="str" cm="1">
        <f t="array" ref="D67">Common_InputFunctions.Utility_DisplayArrayInTable(WasteSolid_SourceData.Waste_WasteVolumeToMassConversion_Data(), Table_SourceData_WasteSolid_VolumeToMassConversion[[#Headers],[Waste type w]], 0)</f>
        <v>Commercial and industrial waste</v>
      </c>
      <c r="E67" s="19" cm="1">
        <f t="array" ref="E67">Common_InputFunctions.Utility_DisplayArrayInTable(WasteSolid_SourceData.Waste_WasteVolumeToMassConversion_Data(), Table_SourceData_WasteSolid_VolumeToMassConversion[[#Headers],[Waste type w]], 0)</f>
        <v>0.33</v>
      </c>
    </row>
    <row r="68" spans="1:5" ht="20.100000000000001" customHeight="1" x14ac:dyDescent="0.2">
      <c r="D68" s="1" t="str" cm="1">
        <f t="array" ref="D68">Common_InputFunctions.Utility_DisplayArrayInTable(WasteSolid_SourceData.Waste_WasteVolumeToMassConversion_Data(), Table_SourceData_WasteSolid_VolumeToMassConversion[[#Headers],[Waste type w]], 0)</f>
        <v>Construction and demolition waste</v>
      </c>
      <c r="E68" s="19" cm="1">
        <f t="array" ref="E68">Common_InputFunctions.Utility_DisplayArrayInTable(WasteSolid_SourceData.Waste_WasteVolumeToMassConversion_Data(), Table_SourceData_WasteSolid_VolumeToMassConversion[[#Headers],[Waste type w]], 0)</f>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332"/>
  <sheetViews>
    <sheetView showGridLines="0" zoomScaleNormal="100" workbookViewId="0">
      <pane xSplit="1" topLeftCell="B1" activePane="topRight" state="frozenSplit"/>
      <selection pane="topRight" activeCell="A54" sqref="A54"/>
    </sheetView>
  </sheetViews>
  <sheetFormatPr defaultColWidth="9.140625" defaultRowHeight="20.100000000000001" customHeight="1" x14ac:dyDescent="0.2"/>
  <cols>
    <col min="1" max="1" width="36.7109375" style="21" customWidth="1"/>
    <col min="2" max="2" width="2.7109375" style="21"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1" customWidth="1"/>
    <col min="34" max="39" width="21.85546875" style="21" customWidth="1"/>
    <col min="40" max="44" width="20.7109375" style="21" customWidth="1"/>
    <col min="45" max="65" width="9.140625" style="21"/>
    <col min="66" max="16384" width="9.140625" style="24"/>
  </cols>
  <sheetData>
    <row r="1" spans="1:65" s="20" customFormat="1" ht="30" customHeight="1" x14ac:dyDescent="0.35">
      <c r="A1" s="10" t="e" vm="1">
        <v>#VALUE!</v>
      </c>
      <c r="C1" s="20" t="s">
        <v>20</v>
      </c>
    </row>
    <row r="2" spans="1:65" s="3" customFormat="1" ht="20.100000000000001" customHeight="1" x14ac:dyDescent="0.2">
      <c r="A2"/>
    </row>
    <row r="3" spans="1:65" ht="20.100000000000001" customHeight="1" x14ac:dyDescent="0.2">
      <c r="A3" s="5" t="str">
        <f>HYPERLINK("#'Home'!A1", "Home")</f>
        <v>Home</v>
      </c>
      <c r="C3" s="22"/>
      <c r="D3" s="22"/>
      <c r="E3" s="22"/>
      <c r="F3" s="22"/>
      <c r="G3" s="22"/>
      <c r="H3" s="22"/>
      <c r="I3" s="22"/>
      <c r="J3" s="22"/>
      <c r="K3" s="22"/>
      <c r="L3" s="22"/>
      <c r="M3" s="22"/>
      <c r="N3" s="22"/>
      <c r="O3" s="22"/>
      <c r="P3" s="22"/>
      <c r="Q3" s="22"/>
      <c r="R3" s="22"/>
      <c r="S3" s="22"/>
      <c r="T3" s="22"/>
      <c r="U3" s="22"/>
      <c r="V3" s="23"/>
      <c r="W3" s="23"/>
    </row>
    <row r="4" spans="1:65" ht="20.100000000000001" customHeight="1" x14ac:dyDescent="0.2">
      <c r="A4" s="5" t="str">
        <f>HYPERLINK("#'Results - Activity period'!A1", "Results - Activity period")</f>
        <v>Results - Activity period</v>
      </c>
      <c r="BM4" s="24"/>
    </row>
    <row r="5" spans="1:65" ht="20.100000000000001" customHeight="1" x14ac:dyDescent="0.2">
      <c r="A5" s="5" t="str">
        <f>HYPERLINK("#'Results - Product EI'!A1", "Results - Product Emissions Intensity")</f>
        <v>Results - Product Emissions Intensity</v>
      </c>
      <c r="D5" s="2" t="str" cm="1">
        <f t="array" ref="D5">Common_SourceData.Common_SourceData_AustralianStatesTerritories_Title()</f>
        <v>Australian states and territories</v>
      </c>
      <c r="BM5" s="24"/>
    </row>
    <row r="6" spans="1:65" ht="20.100000000000001" customHeight="1" x14ac:dyDescent="0.2">
      <c r="A6"/>
      <c r="D6" s="19" t="s">
        <v>21</v>
      </c>
      <c r="E6" s="19" t="s">
        <v>22</v>
      </c>
      <c r="F6" s="19" t="s">
        <v>23</v>
      </c>
    </row>
    <row r="7" spans="1:65" ht="20.100000000000001" customHeight="1" x14ac:dyDescent="0.2">
      <c r="A7"/>
      <c r="D7" s="19" t="str" cm="1">
        <f t="array" ref="D7">Common_InputFunctions.Utility_DisplayArrayInTable(Common_SourceData.Common_SourceData_AustralianStatesTerritories_Data(),Table_AustralianStates[[#Headers],[State/Territory]],0)</f>
        <v>New South Wales</v>
      </c>
      <c r="E7" s="19" t="str" cm="1">
        <f t="array" ref="E7">Common_InputFunctions.Utility_DisplayArrayInTable(Common_SourceData.Common_SourceData_AustralianStatesTerritories_Data(),Table_AustralianStates[[#Headers],[State/Territory]],0)</f>
        <v>New South Wales</v>
      </c>
      <c r="F7" s="19" t="str" cm="1">
        <f t="array" ref="F7">Common_InputFunctions.Utility_DisplayArrayInTable(Common_SourceData.Common_SourceData_AustralianStatesTerritories_Data(),Table_AustralianStates[[#Headers],[State/Territory]],0)</f>
        <v>NSW</v>
      </c>
    </row>
    <row r="8" spans="1:65" ht="20.100000000000001" customHeight="1" x14ac:dyDescent="0.2">
      <c r="A8" s="7" t="s">
        <v>0</v>
      </c>
      <c r="D8" s="19" t="str" cm="1">
        <f t="array" ref="D8">Common_InputFunctions.Utility_DisplayArrayInTable(Common_SourceData.Common_SourceData_AustralianStatesTerritories_Data(),Table_AustralianStates[[#Headers],[State/Territory]],0)</f>
        <v>Australian Capital Territory</v>
      </c>
      <c r="E8" s="19" t="str" cm="1">
        <f t="array" ref="E8">Common_InputFunctions.Utility_DisplayArrayInTable(Common_SourceData.Common_SourceData_AustralianStatesTerritories_Data(),Table_AustralianStates[[#Headers],[State/Territory]],0)</f>
        <v>ACT</v>
      </c>
      <c r="F8" s="19" t="str" cm="1">
        <f t="array" ref="F8">Common_InputFunctions.Utility_DisplayArrayInTable(Common_SourceData.Common_SourceData_AustralianStatesTerritories_Data(),Table_AustralianStates[[#Headers],[State/Territory]],0)</f>
        <v>ACT</v>
      </c>
    </row>
    <row r="9" spans="1:65" ht="20.100000000000001" customHeight="1" x14ac:dyDescent="0.2">
      <c r="A9" s="5" t="str">
        <f>HYPERLINK("#'Input - Enterprise'!A1", "Enterprise")</f>
        <v>Enterprise</v>
      </c>
      <c r="D9" s="19" t="str" cm="1">
        <f t="array" ref="D9">Common_InputFunctions.Utility_DisplayArrayInTable(Common_SourceData.Common_SourceData_AustralianStatesTerritories_Data(),Table_AustralianStates[[#Headers],[State/Territory]],0)</f>
        <v>Victoria</v>
      </c>
      <c r="E9" s="19" t="str" cm="1">
        <f t="array" ref="E9">Common_InputFunctions.Utility_DisplayArrayInTable(Common_SourceData.Common_SourceData_AustralianStatesTerritories_Data(),Table_AustralianStates[[#Headers],[State/Territory]],0)</f>
        <v>Victoria</v>
      </c>
      <c r="F9" s="19" t="str" cm="1">
        <f t="array" ref="F9">Common_InputFunctions.Utility_DisplayArrayInTable(Common_SourceData.Common_SourceData_AustralianStatesTerritories_Data(),Table_AustralianStates[[#Headers],[State/Territory]],0)</f>
        <v>VIC</v>
      </c>
    </row>
    <row r="10" spans="1:65" ht="20.100000000000001" customHeight="1" x14ac:dyDescent="0.2">
      <c r="A10" s="5" t="str">
        <f>HYPERLINK("#'Input - Site'!A1", "Site")</f>
        <v>Site</v>
      </c>
      <c r="D10" s="19" t="str" cm="1">
        <f t="array" ref="D10">Common_InputFunctions.Utility_DisplayArrayInTable(Common_SourceData.Common_SourceData_AustralianStatesTerritories_Data(),Table_AustralianStates[[#Headers],[State/Territory]],0)</f>
        <v>Queensland</v>
      </c>
      <c r="E10" s="19" t="str" cm="1">
        <f t="array" ref="E10">Common_InputFunctions.Utility_DisplayArrayInTable(Common_SourceData.Common_SourceData_AustralianStatesTerritories_Data(),Table_AustralianStates[[#Headers],[State/Territory]],0)</f>
        <v>Queensland</v>
      </c>
      <c r="F10" s="19" t="str" cm="1">
        <f t="array" ref="F10">Common_InputFunctions.Utility_DisplayArrayInTable(Common_SourceData.Common_SourceData_AustralianStatesTerritories_Data(),Table_AustralianStates[[#Headers],[State/Territory]],0)</f>
        <v>QLD</v>
      </c>
    </row>
    <row r="11" spans="1:65" ht="20.100000000000001" customHeight="1" x14ac:dyDescent="0.2">
      <c r="A11" s="5" t="str">
        <f>HYPERLINK("#'Input - Feedlot'!A1", "Feedlot")</f>
        <v>Feedlot</v>
      </c>
      <c r="D11" s="19" t="str" cm="1">
        <f t="array" ref="D11">Common_InputFunctions.Utility_DisplayArrayInTable(Common_SourceData.Common_SourceData_AustralianStatesTerritories_Data(),Table_AustralianStates[[#Headers],[State/Territory]],0)</f>
        <v>South Australia</v>
      </c>
      <c r="E11" s="19" t="str" cm="1">
        <f t="array" ref="E11">Common_InputFunctions.Utility_DisplayArrayInTable(Common_SourceData.Common_SourceData_AustralianStatesTerritories_Data(),Table_AustralianStates[[#Headers],[State/Territory]],0)</f>
        <v>South Australia</v>
      </c>
      <c r="F11" s="19" t="str" cm="1">
        <f t="array" ref="F11">Common_InputFunctions.Utility_DisplayArrayInTable(Common_SourceData.Common_SourceData_AustralianStatesTerritories_Data(),Table_AustralianStates[[#Headers],[State/Territory]],0)</f>
        <v>SA</v>
      </c>
      <c r="BM11" s="24"/>
    </row>
    <row r="12" spans="1:65" ht="20.100000000000001" customHeight="1" x14ac:dyDescent="0.2">
      <c r="A12" s="5" t="str">
        <f>HYPERLINK("#'Input - Livestock sales'!A1", "Livestock sales")</f>
        <v>Livestock sales</v>
      </c>
      <c r="D12" s="19" t="str" cm="1">
        <f t="array" ref="D12">Common_InputFunctions.Utility_DisplayArrayInTable(Common_SourceData.Common_SourceData_AustralianStatesTerritories_Data(),Table_AustralianStates[[#Headers],[State/Territory]],0)</f>
        <v>Western Australia</v>
      </c>
      <c r="E12" s="19" t="str" cm="1">
        <f t="array" ref="E12">Common_InputFunctions.Utility_DisplayArrayInTable(Common_SourceData.Common_SourceData_AustralianStatesTerritories_Data(),Table_AustralianStates[[#Headers],[State/Territory]],0)</f>
        <v>Western Australia</v>
      </c>
      <c r="F12" s="19" t="str" cm="1">
        <f t="array" ref="F12">Common_InputFunctions.Utility_DisplayArrayInTable(Common_SourceData.Common_SourceData_AustralianStatesTerritories_Data(),Table_AustralianStates[[#Headers],[State/Territory]],0)</f>
        <v>WA</v>
      </c>
      <c r="BM12" s="24"/>
    </row>
    <row r="13" spans="1:65" ht="20.100000000000001" customHeight="1" x14ac:dyDescent="0.2">
      <c r="A13" s="5" t="str">
        <f>HYPERLINK("#'Input - Beef cattle purchases'!A1", "Beef cattle purchases")</f>
        <v>Beef cattle purchases</v>
      </c>
      <c r="D13" s="19" t="str" cm="1">
        <f t="array" ref="D13">Common_InputFunctions.Utility_DisplayArrayInTable(Common_SourceData.Common_SourceData_AustralianStatesTerritories_Data(),Table_AustralianStates[[#Headers],[State/Territory]],0)</f>
        <v>Tasmania</v>
      </c>
      <c r="E13" s="19" t="str" cm="1">
        <f t="array" ref="E13">Common_InputFunctions.Utility_DisplayArrayInTable(Common_SourceData.Common_SourceData_AustralianStatesTerritories_Data(),Table_AustralianStates[[#Headers],[State/Territory]],0)</f>
        <v>Tasmania</v>
      </c>
      <c r="F13" s="19" t="str" cm="1">
        <f t="array" ref="F13">Common_InputFunctions.Utility_DisplayArrayInTable(Common_SourceData.Common_SourceData_AustralianStatesTerritories_Data(),Table_AustralianStates[[#Headers],[State/Territory]],0)</f>
        <v>TAS</v>
      </c>
    </row>
    <row r="14" spans="1:65" ht="20.100000000000001" customHeight="1" x14ac:dyDescent="0.2">
      <c r="A14" s="5" t="str">
        <f>HYPERLINK("#'Input - Fuel'!A1", "Fuel")</f>
        <v>Fuel</v>
      </c>
      <c r="D14" s="19" t="str" cm="1">
        <f t="array" ref="D14">Common_InputFunctions.Utility_DisplayArrayInTable(Common_SourceData.Common_SourceData_AustralianStatesTerritories_Data(),Table_AustralianStates[[#Headers],[State/Territory]],0)</f>
        <v>Northern Territory</v>
      </c>
      <c r="E14" s="19" t="str" cm="1">
        <f t="array" ref="E14">Common_InputFunctions.Utility_DisplayArrayInTable(Common_SourceData.Common_SourceData_AustralianStatesTerritories_Data(),Table_AustralianStates[[#Headers],[State/Territory]],0)</f>
        <v>Northern Territory</v>
      </c>
      <c r="F14" s="19" t="str" cm="1">
        <f t="array" ref="F14">Common_InputFunctions.Utility_DisplayArrayInTable(Common_SourceData.Common_SourceData_AustralianStatesTerritories_Data(),Table_AustralianStates[[#Headers],[State/Territory]],0)</f>
        <v>NT</v>
      </c>
    </row>
    <row r="15" spans="1:65" ht="20.100000000000001" customHeight="1" x14ac:dyDescent="0.2">
      <c r="A15" s="5" t="str">
        <f>HYPERLINK("#'Input - Electricity'!A1", "Electricity")</f>
        <v>Electricity</v>
      </c>
    </row>
    <row r="16" spans="1:65" ht="20.100000000000001" customHeight="1" x14ac:dyDescent="0.2">
      <c r="A16" s="5" t="str">
        <f>HYPERLINK("#'Input - Common farm inputs'!A1", "Common farm inputs")</f>
        <v>Common farm inputs</v>
      </c>
    </row>
    <row r="17" spans="1:4" ht="20.100000000000001" customHeight="1" x14ac:dyDescent="0.2">
      <c r="A17" s="5" t="str">
        <f>HYPERLINK("#'Input - Livestock farm Inputs'!A1", "Livestock farm Inputs")</f>
        <v>Livestock farm Inputs</v>
      </c>
    </row>
    <row r="18" spans="1:4" ht="20.100000000000001" customHeight="1" x14ac:dyDescent="0.2">
      <c r="A18" s="5" t="str">
        <f>HYPERLINK("#'Input - Freight'!A1", "Freight")</f>
        <v>Freight</v>
      </c>
      <c r="D18" s="2" t="str" cm="1">
        <f t="array" ref="D18">Common_SourceData.Common_SourceData_WASA4Areas_Title()</f>
        <v>ABS Statistcal Areas Level 4 - Western Australia</v>
      </c>
    </row>
    <row r="19" spans="1:4" ht="20.100000000000001" customHeight="1" x14ac:dyDescent="0.2">
      <c r="A19" s="5" t="str">
        <f>HYPERLINK("#'Input - Solid waste'!A1", "Solid waste")</f>
        <v>Solid waste</v>
      </c>
      <c r="D19" s="17" t="str" cm="1">
        <f t="array" ref="D19">Common_SourceData.Common_SourceData_WASA4Areas_Source()</f>
        <v>Australian Bureau of Statistics (ABS) - Statistical Areas Level 2 - 2021 - Shapefile</v>
      </c>
    </row>
    <row r="20" spans="1:4" ht="20.100000000000001" customHeight="1" x14ac:dyDescent="0.2">
      <c r="A20" s="5" t="str">
        <f>HYPERLINK("#'Input - Manure sent off-site'!A1", "Manure sent off-site")</f>
        <v>Manure sent off-site</v>
      </c>
      <c r="D20" s="19" t="s">
        <v>24</v>
      </c>
    </row>
    <row r="21" spans="1:4" ht="20.100000000000001" customHeight="1" x14ac:dyDescent="0.2">
      <c r="A21" s="5" t="str">
        <f>HYPERLINK("#'Input - Data quality'!A1", "Data quality")</f>
        <v>Data quality</v>
      </c>
      <c r="D21" s="19" t="str" cm="1">
        <f t="array" ref="D21">Common_InputFunctions.Utility_DisplayArrayInTable(Common_SourceData.Common_SourceData_WASA4Areas_Data(), Table_WASA4Areas[[#Headers],[SA 4 Name]], 0)</f>
        <v>Bunbury</v>
      </c>
    </row>
    <row r="22" spans="1:4" ht="20.100000000000001" customHeight="1" x14ac:dyDescent="0.2">
      <c r="A22" s="5" t="str">
        <f>HYPERLINK("#'Input - Fert Prod System'!A1", "Fert Prod System")</f>
        <v>Fert Prod System</v>
      </c>
      <c r="D22" s="19" t="str" cm="1">
        <f t="array" ref="D22">Common_InputFunctions.Utility_DisplayArrayInTable(Common_SourceData.Common_SourceData_WASA4Areas_Data(), Table_WASA4Areas[[#Headers],[SA 4 Name]], 0)</f>
        <v>Mandurah</v>
      </c>
    </row>
    <row r="23" spans="1:4" ht="20.100000000000001" customHeight="1" x14ac:dyDescent="0.2">
      <c r="A23" s="5" t="str">
        <f>HYPERLINK("#'Input - Fertiliser'!A1", "Fertiliser")</f>
        <v>Fertiliser</v>
      </c>
      <c r="D23" s="19" t="str" cm="1">
        <f t="array" ref="D23">Common_InputFunctions.Utility_DisplayArrayInTable(Common_SourceData.Common_SourceData_WASA4Areas_Data(), Table_WASA4Areas[[#Headers],[SA 4 Name]], 0)</f>
        <v>Perth - Inner</v>
      </c>
    </row>
    <row r="24" spans="1:4" ht="20.100000000000001" customHeight="1" x14ac:dyDescent="0.2">
      <c r="A24"/>
      <c r="D24" s="19" t="str" cm="1">
        <f t="array" ref="D24">Common_InputFunctions.Utility_DisplayArrayInTable(Common_SourceData.Common_SourceData_WASA4Areas_Data(), Table_WASA4Areas[[#Headers],[SA 4 Name]], 0)</f>
        <v>Perth - North East</v>
      </c>
    </row>
    <row r="25" spans="1:4" ht="20.100000000000001" customHeight="1" x14ac:dyDescent="0.2">
      <c r="A25"/>
      <c r="D25" s="19" t="str" cm="1">
        <f t="array" ref="D25">Common_InputFunctions.Utility_DisplayArrayInTable(Common_SourceData.Common_SourceData_WASA4Areas_Data(), Table_WASA4Areas[[#Headers],[SA 4 Name]], 0)</f>
        <v>Perth - North West</v>
      </c>
    </row>
    <row r="26" spans="1:4" ht="20.100000000000001" customHeight="1" x14ac:dyDescent="0.2">
      <c r="A26" s="6" t="s">
        <v>2</v>
      </c>
      <c r="D26" s="19" t="str" cm="1">
        <f t="array" ref="D26">Common_InputFunctions.Utility_DisplayArrayInTable(Common_SourceData.Common_SourceData_WASA4Areas_Data(), Table_WASA4Areas[[#Headers],[SA 4 Name]], 0)</f>
        <v>Perth - South East</v>
      </c>
    </row>
    <row r="27" spans="1:4" ht="20.100000000000001" customHeight="1" x14ac:dyDescent="0.2">
      <c r="A27" s="5" t="str">
        <f>HYPERLINK("#'3.1.1.1-2 Enteric Methane'!A1", "3.1.1.1-2 Enteric Methane")</f>
        <v>3.1.1.1-2 Enteric Methane</v>
      </c>
      <c r="D27" s="19" t="str" cm="1">
        <f t="array" ref="D27">Common_InputFunctions.Utility_DisplayArrayInTable(Common_SourceData.Common_SourceData_WASA4Areas_Data(), Table_WASA4Areas[[#Headers],[SA 4 Name]], 0)</f>
        <v>Perth - South West</v>
      </c>
    </row>
    <row r="28" spans="1:4" ht="20.100000000000001" customHeight="1" x14ac:dyDescent="0.2">
      <c r="A28" s="5" t="str">
        <f>HYPERLINK("#'4.1.1.1-2 Methane'!A1", "4.1.1.1-2 Manure Methane")</f>
        <v>4.1.1.1-2 Manure Methane</v>
      </c>
      <c r="D28" s="19" t="str" cm="1">
        <f t="array" ref="D28">Common_InputFunctions.Utility_DisplayArrayInTable(Common_SourceData.Common_SourceData_WASA4Areas_Data(), Table_WASA4Areas[[#Headers],[SA 4 Name]], 0)</f>
        <v>Western Australia - Wheat Belt</v>
      </c>
    </row>
    <row r="29" spans="1:4" ht="20.100000000000001" customHeight="1" x14ac:dyDescent="0.2">
      <c r="A29" s="5" t="str">
        <f>HYPERLINK("#'4.1.1.3-4 Direct N20'!A1", "4.1.1.3-4 Manure Direct N2O")</f>
        <v>4.1.1.3-4 Manure Direct N2O</v>
      </c>
      <c r="D29" s="19" t="str" cm="1">
        <f t="array" ref="D29">Common_InputFunctions.Utility_DisplayArrayInTable(Common_SourceData.Common_SourceData_WASA4Areas_Data(), Table_WASA4Areas[[#Headers],[SA 4 Name]], 0)</f>
        <v>Western Australia - Outback (North)</v>
      </c>
    </row>
    <row r="30" spans="1:4" ht="20.100000000000001" customHeight="1" x14ac:dyDescent="0.2">
      <c r="A30" s="5" t="str">
        <f>HYPERLINK("#'4.1.1.5-6 Atmos Deposition'!A1", "4.1.1.5-6 Manure Atmos Dep")</f>
        <v>4.1.1.5-6 Manure Atmos Dep</v>
      </c>
      <c r="D30" s="19" t="str" cm="1">
        <f t="array" ref="D30">Common_InputFunctions.Utility_DisplayArrayInTable(Common_SourceData.Common_SourceData_WASA4Areas_Data(), Table_WASA4Areas[[#Headers],[SA 4 Name]], 0)</f>
        <v>Western Australia - Outback (South)</v>
      </c>
    </row>
    <row r="31" spans="1:4" ht="20.100000000000001" customHeight="1" x14ac:dyDescent="0.2">
      <c r="A31" s="5" t="str">
        <f>HYPERLINK("#'4.1.1.9 Manure applied to soils'!A1", "4.1.1.9 Manure applied to soils")</f>
        <v>4.1.1.9 Manure applied to soils</v>
      </c>
    </row>
    <row r="32" spans="1:4" ht="20.100000000000001" customHeight="1" x14ac:dyDescent="0.2">
      <c r="A32" s="5" t="str">
        <f>HYPERLINK("#'8.1.1.1-2 Transport fuel'!A1", "8.1.1.1-2 Transport fuel")</f>
        <v>8.1.1.1-2 Transport fuel</v>
      </c>
    </row>
    <row r="33" spans="1:8" ht="20.100000000000001" customHeight="1" x14ac:dyDescent="0.2">
      <c r="A33" s="5" t="str">
        <f>HYPERLINK("#'8.2.1.1-2 Stationary fuel'!A1", "8.2.1.1-2 Stationary fuel")</f>
        <v>8.2.1.1-2 Stationary fuel</v>
      </c>
    </row>
    <row r="34" spans="1:8" ht="20.100000000000001" customHeight="1" x14ac:dyDescent="0.2">
      <c r="A34" s="5" t="str">
        <f>HYPERLINK("#'10.1.1-2 Solid waste treatment'!A1", "10.1.1.1-2 Solid waste")</f>
        <v>10.1.1.1-2 Solid waste</v>
      </c>
      <c r="D34" s="2" t="str" cm="1">
        <f t="array" ref="D34">Common_SourceData.Common_SourceData_GWP_Title()</f>
        <v>Global warming potential for greenhouse gases</v>
      </c>
    </row>
    <row r="35" spans="1:8" ht="20.100000000000001" customHeight="1" x14ac:dyDescent="0.2">
      <c r="A35" s="5" t="str">
        <f>HYPERLINK("#'14.1.1-2 Purchased electricity'!A1", "14.1.1-2 Purchased electricity")</f>
        <v>14.1.1-2 Purchased electricity</v>
      </c>
      <c r="D35" s="17" t="str" cm="1">
        <f t="array" ref="D35">Common_SourceData.Common_SourceData_GWP_Source()</f>
        <v>XXXXXXX</v>
      </c>
    </row>
    <row r="36" spans="1:8" ht="20.100000000000001" customHeight="1" x14ac:dyDescent="0.2">
      <c r="A36" s="5" t="str">
        <f>HYPERLINK("#'15 Scope 3'!A1", "15 Scope 3")</f>
        <v>15 Scope 3</v>
      </c>
      <c r="D36" s="19" t="s">
        <v>25</v>
      </c>
      <c r="E36" s="19" t="s">
        <v>26</v>
      </c>
    </row>
    <row r="37" spans="1:8" ht="20.100000000000001" customHeight="1" x14ac:dyDescent="0.2">
      <c r="A37" s="5" t="str">
        <f>HYPERLINK("#'Calcs - Manure sent off-site'!A1", "Calcs - Manure sent off-site")</f>
        <v>Calcs - Manure sent off-site</v>
      </c>
      <c r="D37" s="19" t="str" cm="1">
        <f t="array" ref="D37">Common_InputFunctions.Utility_DisplayArrayInTable(Common_SourceData.Common_SourceData_GWP_Data(), Table_GWPData[[#Headers],[Gas]], 0)</f>
        <v>CO2</v>
      </c>
      <c r="E37" s="19" cm="1">
        <f t="array" ref="E37">Common_InputFunctions.Utility_DisplayArrayInTable(Common_SourceData.Common_SourceData_GWP_Data(), Table_GWPData[[#Headers],[Gas]], 0)</f>
        <v>1</v>
      </c>
    </row>
    <row r="38" spans="1:8" ht="20.100000000000001" customHeight="1" x14ac:dyDescent="0.2">
      <c r="A38" s="5" t="str">
        <f>HYPERLINK("#'5.1.1.1-2 Inorganic fert N2O'!A1", "5.1.1.1-2 Inorganic fert N2O")</f>
        <v>5.1.1.1-2 Inorganic fert N2O</v>
      </c>
      <c r="D38" s="19" t="str" cm="1">
        <f t="array" ref="D38">Common_InputFunctions.Utility_DisplayArrayInTable(Common_SourceData.Common_SourceData_GWP_Data(), Table_GWPData[[#Headers],[Gas]], 0)</f>
        <v>CH4</v>
      </c>
      <c r="E38" s="19" cm="1">
        <f t="array" ref="E38">Common_InputFunctions.Utility_DisplayArrayInTable(Common_SourceData.Common_SourceData_GWP_Data(), Table_GWPData[[#Headers],[Gas]], 0)</f>
        <v>28</v>
      </c>
    </row>
    <row r="39" spans="1:8" ht="20.100000000000001" customHeight="1" x14ac:dyDescent="0.2">
      <c r="A39" s="5" t="str">
        <f>HYPERLINK("#'5.1.1.3-4 Inorganic fert CO2'!A1", "5.1.1.3-4 Inorganic fert CO2")</f>
        <v>5.1.1.3-4 Inorganic fert CO2</v>
      </c>
      <c r="D39" s="19" t="str" cm="1">
        <f t="array" ref="D39">Common_InputFunctions.Utility_DisplayArrayInTable(Common_SourceData.Common_SourceData_GWP_Data(), Table_GWPData[[#Headers],[Gas]], 0)</f>
        <v>N2O</v>
      </c>
      <c r="E39" s="19" cm="1">
        <f t="array" ref="E39">Common_InputFunctions.Utility_DisplayArrayInTable(Common_SourceData.Common_SourceData_GWP_Data(), Table_GWPData[[#Headers],[Gas]], 0)</f>
        <v>265</v>
      </c>
    </row>
    <row r="40" spans="1:8" ht="20.100000000000001" customHeight="1" x14ac:dyDescent="0.2">
      <c r="A40" s="5" t="str">
        <f>HYPERLINK("#'5.2.1.1-2 Organic Fert N2O'!A1", "5.2.1.1-2 Organic Fert N2O")</f>
        <v>5.2.1.1-2 Organic Fert N2O</v>
      </c>
      <c r="D40" s="19" t="str" cm="1">
        <f t="array" ref="D40">Common_InputFunctions.Utility_DisplayArrayInTable(Common_SourceData.Common_SourceData_GWP_Data(), Table_GWPData[[#Headers],[Gas]], 0)</f>
        <v>CF4</v>
      </c>
      <c r="E40" s="19" cm="1">
        <f t="array" ref="E40">Common_InputFunctions.Utility_DisplayArrayInTable(Common_SourceData.Common_SourceData_GWP_Data(), Table_GWPData[[#Headers],[Gas]], 0)</f>
        <v>6630</v>
      </c>
    </row>
    <row r="41" spans="1:8" ht="20.100000000000001" customHeight="1" x14ac:dyDescent="0.2">
      <c r="A41" s="5" t="str">
        <f>HYPERLINK("#'5.3.1.1-2 Lime CO2'!A1", "5.3.1.1-2 Lime CO2")</f>
        <v>5.3.1.1-2 Lime CO2</v>
      </c>
      <c r="D41" s="19" t="str" cm="1">
        <f t="array" ref="D41">Common_InputFunctions.Utility_DisplayArrayInTable(Common_SourceData.Common_SourceData_GWP_Data(), Table_GWPData[[#Headers],[Gas]], 0)</f>
        <v>C2F6</v>
      </c>
      <c r="E41" s="19" cm="1">
        <f t="array" ref="E41">Common_InputFunctions.Utility_DisplayArrayInTable(Common_SourceData.Common_SourceData_GWP_Data(), Table_GWPData[[#Headers],[Gas]], 0)</f>
        <v>12200</v>
      </c>
    </row>
    <row r="42" spans="1:8" ht="20.100000000000001" customHeight="1" x14ac:dyDescent="0.2">
      <c r="A42" s="5" t="str">
        <f>HYPERLINK("#'5.4.1.1-4 Atmos deposition'!A1", "5.4.1.1-4 Atmos deposition")</f>
        <v>5.4.1.1-4 Atmos deposition</v>
      </c>
      <c r="D42" s="19" t="str" cm="1">
        <f t="array" ref="D42">Common_InputFunctions.Utility_DisplayArrayInTable(Common_SourceData.Common_SourceData_GWP_Data(), Table_GWPData[[#Headers],[Gas]], 0)</f>
        <v>SF6</v>
      </c>
      <c r="E42" s="19" cm="1">
        <f t="array" ref="E42">Common_InputFunctions.Utility_DisplayArrayInTable(Common_SourceData.Common_SourceData_GWP_Data(), Table_GWPData[[#Headers],[Gas]], 0)</f>
        <v>22800</v>
      </c>
    </row>
    <row r="43" spans="1:8" ht="20.100000000000001" customHeight="1" x14ac:dyDescent="0.2">
      <c r="A43" s="5" t="str">
        <f>HYPERLINK("#'5.5.1.1-2 Leaching and runoff'!A1", "5.5.1.1-2 Leaching and runoff")</f>
        <v>5.5.1.1-2 Leaching and runoff</v>
      </c>
      <c r="D43" s="19" t="str" cm="1">
        <f t="array" ref="D43">Common_InputFunctions.Utility_DisplayArrayInTable(Common_SourceData.Common_SourceData_GWP_Data(), Table_GWPData[[#Headers],[Gas]], 0)</f>
        <v>NF3</v>
      </c>
      <c r="E43" s="19" cm="1">
        <f t="array" ref="E43">Common_InputFunctions.Utility_DisplayArrayInTable(Common_SourceData.Common_SourceData_GWP_Data(), Table_GWPData[[#Headers],[Gas]], 0)</f>
        <v>17200</v>
      </c>
    </row>
    <row r="44" spans="1:8" ht="20.100000000000001" customHeight="1" x14ac:dyDescent="0.2">
      <c r="A44"/>
    </row>
    <row r="45" spans="1:8" ht="20.100000000000001" customHeight="1" x14ac:dyDescent="0.2">
      <c r="A45"/>
      <c r="D45" s="2" t="str" cm="1">
        <f t="array" ref="D45">Common_SourceData.Common_SourceData_ConvertGasElementalToMolecular_Title()</f>
        <v>Factor to convert elemental mass of gas to molecular mass</v>
      </c>
    </row>
    <row r="46" spans="1:8" ht="20.100000000000001" customHeight="1" x14ac:dyDescent="0.2">
      <c r="A46" s="80" t="s">
        <v>1</v>
      </c>
      <c r="D46" s="17" t="str" cm="1">
        <f t="array" ref="D46">Common_SourceData.Common_SourceData_ConvertGasElementalToMolecular_Source()</f>
        <v>XXXXXXX</v>
      </c>
    </row>
    <row r="47" spans="1:8" ht="20.100000000000001" customHeight="1" x14ac:dyDescent="0.2">
      <c r="A47" s="5" t="str">
        <f>HYPERLINK("#'Constants - Feedlot'!A1", "Constants - Feedlot")</f>
        <v>Constants - Feedlot</v>
      </c>
      <c r="D47" s="19" t="s">
        <v>25</v>
      </c>
      <c r="E47" s="19" t="s">
        <v>27</v>
      </c>
      <c r="F47" s="19" t="s">
        <v>28</v>
      </c>
      <c r="G47" s="19" t="s">
        <v>29</v>
      </c>
      <c r="H47" s="19" t="s">
        <v>30</v>
      </c>
    </row>
    <row r="48" spans="1:8" ht="20.100000000000001" customHeight="1" x14ac:dyDescent="0.2">
      <c r="A48" s="5" t="str">
        <f>HYPERLINK("#'Constants - Common livestock'!A1", "Constants - Common Livestock")</f>
        <v>Constants - Common Livestock</v>
      </c>
      <c r="D48" s="19" t="str" cm="1">
        <f t="array" ref="D48">Common_InputFunctions.Utility_DisplayArrayInTable(Common_SourceData.Common_SourceData_ConvertGasElementalToMolecular_Data(),Table_GasToMolecularConversionFactor[[#Headers],[Gas]], 0)</f>
        <v>CO2</v>
      </c>
      <c r="E48" s="19" t="str" cm="1">
        <f t="array" ref="E48">Common_InputFunctions.Utility_DisplayArrayInTable(Common_SourceData.Common_SourceData_ConvertGasElementalToMolecular_Data(),Table_GasToMolecularConversionFactor[[#Headers],[Gas]], 0)</f>
        <v>44/12</v>
      </c>
      <c r="F48" s="19" cm="1">
        <f t="array" ref="F48">Common_InputFunctions.Utility_DisplayArrayInTable(Common_SourceData.Common_SourceData_ConvertGasElementalToMolecular_Data(),Table_GasToMolecularConversionFactor[[#Headers],[Gas]], 0)</f>
        <v>44</v>
      </c>
      <c r="G48" s="19" cm="1">
        <f t="array" ref="G48">Common_InputFunctions.Utility_DisplayArrayInTable(Common_SourceData.Common_SourceData_ConvertGasElementalToMolecular_Data(),Table_GasToMolecularConversionFactor[[#Headers],[Gas]], 0)</f>
        <v>12</v>
      </c>
      <c r="H48" s="19">
        <f>Table_GasToMolecularConversionFactor[[#This Row],[Conversion factor 1]]/Table_GasToMolecularConversionFactor[[#This Row],[Conversion factor 2]]</f>
        <v>3.6666666666666665</v>
      </c>
    </row>
    <row r="49" spans="1:8" ht="20.100000000000001" customHeight="1" x14ac:dyDescent="0.2">
      <c r="A49" s="5" t="str">
        <f>HYPERLINK("#'Constants - Electricity'!A1", "Constants - Electricity")</f>
        <v>Constants - Electricity</v>
      </c>
      <c r="D49" s="19" t="str" cm="1">
        <f t="array" ref="D49">Common_InputFunctions.Utility_DisplayArrayInTable(Common_SourceData.Common_SourceData_ConvertGasElementalToMolecular_Data(),Table_GasToMolecularConversionFactor[[#Headers],[Gas]], 0)</f>
        <v>CH4</v>
      </c>
      <c r="E49" s="19" t="str" cm="1">
        <f t="array" ref="E49">Common_InputFunctions.Utility_DisplayArrayInTable(Common_SourceData.Common_SourceData_ConvertGasElementalToMolecular_Data(),Table_GasToMolecularConversionFactor[[#Headers],[Gas]], 0)</f>
        <v>16/12</v>
      </c>
      <c r="F49" s="19" cm="1">
        <f t="array" ref="F49">Common_InputFunctions.Utility_DisplayArrayInTable(Common_SourceData.Common_SourceData_ConvertGasElementalToMolecular_Data(),Table_GasToMolecularConversionFactor[[#Headers],[Gas]], 0)</f>
        <v>16</v>
      </c>
      <c r="G49" s="19" cm="1">
        <f t="array" ref="G49">Common_InputFunctions.Utility_DisplayArrayInTable(Common_SourceData.Common_SourceData_ConvertGasElementalToMolecular_Data(),Table_GasToMolecularConversionFactor[[#Headers],[Gas]], 0)</f>
        <v>12</v>
      </c>
      <c r="H49" s="19">
        <f>Table_GasToMolecularConversionFactor[[#This Row],[Conversion factor 1]]/Table_GasToMolecularConversionFactor[[#This Row],[Conversion factor 2]]</f>
        <v>1.3333333333333333</v>
      </c>
    </row>
    <row r="50" spans="1:8" ht="20.100000000000001" customHeight="1" x14ac:dyDescent="0.2">
      <c r="A50" s="5" t="str">
        <f>HYPERLINK("#'Constants - Fertiliser'!A1", "Constants - Fertiliser")</f>
        <v>Constants - Fertiliser</v>
      </c>
      <c r="D50" s="19" t="str" cm="1">
        <f t="array" ref="D50">Common_InputFunctions.Utility_DisplayArrayInTable(Common_SourceData.Common_SourceData_ConvertGasElementalToMolecular_Data(),Table_GasToMolecularConversionFactor[[#Headers],[Gas]], 0)</f>
        <v>N2O</v>
      </c>
      <c r="E50" s="19" t="str" cm="1">
        <f t="array" ref="E50">Common_InputFunctions.Utility_DisplayArrayInTable(Common_SourceData.Common_SourceData_ConvertGasElementalToMolecular_Data(),Table_GasToMolecularConversionFactor[[#Headers],[Gas]], 0)</f>
        <v>44/28</v>
      </c>
      <c r="F50" s="19" cm="1">
        <f t="array" ref="F50">Common_InputFunctions.Utility_DisplayArrayInTable(Common_SourceData.Common_SourceData_ConvertGasElementalToMolecular_Data(),Table_GasToMolecularConversionFactor[[#Headers],[Gas]], 0)</f>
        <v>44</v>
      </c>
      <c r="G50" s="19" cm="1">
        <f t="array" ref="G50">Common_InputFunctions.Utility_DisplayArrayInTable(Common_SourceData.Common_SourceData_ConvertGasElementalToMolecular_Data(),Table_GasToMolecularConversionFactor[[#Headers],[Gas]], 0)</f>
        <v>28</v>
      </c>
      <c r="H50" s="19">
        <f>Table_GasToMolecularConversionFactor[[#This Row],[Conversion factor 1]]/Table_GasToMolecularConversionFactor[[#This Row],[Conversion factor 2]]</f>
        <v>1.5714285714285714</v>
      </c>
    </row>
    <row r="51" spans="1:8" ht="20.100000000000001" customHeight="1" x14ac:dyDescent="0.2">
      <c r="A51" s="5" t="str">
        <f>HYPERLINK("#'Constants - Fuel'!A1", "Constants - Fuel")</f>
        <v>Constants - Fuel</v>
      </c>
      <c r="D51" s="19" t="str" cm="1">
        <f t="array" ref="D51">Common_InputFunctions.Utility_DisplayArrayInTable(Common_SourceData.Common_SourceData_ConvertGasElementalToMolecular_Data(),Table_GasToMolecularConversionFactor[[#Headers],[Gas]], 0)</f>
        <v>Nox</v>
      </c>
      <c r="E51" s="19" t="str" cm="1">
        <f t="array" ref="E51">Common_InputFunctions.Utility_DisplayArrayInTable(Common_SourceData.Common_SourceData_ConvertGasElementalToMolecular_Data(),Table_GasToMolecularConversionFactor[[#Headers],[Gas]], 0)</f>
        <v>46/14</v>
      </c>
      <c r="F51" s="19" cm="1">
        <f t="array" ref="F51">Common_InputFunctions.Utility_DisplayArrayInTable(Common_SourceData.Common_SourceData_ConvertGasElementalToMolecular_Data(),Table_GasToMolecularConversionFactor[[#Headers],[Gas]], 0)</f>
        <v>46</v>
      </c>
      <c r="G51" s="19" cm="1">
        <f t="array" ref="G51">Common_InputFunctions.Utility_DisplayArrayInTable(Common_SourceData.Common_SourceData_ConvertGasElementalToMolecular_Data(),Table_GasToMolecularConversionFactor[[#Headers],[Gas]], 0)</f>
        <v>14</v>
      </c>
      <c r="H51" s="19">
        <f>Table_GasToMolecularConversionFactor[[#This Row],[Conversion factor 1]]/Table_GasToMolecularConversionFactor[[#This Row],[Conversion factor 2]]</f>
        <v>3.2857142857142856</v>
      </c>
    </row>
    <row r="52" spans="1:8" ht="20.100000000000001" customHeight="1" x14ac:dyDescent="0.2">
      <c r="A52" s="5" t="str">
        <f>HYPERLINK("#'Constants - Scope 3'!A1", "Constants - Scope 3")</f>
        <v>Constants - Scope 3</v>
      </c>
      <c r="D52" s="19" t="str" cm="1">
        <f t="array" ref="D52">Common_InputFunctions.Utility_DisplayArrayInTable(Common_SourceData.Common_SourceData_ConvertGasElementalToMolecular_Data(),Table_GasToMolecularConversionFactor[[#Headers],[Gas]], 0)</f>
        <v>CO</v>
      </c>
      <c r="E52" s="19" t="str" cm="1">
        <f t="array" ref="E52">Common_InputFunctions.Utility_DisplayArrayInTable(Common_SourceData.Common_SourceData_ConvertGasElementalToMolecular_Data(),Table_GasToMolecularConversionFactor[[#Headers],[Gas]], 0)</f>
        <v>28/12</v>
      </c>
      <c r="F52" s="19" cm="1">
        <f t="array" ref="F52">Common_InputFunctions.Utility_DisplayArrayInTable(Common_SourceData.Common_SourceData_ConvertGasElementalToMolecular_Data(),Table_GasToMolecularConversionFactor[[#Headers],[Gas]], 0)</f>
        <v>28</v>
      </c>
      <c r="G52" s="19" cm="1">
        <f t="array" ref="G52">Common_InputFunctions.Utility_DisplayArrayInTable(Common_SourceData.Common_SourceData_ConvertGasElementalToMolecular_Data(),Table_GasToMolecularConversionFactor[[#Headers],[Gas]], 0)</f>
        <v>12</v>
      </c>
      <c r="H52" s="19">
        <f>Table_GasToMolecularConversionFactor[[#This Row],[Conversion factor 1]]/Table_GasToMolecularConversionFactor[[#This Row],[Conversion factor 2]]</f>
        <v>2.3333333333333335</v>
      </c>
    </row>
    <row r="53" spans="1:8" ht="20.100000000000001" customHeight="1" x14ac:dyDescent="0.2">
      <c r="A53" s="5" t="str">
        <f>HYPERLINK("#'Constants - Solid Waste'!A1", "Constants - Solid Waste")</f>
        <v>Constants - Solid Waste</v>
      </c>
      <c r="D53" s="19" t="str" cm="1">
        <f t="array" ref="D53">Common_InputFunctions.Utility_DisplayArrayInTable(Common_SourceData.Common_SourceData_ConvertGasElementalToMolecular_Data(),Table_GasToMolecularConversionFactor[[#Headers],[Gas]], 0)</f>
        <v>CO2 Lime</v>
      </c>
      <c r="E53" s="19" t="str" cm="1">
        <f t="array" ref="E53">Common_InputFunctions.Utility_DisplayArrayInTable(Common_SourceData.Common_SourceData_ConvertGasElementalToMolecular_Data(),Table_GasToMolecularConversionFactor[[#Headers],[Gas]], 0)</f>
        <v>44/12</v>
      </c>
      <c r="F53" s="19" cm="1">
        <f t="array" ref="F53">Common_InputFunctions.Utility_DisplayArrayInTable(Common_SourceData.Common_SourceData_ConvertGasElementalToMolecular_Data(),Table_GasToMolecularConversionFactor[[#Headers],[Gas]], 0)</f>
        <v>44</v>
      </c>
      <c r="G53" s="19" cm="1">
        <f t="array" ref="G53">Common_InputFunctions.Utility_DisplayArrayInTable(Common_SourceData.Common_SourceData_ConvertGasElementalToMolecular_Data(),Table_GasToMolecularConversionFactor[[#Headers],[Gas]], 0)</f>
        <v>12</v>
      </c>
      <c r="H53" s="19">
        <f>Table_GasToMolecularConversionFactor[[#This Row],[Conversion factor 1]]/Table_GasToMolecularConversionFactor[[#This Row],[Conversion factor 2]]</f>
        <v>3.6666666666666665</v>
      </c>
    </row>
    <row r="54" spans="1:8" ht="20.100000000000001" customHeight="1" x14ac:dyDescent="0.2">
      <c r="A54" s="81" t="str">
        <f>HYPERLINK("#'Constants - Common'!A1", "Constants - Common")</f>
        <v>Constants - Common</v>
      </c>
      <c r="D54" s="19" t="str" cm="1">
        <f t="array" ref="D54">Common_InputFunctions.Utility_DisplayArrayInTable(Common_SourceData.Common_SourceData_ConvertGasElementalToMolecular_Data(),Table_GasToMolecularConversionFactor[[#Headers],[Gas]], 0)</f>
        <v>NMVOC</v>
      </c>
      <c r="E54" s="19" t="str" cm="1">
        <f t="array" ref="E54">Common_InputFunctions.Utility_DisplayArrayInTable(Common_SourceData.Common_SourceData_ConvertGasElementalToMolecular_Data(),Table_GasToMolecularConversionFactor[[#Headers],[Gas]], 0)</f>
        <v>14/12</v>
      </c>
      <c r="F54" s="19" cm="1">
        <f t="array" ref="F54">Common_InputFunctions.Utility_DisplayArrayInTable(Common_SourceData.Common_SourceData_ConvertGasElementalToMolecular_Data(),Table_GasToMolecularConversionFactor[[#Headers],[Gas]], 0)</f>
        <v>14</v>
      </c>
      <c r="G54" s="19" cm="1">
        <f t="array" ref="G54">Common_InputFunctions.Utility_DisplayArrayInTable(Common_SourceData.Common_SourceData_ConvertGasElementalToMolecular_Data(),Table_GasToMolecularConversionFactor[[#Headers],[Gas]], 0)</f>
        <v>12</v>
      </c>
      <c r="H54" s="19">
        <f>Table_GasToMolecularConversionFactor[[#This Row],[Conversion factor 1]]/Table_GasToMolecularConversionFactor[[#This Row],[Conversion factor 2]]</f>
        <v>1.1666666666666667</v>
      </c>
    </row>
    <row r="55" spans="1:8" ht="20.100000000000001" customHeight="1" x14ac:dyDescent="0.2">
      <c r="A55" s="5" t="str">
        <f>HYPERLINK("#'Acknowledgements'!A1", "Acknowledgements")</f>
        <v>Acknowledgements</v>
      </c>
    </row>
    <row r="56" spans="1:8" ht="20.100000000000001" customHeight="1" x14ac:dyDescent="0.2">
      <c r="A56"/>
    </row>
    <row r="57" spans="1:8" ht="20.100000000000001" customHeight="1" x14ac:dyDescent="0.2">
      <c r="A57"/>
      <c r="D57" s="2" t="str" cm="1">
        <f t="array" ref="D57">Common_SourceData.Common_SourceData_WetAndDryZones_Title()</f>
        <v>VEERG Australian wet and dry zones</v>
      </c>
    </row>
    <row r="58" spans="1:8" ht="20.100000000000001" customHeight="1" x14ac:dyDescent="0.2">
      <c r="A58"/>
      <c r="D58" s="17" t="str" cm="1">
        <f t="array" ref="D58">Common_SourceData.Common_SourceData_WetAndDryZones_Source()</f>
        <v>VEERG 2026: Table 1.2: Translating climate zones to wet and dry zones</v>
      </c>
    </row>
    <row r="59" spans="1:8" ht="20.100000000000001" customHeight="1" x14ac:dyDescent="0.2">
      <c r="A59"/>
      <c r="D59" s="25" t="str" cm="1">
        <f t="array" ref="D59:D61">"⚠️" &amp; Common_SourceData.Common_SourceData_WetAndDryZones_Variation()</f>
        <v>⚠️VARIATION OF SOURCE DATA:</v>
      </c>
    </row>
    <row r="60" spans="1:8" ht="20.100000000000001" customHeight="1" x14ac:dyDescent="0.2">
      <c r="A60"/>
      <c r="D60" s="25" t="str">
        <v>⚠️Added warm / cool temperate moist / dry - low frost and high temp classes to accommodate climate scenarios excluded by VEERG criteria.</v>
      </c>
    </row>
    <row r="61" spans="1:8" ht="20.100000000000001" customHeight="1" x14ac:dyDescent="0.2">
      <c r="A61"/>
      <c r="D61" s="25" t="str">
        <v>⚠️Fixed typo - Changed 'Fry' to 'Dry'.</v>
      </c>
    </row>
    <row r="62" spans="1:8" ht="20.100000000000001" customHeight="1" x14ac:dyDescent="0.2">
      <c r="A62"/>
    </row>
    <row r="63" spans="1:8" ht="20.100000000000001" customHeight="1" x14ac:dyDescent="0.2">
      <c r="A63"/>
      <c r="D63" s="19" t="s">
        <v>31</v>
      </c>
      <c r="E63" s="19" t="s">
        <v>32</v>
      </c>
    </row>
    <row r="64" spans="1:8" ht="20.100000000000001" customHeight="1" x14ac:dyDescent="0.2">
      <c r="A64"/>
      <c r="D64" s="19" t="str" cm="1">
        <f t="array" ref="D64">Common_InputFunctions.Utility_DisplayArrayInTable(Common_SourceData.Common_SourceData_WetAndDryZones_Data(), Table_SourceData_WetDryZones[[#Headers],[Climate zone]], 0)</f>
        <v>Tropical montane</v>
      </c>
      <c r="E64" s="19" t="str" cm="1">
        <f t="array" ref="E64">Common_InputFunctions.Utility_DisplayArrayInTable(Common_SourceData.Common_SourceData_WetAndDryZones_Data(), Table_SourceData_WetDryZones[[#Headers],[Climate zone]], 0)</f>
        <v>Wet climate zone</v>
      </c>
    </row>
    <row r="65" spans="1:5" ht="20.100000000000001" customHeight="1" x14ac:dyDescent="0.2">
      <c r="A65"/>
      <c r="D65" s="19" t="str" cm="1">
        <f t="array" ref="D65">Common_InputFunctions.Utility_DisplayArrayInTable(Common_SourceData.Common_SourceData_WetAndDryZones_Data(), Table_SourceData_WetDryZones[[#Headers],[Climate zone]], 0)</f>
        <v>Tropical wet</v>
      </c>
      <c r="E65" s="19" t="str" cm="1">
        <f t="array" ref="E65">Common_InputFunctions.Utility_DisplayArrayInTable(Common_SourceData.Common_SourceData_WetAndDryZones_Data(), Table_SourceData_WetDryZones[[#Headers],[Climate zone]], 0)</f>
        <v>Wet climate zone</v>
      </c>
    </row>
    <row r="66" spans="1:5" ht="20.100000000000001" customHeight="1" x14ac:dyDescent="0.2">
      <c r="A66" s="79" t="str">
        <f>HYPERLINK("#A1", "▲ Back to top")</f>
        <v>▲ Back to top</v>
      </c>
      <c r="D66" s="19" t="str" cm="1">
        <f t="array" ref="D66">Common_InputFunctions.Utility_DisplayArrayInTable(Common_SourceData.Common_SourceData_WetAndDryZones_Data(), Table_SourceData_WetDryZones[[#Headers],[Climate zone]], 0)</f>
        <v>Tropical moist</v>
      </c>
      <c r="E66" s="19" t="str" cm="1">
        <f t="array" ref="E66">Common_InputFunctions.Utility_DisplayArrayInTable(Common_SourceData.Common_SourceData_WetAndDryZones_Data(), Table_SourceData_WetDryZones[[#Headers],[Climate zone]], 0)</f>
        <v>Wet climate zone</v>
      </c>
    </row>
    <row r="67" spans="1:5" ht="20.100000000000001" customHeight="1" x14ac:dyDescent="0.2">
      <c r="A67"/>
      <c r="D67" s="19" t="str" cm="1">
        <f t="array" ref="D67">Common_InputFunctions.Utility_DisplayArrayInTable(Common_SourceData.Common_SourceData_WetAndDryZones_Data(), Table_SourceData_WetDryZones[[#Headers],[Climate zone]], 0)</f>
        <v>Tropical dry</v>
      </c>
      <c r="E67" s="19" t="str" cm="1">
        <f t="array" ref="E67">Common_InputFunctions.Utility_DisplayArrayInTable(Common_SourceData.Common_SourceData_WetAndDryZones_Data(), Table_SourceData_WetDryZones[[#Headers],[Climate zone]], 0)</f>
        <v>Dry climate zone</v>
      </c>
    </row>
    <row r="68" spans="1:5" ht="20.100000000000001" customHeight="1" x14ac:dyDescent="0.2">
      <c r="A68"/>
      <c r="D68" s="19" t="str" cm="1">
        <f t="array" ref="D68">Common_InputFunctions.Utility_DisplayArrayInTable(Common_SourceData.Common_SourceData_WetAndDryZones_Data(), Table_SourceData_WetDryZones[[#Headers],[Climate zone]], 0)</f>
        <v>Warm temperate moist</v>
      </c>
      <c r="E68" s="19" t="str" cm="1">
        <f t="array" ref="E68">Common_InputFunctions.Utility_DisplayArrayInTable(Common_SourceData.Common_SourceData_WetAndDryZones_Data(), Table_SourceData_WetDryZones[[#Headers],[Climate zone]], 0)</f>
        <v>Wet climate zone</v>
      </c>
    </row>
    <row r="69" spans="1:5" ht="20.100000000000001" customHeight="1" x14ac:dyDescent="0.2">
      <c r="A69"/>
      <c r="D69" s="19" t="str" cm="1">
        <f t="array" ref="D69">Common_InputFunctions.Utility_DisplayArrayInTable(Common_SourceData.Common_SourceData_WetAndDryZones_Data(), Table_SourceData_WetDryZones[[#Headers],[Climate zone]], 0)</f>
        <v>Warm temperate dry</v>
      </c>
      <c r="E69" s="19" t="str" cm="1">
        <f t="array" ref="E69">Common_InputFunctions.Utility_DisplayArrayInTable(Common_SourceData.Common_SourceData_WetAndDryZones_Data(), Table_SourceData_WetDryZones[[#Headers],[Climate zone]], 0)</f>
        <v>Dry climate zone</v>
      </c>
    </row>
    <row r="70" spans="1:5" ht="20.100000000000001" customHeight="1" x14ac:dyDescent="0.2">
      <c r="A70"/>
      <c r="D70" s="19" t="str" cm="1">
        <f t="array" ref="D70">Common_InputFunctions.Utility_DisplayArrayInTable(Common_SourceData.Common_SourceData_WetAndDryZones_Data(), Table_SourceData_WetDryZones[[#Headers],[Climate zone]], 0)</f>
        <v>Cool temperate moist</v>
      </c>
      <c r="E70" s="19" t="str" cm="1">
        <f t="array" ref="E70">Common_InputFunctions.Utility_DisplayArrayInTable(Common_SourceData.Common_SourceData_WetAndDryZones_Data(), Table_SourceData_WetDryZones[[#Headers],[Climate zone]], 0)</f>
        <v>Wet climate zone</v>
      </c>
    </row>
    <row r="71" spans="1:5" ht="20.100000000000001" customHeight="1" x14ac:dyDescent="0.2">
      <c r="A71"/>
      <c r="D71" s="19" t="str" cm="1">
        <f t="array" ref="D71">Common_InputFunctions.Utility_DisplayArrayInTable(Common_SourceData.Common_SourceData_WetAndDryZones_Data(), Table_SourceData_WetDryZones[[#Headers],[Climate zone]], 0)</f>
        <v>Cool temperate dry</v>
      </c>
      <c r="E71" s="19" t="str" cm="1">
        <f t="array" ref="E71">Common_InputFunctions.Utility_DisplayArrayInTable(Common_SourceData.Common_SourceData_WetAndDryZones_Data(), Table_SourceData_WetDryZones[[#Headers],[Climate zone]], 0)</f>
        <v>Dry climate zone</v>
      </c>
    </row>
    <row r="72" spans="1:5" ht="20.100000000000001" customHeight="1" x14ac:dyDescent="0.2">
      <c r="A72"/>
      <c r="D72" s="19" t="str" cm="1">
        <f t="array" ref="D72">Common_InputFunctions.Utility_DisplayArrayInTable(Common_SourceData.Common_SourceData_WetAndDryZones_Data(), Table_SourceData_WetDryZones[[#Headers],[Climate zone]], 0)</f>
        <v>Warm temperate moist - low frost</v>
      </c>
      <c r="E72" s="19" t="str" cm="1">
        <f t="array" ref="E72">Common_InputFunctions.Utility_DisplayArrayInTable(Common_SourceData.Common_SourceData_WetAndDryZones_Data(), Table_SourceData_WetDryZones[[#Headers],[Climate zone]], 0)</f>
        <v>Wet climate zone</v>
      </c>
    </row>
    <row r="73" spans="1:5" ht="20.100000000000001" customHeight="1" x14ac:dyDescent="0.2">
      <c r="A73"/>
      <c r="D73" s="19" t="str" cm="1">
        <f t="array" ref="D73">Common_InputFunctions.Utility_DisplayArrayInTable(Common_SourceData.Common_SourceData_WetAndDryZones_Data(), Table_SourceData_WetDryZones[[#Headers],[Climate zone]], 0)</f>
        <v>Warm temperate dry - low frost</v>
      </c>
      <c r="E73" s="19" t="str" cm="1">
        <f t="array" ref="E73">Common_InputFunctions.Utility_DisplayArrayInTable(Common_SourceData.Common_SourceData_WetAndDryZones_Data(), Table_SourceData_WetDryZones[[#Headers],[Climate zone]], 0)</f>
        <v>Dry climate zone</v>
      </c>
    </row>
    <row r="74" spans="1:5" ht="20.100000000000001" customHeight="1" x14ac:dyDescent="0.2">
      <c r="A74"/>
      <c r="D74" s="19" t="str" cm="1">
        <f t="array" ref="D74">Common_InputFunctions.Utility_DisplayArrayInTable(Common_SourceData.Common_SourceData_WetAndDryZones_Data(), Table_SourceData_WetDryZones[[#Headers],[Climate zone]], 0)</f>
        <v>Warm temperate moist - high temp</v>
      </c>
      <c r="E74" s="19" t="str" cm="1">
        <f t="array" ref="E74">Common_InputFunctions.Utility_DisplayArrayInTable(Common_SourceData.Common_SourceData_WetAndDryZones_Data(), Table_SourceData_WetDryZones[[#Headers],[Climate zone]], 0)</f>
        <v>Wet climate zone</v>
      </c>
    </row>
    <row r="75" spans="1:5" ht="20.100000000000001" customHeight="1" x14ac:dyDescent="0.2">
      <c r="A75"/>
      <c r="D75" s="19" t="str" cm="1">
        <f t="array" ref="D75">Common_InputFunctions.Utility_DisplayArrayInTable(Common_SourceData.Common_SourceData_WetAndDryZones_Data(), Table_SourceData_WetDryZones[[#Headers],[Climate zone]], 0)</f>
        <v>Warm temperate dry - high temp</v>
      </c>
      <c r="E75" s="19" t="str" cm="1">
        <f t="array" ref="E75">Common_InputFunctions.Utility_DisplayArrayInTable(Common_SourceData.Common_SourceData_WetAndDryZones_Data(), Table_SourceData_WetDryZones[[#Headers],[Climate zone]], 0)</f>
        <v>Dry climate zone</v>
      </c>
    </row>
    <row r="76" spans="1:5" ht="20.100000000000001" customHeight="1" x14ac:dyDescent="0.2">
      <c r="A76"/>
      <c r="D76" s="19" t="str" cm="1">
        <f t="array" ref="D76">Common_InputFunctions.Utility_DisplayArrayInTable(Common_SourceData.Common_SourceData_WetAndDryZones_Data(), Table_SourceData_WetDryZones[[#Headers],[Climate zone]], 0)</f>
        <v>Cool temperate moist - low frost</v>
      </c>
      <c r="E76" s="19" t="str" cm="1">
        <f t="array" ref="E76">Common_InputFunctions.Utility_DisplayArrayInTable(Common_SourceData.Common_SourceData_WetAndDryZones_Data(), Table_SourceData_WetDryZones[[#Headers],[Climate zone]], 0)</f>
        <v>Wet climate zone</v>
      </c>
    </row>
    <row r="77" spans="1:5" ht="20.100000000000001" customHeight="1" x14ac:dyDescent="0.2">
      <c r="A77"/>
      <c r="D77" s="19" t="str" cm="1">
        <f t="array" ref="D77">Common_InputFunctions.Utility_DisplayArrayInTable(Common_SourceData.Common_SourceData_WetAndDryZones_Data(), Table_SourceData_WetDryZones[[#Headers],[Climate zone]], 0)</f>
        <v>Cool temperate dry - low frost</v>
      </c>
      <c r="E77" s="19" t="str" cm="1">
        <f t="array" ref="E77">Common_InputFunctions.Utility_DisplayArrayInTable(Common_SourceData.Common_SourceData_WetAndDryZones_Data(), Table_SourceData_WetDryZones[[#Headers],[Climate zone]], 0)</f>
        <v>Dry climate zone</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tr" cm="1">
        <f t="array" ref="D81">Common_SourceData.Common_SourceData_ClimateZones_Title()</f>
        <v>VEERG Australian climate zones</v>
      </c>
    </row>
    <row r="82" spans="1:20" ht="20.100000000000001" customHeight="1" x14ac:dyDescent="0.2">
      <c r="A82"/>
      <c r="D82" s="17" t="str" cm="1">
        <f t="array" ref="D82">Common_SourceData.Common_SourceData_ClimateZones_Source()</f>
        <v>VEERG 2026: Table 1.3: Climate and Rainfall zone classifications and definitions</v>
      </c>
    </row>
    <row r="83" spans="1:20" ht="20.100000000000001" customHeight="1" x14ac:dyDescent="0.2">
      <c r="A83"/>
      <c r="D83" s="25" t="str" cm="1">
        <f t="array" ref="D83:D87">"⚠️" &amp; Common_SourceData.Common_SourceData_ClimateZones_Variation()</f>
        <v>⚠️VARIATION OF SOURCE DATA:</v>
      </c>
    </row>
    <row r="84" spans="1:20" ht="20.100000000000001" customHeight="1" x14ac:dyDescent="0.2">
      <c r="A84"/>
      <c r="D84" s="25" t="str">
        <v>⚠️Added warm / cool temperate moist / dry - low frost and high temp classes to accommodate climate scenarios excluded by VEERG criteria.</v>
      </c>
    </row>
    <row r="85" spans="1:20" ht="20.100000000000001" customHeight="1" x14ac:dyDescent="0.2">
      <c r="A85"/>
      <c r="D85" s="25" t="str">
        <v>⚠️Fixed typo in MAT value for warm temperate dry - changed 10 to 11.</v>
      </c>
    </row>
    <row r="86" spans="1:20" ht="20.100000000000001" customHeight="1" x14ac:dyDescent="0.2">
      <c r="A86"/>
      <c r="D86" s="25" t="str">
        <v>⚠️Added min and max columns for MAT, MAP, frost days per year, elevation, MAP:PET to calculate zones from real climate data.</v>
      </c>
    </row>
    <row r="87" spans="1:20" ht="20.100000000000001" customHeight="1" x14ac:dyDescent="0.2">
      <c r="A87"/>
      <c r="D87" s="25" t="str">
        <v>⚠️GAF accepts rainfall as a proxy for precipitation.</v>
      </c>
    </row>
    <row r="88" spans="1:20" ht="20.100000000000001" customHeight="1" x14ac:dyDescent="0.2">
      <c r="A88"/>
    </row>
    <row r="89" spans="1:20" ht="20.100000000000001" customHeight="1" x14ac:dyDescent="0.2">
      <c r="A89"/>
      <c r="D89" s="19" t="s">
        <v>31</v>
      </c>
      <c r="E89" s="19" t="s">
        <v>33</v>
      </c>
      <c r="F89" s="19" t="s">
        <v>34</v>
      </c>
      <c r="G89" s="19" t="s">
        <v>35</v>
      </c>
      <c r="H89" s="19" t="s">
        <v>36</v>
      </c>
      <c r="I89" s="19" t="s">
        <v>37</v>
      </c>
      <c r="J89" s="19" t="s">
        <v>38</v>
      </c>
      <c r="K89" s="19" t="s">
        <v>39</v>
      </c>
      <c r="L89" s="19" t="s">
        <v>40</v>
      </c>
      <c r="M89" s="19" t="s">
        <v>41</v>
      </c>
      <c r="N89" s="19" t="s">
        <v>42</v>
      </c>
      <c r="O89" s="19" t="s">
        <v>43</v>
      </c>
      <c r="P89" s="19" t="s">
        <v>44</v>
      </c>
      <c r="Q89" s="19" t="s">
        <v>45</v>
      </c>
      <c r="R89" s="19" t="s">
        <v>46</v>
      </c>
      <c r="S89" s="19" t="s">
        <v>47</v>
      </c>
      <c r="T89" s="19"/>
    </row>
    <row r="90" spans="1:20" ht="20.100000000000001" customHeight="1" x14ac:dyDescent="0.2">
      <c r="A90"/>
      <c r="D90" s="19" t="str" cm="1">
        <f t="array" ref="D90">Common_InputFunctions.Utility_DisplayArrayInTable(Common_SourceData.Common_SourceData_ClimateZones_Data(), Table_SourceData_ClimateZones[[#Headers],[Climate zone]], 0)</f>
        <v>Tropical montane</v>
      </c>
      <c r="E90" s="19" t="str" cm="1">
        <f t="array" ref="E90">Common_InputFunctions.Utility_DisplayArrayInTable(Common_SourceData.Common_SourceData_ClimateZones_Data(), Table_SourceData_ClimateZones[[#Headers],[Climate zone]], 0)</f>
        <v>&gt; 18 C</v>
      </c>
      <c r="F90" s="19" t="str" cm="1">
        <f t="array" ref="F90">Common_InputFunctions.Utility_DisplayArrayInTable(Common_SourceData.Common_SourceData_ClimateZones_Data(), Table_SourceData_ClimateZones[[#Headers],[Climate zone]], 0)</f>
        <v>Any</v>
      </c>
      <c r="G90" s="19" t="str" cm="1">
        <f t="array" ref="G90">Common_InputFunctions.Utility_DisplayArrayInTable(Common_SourceData.Common_SourceData_ClimateZones_Data(), Table_SourceData_ClimateZones[[#Headers],[Climate zone]], 0)</f>
        <v>≤ 7</v>
      </c>
      <c r="H90" s="19" t="str" cm="1">
        <f t="array" ref="H90">Common_InputFunctions.Utility_DisplayArrayInTable(Common_SourceData.Common_SourceData_ClimateZones_Data(), Table_SourceData_ClimateZones[[#Headers],[Climate zone]], 0)</f>
        <v>&gt; 1000 m</v>
      </c>
      <c r="I90" s="19" t="str" cm="1">
        <f t="array" ref="I90">Common_InputFunctions.Utility_DisplayArrayInTable(Common_SourceData.Common_SourceData_ClimateZones_Data(), Table_SourceData_ClimateZones[[#Headers],[Climate zone]], 0)</f>
        <v>Any</v>
      </c>
      <c r="J90" s="19" cm="1">
        <f t="array" ref="J90">Common_InputFunctions.Utility_DisplayArrayInTable(Common_SourceData.Common_SourceData_ClimateZones_Data(), Table_SourceData_ClimateZones[[#Headers],[Climate zone]], 0)</f>
        <v>18.001000000000001</v>
      </c>
      <c r="K90" s="19" cm="1">
        <f t="array" ref="K90">Common_InputFunctions.Utility_DisplayArrayInTable(Common_SourceData.Common_SourceData_ClimateZones_Data(), Table_SourceData_ClimateZones[[#Headers],[Climate zone]], 0)</f>
        <v>999999</v>
      </c>
      <c r="L90" s="19" cm="1">
        <f t="array" ref="L90">Common_InputFunctions.Utility_DisplayArrayInTable(Common_SourceData.Common_SourceData_ClimateZones_Data(), Table_SourceData_ClimateZones[[#Headers],[Climate zone]], 0)</f>
        <v>-999999</v>
      </c>
      <c r="M90" s="19" cm="1">
        <f t="array" ref="M90">Common_InputFunctions.Utility_DisplayArrayInTable(Common_SourceData.Common_SourceData_ClimateZones_Data(), Table_SourceData_ClimateZones[[#Headers],[Climate zone]], 0)</f>
        <v>999999</v>
      </c>
      <c r="N90" s="19" cm="1">
        <f t="array" ref="N90">Common_InputFunctions.Utility_DisplayArrayInTable(Common_SourceData.Common_SourceData_ClimateZones_Data(), Table_SourceData_ClimateZones[[#Headers],[Climate zone]], 0)</f>
        <v>-999999</v>
      </c>
      <c r="O90" s="19" cm="1">
        <f t="array" ref="O90">Common_InputFunctions.Utility_DisplayArrayInTable(Common_SourceData.Common_SourceData_ClimateZones_Data(), Table_SourceData_ClimateZones[[#Headers],[Climate zone]], 0)</f>
        <v>7</v>
      </c>
      <c r="P90" s="19" cm="1">
        <f t="array" ref="P90">Common_InputFunctions.Utility_DisplayArrayInTable(Common_SourceData.Common_SourceData_ClimateZones_Data(), Table_SourceData_ClimateZones[[#Headers],[Climate zone]], 0)</f>
        <v>1000</v>
      </c>
      <c r="Q90" s="19" cm="1">
        <f t="array" ref="Q90">Common_InputFunctions.Utility_DisplayArrayInTable(Common_SourceData.Common_SourceData_ClimateZones_Data(), Table_SourceData_ClimateZones[[#Headers],[Climate zone]], 0)</f>
        <v>999999</v>
      </c>
      <c r="R90" s="19" cm="1">
        <f t="array" ref="R90">Common_InputFunctions.Utility_DisplayArrayInTable(Common_SourceData.Common_SourceData_ClimateZones_Data(), Table_SourceData_ClimateZones[[#Headers],[Climate zone]], 0)</f>
        <v>-999999</v>
      </c>
      <c r="S90" s="19" cm="1">
        <f t="array" ref="S90">Common_InputFunctions.Utility_DisplayArrayInTable(Common_SourceData.Common_SourceData_ClimateZones_Data(), Table_SourceData_ClimateZones[[#Headers],[Climate zone]], 0)</f>
        <v>999999</v>
      </c>
      <c r="T90" s="19"/>
    </row>
    <row r="91" spans="1:20" ht="20.100000000000001" customHeight="1" x14ac:dyDescent="0.2">
      <c r="A91"/>
      <c r="D91" s="19" t="str" cm="1">
        <f t="array" ref="D91">Common_InputFunctions.Utility_DisplayArrayInTable(Common_SourceData.Common_SourceData_ClimateZones_Data(), Table_SourceData_ClimateZones[[#Headers],[Climate zone]], 0)</f>
        <v>Tropical wet</v>
      </c>
      <c r="E91" s="19" t="str" cm="1">
        <f t="array" ref="E91">Common_InputFunctions.Utility_DisplayArrayInTable(Common_SourceData.Common_SourceData_ClimateZones_Data(), Table_SourceData_ClimateZones[[#Headers],[Climate zone]], 0)</f>
        <v>&gt; 18 C</v>
      </c>
      <c r="F91" s="19" t="str" cm="1">
        <f t="array" ref="F91">Common_InputFunctions.Utility_DisplayArrayInTable(Common_SourceData.Common_SourceData_ClimateZones_Data(), Table_SourceData_ClimateZones[[#Headers],[Climate zone]], 0)</f>
        <v>&gt; 2000 mm</v>
      </c>
      <c r="G91" s="19" t="str" cm="1">
        <f t="array" ref="G91">Common_InputFunctions.Utility_DisplayArrayInTable(Common_SourceData.Common_SourceData_ClimateZones_Data(), Table_SourceData_ClimateZones[[#Headers],[Climate zone]], 0)</f>
        <v>≤ 7</v>
      </c>
      <c r="H91" s="19" t="str" cm="1">
        <f t="array" ref="H91">Common_InputFunctions.Utility_DisplayArrayInTable(Common_SourceData.Common_SourceData_ClimateZones_Data(), Table_SourceData_ClimateZones[[#Headers],[Climate zone]], 0)</f>
        <v>≤ 1000 m</v>
      </c>
      <c r="I91" s="19" t="str" cm="1">
        <f t="array" ref="I91">Common_InputFunctions.Utility_DisplayArrayInTable(Common_SourceData.Common_SourceData_ClimateZones_Data(), Table_SourceData_ClimateZones[[#Headers],[Climate zone]], 0)</f>
        <v>Any</v>
      </c>
      <c r="J91" s="19" cm="1">
        <f t="array" ref="J91">Common_InputFunctions.Utility_DisplayArrayInTable(Common_SourceData.Common_SourceData_ClimateZones_Data(), Table_SourceData_ClimateZones[[#Headers],[Climate zone]], 0)</f>
        <v>18.001000000000001</v>
      </c>
      <c r="K91" s="19" cm="1">
        <f t="array" ref="K91">Common_InputFunctions.Utility_DisplayArrayInTable(Common_SourceData.Common_SourceData_ClimateZones_Data(), Table_SourceData_ClimateZones[[#Headers],[Climate zone]], 0)</f>
        <v>999999</v>
      </c>
      <c r="L91" s="19" cm="1">
        <f t="array" ref="L91">Common_InputFunctions.Utility_DisplayArrayInTable(Common_SourceData.Common_SourceData_ClimateZones_Data(), Table_SourceData_ClimateZones[[#Headers],[Climate zone]], 0)</f>
        <v>2000.001</v>
      </c>
      <c r="M91" s="19" cm="1">
        <f t="array" ref="M91">Common_InputFunctions.Utility_DisplayArrayInTable(Common_SourceData.Common_SourceData_ClimateZones_Data(), Table_SourceData_ClimateZones[[#Headers],[Climate zone]], 0)</f>
        <v>999999</v>
      </c>
      <c r="N91" s="19" cm="1">
        <f t="array" ref="N91">Common_InputFunctions.Utility_DisplayArrayInTable(Common_SourceData.Common_SourceData_ClimateZones_Data(), Table_SourceData_ClimateZones[[#Headers],[Climate zone]], 0)</f>
        <v>-999999</v>
      </c>
      <c r="O91" s="19" cm="1">
        <f t="array" ref="O91">Common_InputFunctions.Utility_DisplayArrayInTable(Common_SourceData.Common_SourceData_ClimateZones_Data(), Table_SourceData_ClimateZones[[#Headers],[Climate zone]], 0)</f>
        <v>7</v>
      </c>
      <c r="P91" s="19" cm="1">
        <f t="array" ref="P91">Common_InputFunctions.Utility_DisplayArrayInTable(Common_SourceData.Common_SourceData_ClimateZones_Data(), Table_SourceData_ClimateZones[[#Headers],[Climate zone]], 0)</f>
        <v>-999999</v>
      </c>
      <c r="Q91" s="19" cm="1">
        <f t="array" ref="Q91">Common_InputFunctions.Utility_DisplayArrayInTable(Common_SourceData.Common_SourceData_ClimateZones_Data(), Table_SourceData_ClimateZones[[#Headers],[Climate zone]], 0)</f>
        <v>999.99900000000002</v>
      </c>
      <c r="R91" s="19" cm="1">
        <f t="array" ref="R91">Common_InputFunctions.Utility_DisplayArrayInTable(Common_SourceData.Common_SourceData_ClimateZones_Data(), Table_SourceData_ClimateZones[[#Headers],[Climate zone]], 0)</f>
        <v>-999999</v>
      </c>
      <c r="S91" s="19" cm="1">
        <f t="array" ref="S91">Common_InputFunctions.Utility_DisplayArrayInTable(Common_SourceData.Common_SourceData_ClimateZones_Data(), Table_SourceData_ClimateZones[[#Headers],[Climate zone]], 0)</f>
        <v>999999</v>
      </c>
      <c r="T91" s="19"/>
    </row>
    <row r="92" spans="1:20" ht="20.100000000000001" customHeight="1" x14ac:dyDescent="0.2">
      <c r="A92"/>
      <c r="D92" s="19" t="str" cm="1">
        <f t="array" ref="D92">Common_InputFunctions.Utility_DisplayArrayInTable(Common_SourceData.Common_SourceData_ClimateZones_Data(), Table_SourceData_ClimateZones[[#Headers],[Climate zone]], 0)</f>
        <v>Tropical moist</v>
      </c>
      <c r="E92" s="19" t="str" cm="1">
        <f t="array" ref="E92">Common_InputFunctions.Utility_DisplayArrayInTable(Common_SourceData.Common_SourceData_ClimateZones_Data(), Table_SourceData_ClimateZones[[#Headers],[Climate zone]], 0)</f>
        <v>&gt; 18 C</v>
      </c>
      <c r="F92" s="19" t="str" cm="1">
        <f t="array" ref="F92">Common_InputFunctions.Utility_DisplayArrayInTable(Common_SourceData.Common_SourceData_ClimateZones_Data(), Table_SourceData_ClimateZones[[#Headers],[Climate zone]], 0)</f>
        <v>&gt; 1000 mm - ≤ 2000 mm</v>
      </c>
      <c r="G92" s="19" t="str" cm="1">
        <f t="array" ref="G92">Common_InputFunctions.Utility_DisplayArrayInTable(Common_SourceData.Common_SourceData_ClimateZones_Data(), Table_SourceData_ClimateZones[[#Headers],[Climate zone]], 0)</f>
        <v>≤ 7</v>
      </c>
      <c r="H92" s="19" t="str" cm="1">
        <f t="array" ref="H92">Common_InputFunctions.Utility_DisplayArrayInTable(Common_SourceData.Common_SourceData_ClimateZones_Data(), Table_SourceData_ClimateZones[[#Headers],[Climate zone]], 0)</f>
        <v>≤ 1000 m</v>
      </c>
      <c r="I92" s="19" t="str" cm="1">
        <f t="array" ref="I92">Common_InputFunctions.Utility_DisplayArrayInTable(Common_SourceData.Common_SourceData_ClimateZones_Data(), Table_SourceData_ClimateZones[[#Headers],[Climate zone]], 0)</f>
        <v>Any</v>
      </c>
      <c r="J92" s="19" cm="1">
        <f t="array" ref="J92">Common_InputFunctions.Utility_DisplayArrayInTable(Common_SourceData.Common_SourceData_ClimateZones_Data(), Table_SourceData_ClimateZones[[#Headers],[Climate zone]], 0)</f>
        <v>18.001000000000001</v>
      </c>
      <c r="K92" s="19" cm="1">
        <f t="array" ref="K92">Common_InputFunctions.Utility_DisplayArrayInTable(Common_SourceData.Common_SourceData_ClimateZones_Data(), Table_SourceData_ClimateZones[[#Headers],[Climate zone]], 0)</f>
        <v>999999</v>
      </c>
      <c r="L92" s="19" cm="1">
        <f t="array" ref="L92">Common_InputFunctions.Utility_DisplayArrayInTable(Common_SourceData.Common_SourceData_ClimateZones_Data(), Table_SourceData_ClimateZones[[#Headers],[Climate zone]], 0)</f>
        <v>1000.001</v>
      </c>
      <c r="M92" s="19" cm="1">
        <f t="array" ref="M92">Common_InputFunctions.Utility_DisplayArrayInTable(Common_SourceData.Common_SourceData_ClimateZones_Data(), Table_SourceData_ClimateZones[[#Headers],[Climate zone]], 0)</f>
        <v>2000</v>
      </c>
      <c r="N92" s="19" cm="1">
        <f t="array" ref="N92">Common_InputFunctions.Utility_DisplayArrayInTable(Common_SourceData.Common_SourceData_ClimateZones_Data(), Table_SourceData_ClimateZones[[#Headers],[Climate zone]], 0)</f>
        <v>-999999</v>
      </c>
      <c r="O92" s="19" cm="1">
        <f t="array" ref="O92">Common_InputFunctions.Utility_DisplayArrayInTable(Common_SourceData.Common_SourceData_ClimateZones_Data(), Table_SourceData_ClimateZones[[#Headers],[Climate zone]], 0)</f>
        <v>7</v>
      </c>
      <c r="P92" s="19" cm="1">
        <f t="array" ref="P92">Common_InputFunctions.Utility_DisplayArrayInTable(Common_SourceData.Common_SourceData_ClimateZones_Data(), Table_SourceData_ClimateZones[[#Headers],[Climate zone]], 0)</f>
        <v>-999999</v>
      </c>
      <c r="Q92" s="19" cm="1">
        <f t="array" ref="Q92">Common_InputFunctions.Utility_DisplayArrayInTable(Common_SourceData.Common_SourceData_ClimateZones_Data(), Table_SourceData_ClimateZones[[#Headers],[Climate zone]], 0)</f>
        <v>999.99900000000002</v>
      </c>
      <c r="R92" s="19" cm="1">
        <f t="array" ref="R92">Common_InputFunctions.Utility_DisplayArrayInTable(Common_SourceData.Common_SourceData_ClimateZones_Data(), Table_SourceData_ClimateZones[[#Headers],[Climate zone]], 0)</f>
        <v>-999999</v>
      </c>
      <c r="S92" s="19" cm="1">
        <f t="array" ref="S92">Common_InputFunctions.Utility_DisplayArrayInTable(Common_SourceData.Common_SourceData_ClimateZones_Data(), Table_SourceData_ClimateZones[[#Headers],[Climate zone]], 0)</f>
        <v>999999</v>
      </c>
      <c r="T92" s="19"/>
    </row>
    <row r="93" spans="1:20" ht="20.100000000000001" customHeight="1" x14ac:dyDescent="0.2">
      <c r="A93"/>
      <c r="D93" s="19" t="str" cm="1">
        <f t="array" ref="D93">Common_InputFunctions.Utility_DisplayArrayInTable(Common_SourceData.Common_SourceData_ClimateZones_Data(), Table_SourceData_ClimateZones[[#Headers],[Climate zone]], 0)</f>
        <v>Tropical dry</v>
      </c>
      <c r="E93" s="19" t="str" cm="1">
        <f t="array" ref="E93">Common_InputFunctions.Utility_DisplayArrayInTable(Common_SourceData.Common_SourceData_ClimateZones_Data(), Table_SourceData_ClimateZones[[#Headers],[Climate zone]], 0)</f>
        <v>&gt; 18 C</v>
      </c>
      <c r="F93" s="19" t="str" cm="1">
        <f t="array" ref="F93">Common_InputFunctions.Utility_DisplayArrayInTable(Common_SourceData.Common_SourceData_ClimateZones_Data(), Table_SourceData_ClimateZones[[#Headers],[Climate zone]], 0)</f>
        <v>≤ 1000 mm</v>
      </c>
      <c r="G93" s="19" t="str" cm="1">
        <f t="array" ref="G93">Common_InputFunctions.Utility_DisplayArrayInTable(Common_SourceData.Common_SourceData_ClimateZones_Data(), Table_SourceData_ClimateZones[[#Headers],[Climate zone]], 0)</f>
        <v>≤ 7</v>
      </c>
      <c r="H93" s="19" t="str" cm="1">
        <f t="array" ref="H93">Common_InputFunctions.Utility_DisplayArrayInTable(Common_SourceData.Common_SourceData_ClimateZones_Data(), Table_SourceData_ClimateZones[[#Headers],[Climate zone]], 0)</f>
        <v>≤ 1000 m</v>
      </c>
      <c r="I93" s="19" t="str" cm="1">
        <f t="array" ref="I93">Common_InputFunctions.Utility_DisplayArrayInTable(Common_SourceData.Common_SourceData_ClimateZones_Data(), Table_SourceData_ClimateZones[[#Headers],[Climate zone]], 0)</f>
        <v>Any</v>
      </c>
      <c r="J93" s="19" cm="1">
        <f t="array" ref="J93">Common_InputFunctions.Utility_DisplayArrayInTable(Common_SourceData.Common_SourceData_ClimateZones_Data(), Table_SourceData_ClimateZones[[#Headers],[Climate zone]], 0)</f>
        <v>18.001000000000001</v>
      </c>
      <c r="K93" s="19" cm="1">
        <f t="array" ref="K93">Common_InputFunctions.Utility_DisplayArrayInTable(Common_SourceData.Common_SourceData_ClimateZones_Data(), Table_SourceData_ClimateZones[[#Headers],[Climate zone]], 0)</f>
        <v>999999</v>
      </c>
      <c r="L93" s="19" cm="1">
        <f t="array" ref="L93">Common_InputFunctions.Utility_DisplayArrayInTable(Common_SourceData.Common_SourceData_ClimateZones_Data(), Table_SourceData_ClimateZones[[#Headers],[Climate zone]], 0)</f>
        <v>-999999</v>
      </c>
      <c r="M93" s="19" cm="1">
        <f t="array" ref="M93">Common_InputFunctions.Utility_DisplayArrayInTable(Common_SourceData.Common_SourceData_ClimateZones_Data(), Table_SourceData_ClimateZones[[#Headers],[Climate zone]], 0)</f>
        <v>1000</v>
      </c>
      <c r="N93" s="19" cm="1">
        <f t="array" ref="N93">Common_InputFunctions.Utility_DisplayArrayInTable(Common_SourceData.Common_SourceData_ClimateZones_Data(), Table_SourceData_ClimateZones[[#Headers],[Climate zone]], 0)</f>
        <v>-999999</v>
      </c>
      <c r="O93" s="19" cm="1">
        <f t="array" ref="O93">Common_InputFunctions.Utility_DisplayArrayInTable(Common_SourceData.Common_SourceData_ClimateZones_Data(), Table_SourceData_ClimateZones[[#Headers],[Climate zone]], 0)</f>
        <v>7</v>
      </c>
      <c r="P93" s="19" cm="1">
        <f t="array" ref="P93">Common_InputFunctions.Utility_DisplayArrayInTable(Common_SourceData.Common_SourceData_ClimateZones_Data(), Table_SourceData_ClimateZones[[#Headers],[Climate zone]], 0)</f>
        <v>-999999</v>
      </c>
      <c r="Q93" s="19" cm="1">
        <f t="array" ref="Q93">Common_InputFunctions.Utility_DisplayArrayInTable(Common_SourceData.Common_SourceData_ClimateZones_Data(), Table_SourceData_ClimateZones[[#Headers],[Climate zone]], 0)</f>
        <v>999.99900000000002</v>
      </c>
      <c r="R93" s="19" cm="1">
        <f t="array" ref="R93">Common_InputFunctions.Utility_DisplayArrayInTable(Common_SourceData.Common_SourceData_ClimateZones_Data(), Table_SourceData_ClimateZones[[#Headers],[Climate zone]], 0)</f>
        <v>-999999</v>
      </c>
      <c r="S93" s="19" cm="1">
        <f t="array" ref="S93">Common_InputFunctions.Utility_DisplayArrayInTable(Common_SourceData.Common_SourceData_ClimateZones_Data(), Table_SourceData_ClimateZones[[#Headers],[Climate zone]], 0)</f>
        <v>999999</v>
      </c>
      <c r="T93" s="19"/>
    </row>
    <row r="94" spans="1:20" ht="20.100000000000001" customHeight="1" x14ac:dyDescent="0.2">
      <c r="A94"/>
      <c r="D94" s="19" t="str" cm="1">
        <f t="array" ref="D94">Common_InputFunctions.Utility_DisplayArrayInTable(Common_SourceData.Common_SourceData_ClimateZones_Data(), Table_SourceData_ClimateZones[[#Headers],[Climate zone]], 0)</f>
        <v>Warm temperate moist</v>
      </c>
      <c r="E94" s="19" t="str" cm="1">
        <f t="array" ref="E94">Common_InputFunctions.Utility_DisplayArrayInTable(Common_SourceData.Common_SourceData_ClimateZones_Data(), Table_SourceData_ClimateZones[[#Headers],[Climate zone]], 0)</f>
        <v>&gt; 10 C</v>
      </c>
      <c r="F94" s="19" t="str" cm="1">
        <f t="array" ref="F94">Common_InputFunctions.Utility_DisplayArrayInTable(Common_SourceData.Common_SourceData_ClimateZones_Data(), Table_SourceData_ClimateZones[[#Headers],[Climate zone]], 0)</f>
        <v>Any</v>
      </c>
      <c r="G94" s="19" t="str" cm="1">
        <f t="array" ref="G94">Common_InputFunctions.Utility_DisplayArrayInTable(Common_SourceData.Common_SourceData_ClimateZones_Data(), Table_SourceData_ClimateZones[[#Headers],[Climate zone]], 0)</f>
        <v>Any</v>
      </c>
      <c r="H94" s="19" t="str" cm="1">
        <f t="array" ref="H94">Common_InputFunctions.Utility_DisplayArrayInTable(Common_SourceData.Common_SourceData_ClimateZones_Data(), Table_SourceData_ClimateZones[[#Headers],[Climate zone]], 0)</f>
        <v>Any</v>
      </c>
      <c r="I94" s="19" t="str" cm="1">
        <f t="array" ref="I94">Common_InputFunctions.Utility_DisplayArrayInTable(Common_SourceData.Common_SourceData_ClimateZones_Data(), Table_SourceData_ClimateZones[[#Headers],[Climate zone]], 0)</f>
        <v>&gt; 1</v>
      </c>
      <c r="J94" s="19" cm="1">
        <f t="array" ref="J94">Common_InputFunctions.Utility_DisplayArrayInTable(Common_SourceData.Common_SourceData_ClimateZones_Data(), Table_SourceData_ClimateZones[[#Headers],[Climate zone]], 0)</f>
        <v>10.000999999999999</v>
      </c>
      <c r="K94" s="19" cm="1">
        <f t="array" ref="K94">Common_InputFunctions.Utility_DisplayArrayInTable(Common_SourceData.Common_SourceData_ClimateZones_Data(), Table_SourceData_ClimateZones[[#Headers],[Climate zone]], 0)</f>
        <v>999999</v>
      </c>
      <c r="L94" s="19" cm="1">
        <f t="array" ref="L94">Common_InputFunctions.Utility_DisplayArrayInTable(Common_SourceData.Common_SourceData_ClimateZones_Data(), Table_SourceData_ClimateZones[[#Headers],[Climate zone]], 0)</f>
        <v>-999999</v>
      </c>
      <c r="M94" s="19" cm="1">
        <f t="array" ref="M94">Common_InputFunctions.Utility_DisplayArrayInTable(Common_SourceData.Common_SourceData_ClimateZones_Data(), Table_SourceData_ClimateZones[[#Headers],[Climate zone]], 0)</f>
        <v>999999</v>
      </c>
      <c r="N94" s="19" cm="1">
        <f t="array" ref="N94">Common_InputFunctions.Utility_DisplayArrayInTable(Common_SourceData.Common_SourceData_ClimateZones_Data(), Table_SourceData_ClimateZones[[#Headers],[Climate zone]], 0)</f>
        <v>-999999</v>
      </c>
      <c r="O94" s="19" cm="1">
        <f t="array" ref="O94">Common_InputFunctions.Utility_DisplayArrayInTable(Common_SourceData.Common_SourceData_ClimateZones_Data(), Table_SourceData_ClimateZones[[#Headers],[Climate zone]], 0)</f>
        <v>999999</v>
      </c>
      <c r="P94" s="19" cm="1">
        <f t="array" ref="P94">Common_InputFunctions.Utility_DisplayArrayInTable(Common_SourceData.Common_SourceData_ClimateZones_Data(), Table_SourceData_ClimateZones[[#Headers],[Climate zone]], 0)</f>
        <v>-999999</v>
      </c>
      <c r="Q94" s="19" cm="1">
        <f t="array" ref="Q94">Common_InputFunctions.Utility_DisplayArrayInTable(Common_SourceData.Common_SourceData_ClimateZones_Data(), Table_SourceData_ClimateZones[[#Headers],[Climate zone]], 0)</f>
        <v>999999</v>
      </c>
      <c r="R94" s="19" cm="1">
        <f t="array" ref="R94">Common_InputFunctions.Utility_DisplayArrayInTable(Common_SourceData.Common_SourceData_ClimateZones_Data(), Table_SourceData_ClimateZones[[#Headers],[Climate zone]], 0)</f>
        <v>1.0009999999999999</v>
      </c>
      <c r="S94" s="19" cm="1">
        <f t="array" ref="S94">Common_InputFunctions.Utility_DisplayArrayInTable(Common_SourceData.Common_SourceData_ClimateZones_Data(), Table_SourceData_ClimateZones[[#Headers],[Climate zone]], 0)</f>
        <v>999999</v>
      </c>
      <c r="T94" s="19"/>
    </row>
    <row r="95" spans="1:20" ht="20.100000000000001" customHeight="1" x14ac:dyDescent="0.2">
      <c r="A95"/>
      <c r="D95" s="19" t="str" cm="1">
        <f t="array" ref="D95">Common_InputFunctions.Utility_DisplayArrayInTable(Common_SourceData.Common_SourceData_ClimateZones_Data(), Table_SourceData_ClimateZones[[#Headers],[Climate zone]], 0)</f>
        <v>Warm temperate dry</v>
      </c>
      <c r="E95" s="19" t="str" cm="1">
        <f t="array" ref="E95">Common_InputFunctions.Utility_DisplayArrayInTable(Common_SourceData.Common_SourceData_ClimateZones_Data(), Table_SourceData_ClimateZones[[#Headers],[Climate zone]], 0)</f>
        <v>&gt; 10 C</v>
      </c>
      <c r="F95" s="19" t="str" cm="1">
        <f t="array" ref="F95">Common_InputFunctions.Utility_DisplayArrayInTable(Common_SourceData.Common_SourceData_ClimateZones_Data(), Table_SourceData_ClimateZones[[#Headers],[Climate zone]], 0)</f>
        <v>Any</v>
      </c>
      <c r="G95" s="19" t="str" cm="1">
        <f t="array" ref="G95">Common_InputFunctions.Utility_DisplayArrayInTable(Common_SourceData.Common_SourceData_ClimateZones_Data(), Table_SourceData_ClimateZones[[#Headers],[Climate zone]], 0)</f>
        <v>Any</v>
      </c>
      <c r="H95" s="19" t="str" cm="1">
        <f t="array" ref="H95">Common_InputFunctions.Utility_DisplayArrayInTable(Common_SourceData.Common_SourceData_ClimateZones_Data(), Table_SourceData_ClimateZones[[#Headers],[Climate zone]], 0)</f>
        <v>Any</v>
      </c>
      <c r="I95" s="19" t="str" cm="1">
        <f t="array" ref="I95">Common_InputFunctions.Utility_DisplayArrayInTable(Common_SourceData.Common_SourceData_ClimateZones_Data(), Table_SourceData_ClimateZones[[#Headers],[Climate zone]], 0)</f>
        <v>≤ 1</v>
      </c>
      <c r="J95" s="19" cm="1">
        <f t="array" ref="J95">Common_InputFunctions.Utility_DisplayArrayInTable(Common_SourceData.Common_SourceData_ClimateZones_Data(), Table_SourceData_ClimateZones[[#Headers],[Climate zone]], 0)</f>
        <v>10.000999999999999</v>
      </c>
      <c r="K95" s="19" cm="1">
        <f t="array" ref="K95">Common_InputFunctions.Utility_DisplayArrayInTable(Common_SourceData.Common_SourceData_ClimateZones_Data(), Table_SourceData_ClimateZones[[#Headers],[Climate zone]], 0)</f>
        <v>999999</v>
      </c>
      <c r="L95" s="19" cm="1">
        <f t="array" ref="L95">Common_InputFunctions.Utility_DisplayArrayInTable(Common_SourceData.Common_SourceData_ClimateZones_Data(), Table_SourceData_ClimateZones[[#Headers],[Climate zone]], 0)</f>
        <v>-999999</v>
      </c>
      <c r="M95" s="19" cm="1">
        <f t="array" ref="M95">Common_InputFunctions.Utility_DisplayArrayInTable(Common_SourceData.Common_SourceData_ClimateZones_Data(), Table_SourceData_ClimateZones[[#Headers],[Climate zone]], 0)</f>
        <v>999999</v>
      </c>
      <c r="N95" s="19" cm="1">
        <f t="array" ref="N95">Common_InputFunctions.Utility_DisplayArrayInTable(Common_SourceData.Common_SourceData_ClimateZones_Data(), Table_SourceData_ClimateZones[[#Headers],[Climate zone]], 0)</f>
        <v>-999999</v>
      </c>
      <c r="O95" s="19" cm="1">
        <f t="array" ref="O95">Common_InputFunctions.Utility_DisplayArrayInTable(Common_SourceData.Common_SourceData_ClimateZones_Data(), Table_SourceData_ClimateZones[[#Headers],[Climate zone]], 0)</f>
        <v>999999</v>
      </c>
      <c r="P95" s="19" cm="1">
        <f t="array" ref="P95">Common_InputFunctions.Utility_DisplayArrayInTable(Common_SourceData.Common_SourceData_ClimateZones_Data(), Table_SourceData_ClimateZones[[#Headers],[Climate zone]], 0)</f>
        <v>-999999</v>
      </c>
      <c r="Q95" s="19" cm="1">
        <f t="array" ref="Q95">Common_InputFunctions.Utility_DisplayArrayInTable(Common_SourceData.Common_SourceData_ClimateZones_Data(), Table_SourceData_ClimateZones[[#Headers],[Climate zone]], 0)</f>
        <v>999999</v>
      </c>
      <c r="R95" s="19" cm="1">
        <f t="array" ref="R95">Common_InputFunctions.Utility_DisplayArrayInTable(Common_SourceData.Common_SourceData_ClimateZones_Data(), Table_SourceData_ClimateZones[[#Headers],[Climate zone]], 0)</f>
        <v>-999999</v>
      </c>
      <c r="S95" s="19" cm="1">
        <f t="array" ref="S95">Common_InputFunctions.Utility_DisplayArrayInTable(Common_SourceData.Common_SourceData_ClimateZones_Data(), Table_SourceData_ClimateZones[[#Headers],[Climate zone]], 0)</f>
        <v>1</v>
      </c>
      <c r="T95" s="19"/>
    </row>
    <row r="96" spans="1:20" ht="20.100000000000001" customHeight="1" x14ac:dyDescent="0.2">
      <c r="A96" s="79" t="str">
        <f>HYPERLINK("#A1", "▲ Back to top")</f>
        <v>▲ Back to top</v>
      </c>
      <c r="D96" s="19" t="str" cm="1">
        <f t="array" ref="D96">Common_InputFunctions.Utility_DisplayArrayInTable(Common_SourceData.Common_SourceData_ClimateZones_Data(), Table_SourceData_ClimateZones[[#Headers],[Climate zone]], 0)</f>
        <v>Cool temperate moist</v>
      </c>
      <c r="E96" s="19" t="str" cm="1">
        <f t="array" ref="E96">Common_InputFunctions.Utility_DisplayArrayInTable(Common_SourceData.Common_SourceData_ClimateZones_Data(), Table_SourceData_ClimateZones[[#Headers],[Climate zone]], 0)</f>
        <v>&gt; 0 C - ≤ 10 C</v>
      </c>
      <c r="F96" s="19" t="str" cm="1">
        <f t="array" ref="F96">Common_InputFunctions.Utility_DisplayArrayInTable(Common_SourceData.Common_SourceData_ClimateZones_Data(), Table_SourceData_ClimateZones[[#Headers],[Climate zone]], 0)</f>
        <v>Any</v>
      </c>
      <c r="G96" s="19" t="str" cm="1">
        <f t="array" ref="G96">Common_InputFunctions.Utility_DisplayArrayInTable(Common_SourceData.Common_SourceData_ClimateZones_Data(), Table_SourceData_ClimateZones[[#Headers],[Climate zone]], 0)</f>
        <v>Any</v>
      </c>
      <c r="H96" s="19" t="str" cm="1">
        <f t="array" ref="H96">Common_InputFunctions.Utility_DisplayArrayInTable(Common_SourceData.Common_SourceData_ClimateZones_Data(), Table_SourceData_ClimateZones[[#Headers],[Climate zone]], 0)</f>
        <v>Any</v>
      </c>
      <c r="I96" s="19" t="str" cm="1">
        <f t="array" ref="I96">Common_InputFunctions.Utility_DisplayArrayInTable(Common_SourceData.Common_SourceData_ClimateZones_Data(), Table_SourceData_ClimateZones[[#Headers],[Climate zone]], 0)</f>
        <v>&gt; 1</v>
      </c>
      <c r="J96" s="19" cm="1">
        <f t="array" ref="J96">Common_InputFunctions.Utility_DisplayArrayInTable(Common_SourceData.Common_SourceData_ClimateZones_Data(), Table_SourceData_ClimateZones[[#Headers],[Climate zone]], 0)</f>
        <v>-999999</v>
      </c>
      <c r="K96" s="19" cm="1">
        <f t="array" ref="K96">Common_InputFunctions.Utility_DisplayArrayInTable(Common_SourceData.Common_SourceData_ClimateZones_Data(), Table_SourceData_ClimateZones[[#Headers],[Climate zone]], 0)</f>
        <v>10</v>
      </c>
      <c r="L96" s="19" cm="1">
        <f t="array" ref="L96">Common_InputFunctions.Utility_DisplayArrayInTable(Common_SourceData.Common_SourceData_ClimateZones_Data(), Table_SourceData_ClimateZones[[#Headers],[Climate zone]], 0)</f>
        <v>-999999</v>
      </c>
      <c r="M96" s="19" cm="1">
        <f t="array" ref="M96">Common_InputFunctions.Utility_DisplayArrayInTable(Common_SourceData.Common_SourceData_ClimateZones_Data(), Table_SourceData_ClimateZones[[#Headers],[Climate zone]], 0)</f>
        <v>999999</v>
      </c>
      <c r="N96" s="19" cm="1">
        <f t="array" ref="N96">Common_InputFunctions.Utility_DisplayArrayInTable(Common_SourceData.Common_SourceData_ClimateZones_Data(), Table_SourceData_ClimateZones[[#Headers],[Climate zone]], 0)</f>
        <v>-999999</v>
      </c>
      <c r="O96" s="19" cm="1">
        <f t="array" ref="O96">Common_InputFunctions.Utility_DisplayArrayInTable(Common_SourceData.Common_SourceData_ClimateZones_Data(), Table_SourceData_ClimateZones[[#Headers],[Climate zone]], 0)</f>
        <v>999999</v>
      </c>
      <c r="P96" s="19" cm="1">
        <f t="array" ref="P96">Common_InputFunctions.Utility_DisplayArrayInTable(Common_SourceData.Common_SourceData_ClimateZones_Data(), Table_SourceData_ClimateZones[[#Headers],[Climate zone]], 0)</f>
        <v>-999999</v>
      </c>
      <c r="Q96" s="19" cm="1">
        <f t="array" ref="Q96">Common_InputFunctions.Utility_DisplayArrayInTable(Common_SourceData.Common_SourceData_ClimateZones_Data(), Table_SourceData_ClimateZones[[#Headers],[Climate zone]], 0)</f>
        <v>999999</v>
      </c>
      <c r="R96" s="19" cm="1">
        <f t="array" ref="R96">Common_InputFunctions.Utility_DisplayArrayInTable(Common_SourceData.Common_SourceData_ClimateZones_Data(), Table_SourceData_ClimateZones[[#Headers],[Climate zone]], 0)</f>
        <v>1.0009999999999999</v>
      </c>
      <c r="S96" s="19" cm="1">
        <f t="array" ref="S96">Common_InputFunctions.Utility_DisplayArrayInTable(Common_SourceData.Common_SourceData_ClimateZones_Data(), Table_SourceData_ClimateZones[[#Headers],[Climate zone]], 0)</f>
        <v>999999</v>
      </c>
      <c r="T96" s="19"/>
    </row>
    <row r="97" spans="1:20" ht="20.100000000000001" customHeight="1" x14ac:dyDescent="0.2">
      <c r="A97"/>
      <c r="D97" s="19" t="str" cm="1">
        <f t="array" ref="D97">Common_InputFunctions.Utility_DisplayArrayInTable(Common_SourceData.Common_SourceData_ClimateZones_Data(), Table_SourceData_ClimateZones[[#Headers],[Climate zone]], 0)</f>
        <v>Cool temperate dry</v>
      </c>
      <c r="E97" s="19" t="str" cm="1">
        <f t="array" ref="E97">Common_InputFunctions.Utility_DisplayArrayInTable(Common_SourceData.Common_SourceData_ClimateZones_Data(), Table_SourceData_ClimateZones[[#Headers],[Climate zone]], 0)</f>
        <v>&gt; 0 C - ≤ 10 C</v>
      </c>
      <c r="F97" s="19" t="str" cm="1">
        <f t="array" ref="F97">Common_InputFunctions.Utility_DisplayArrayInTable(Common_SourceData.Common_SourceData_ClimateZones_Data(), Table_SourceData_ClimateZones[[#Headers],[Climate zone]], 0)</f>
        <v>Any</v>
      </c>
      <c r="G97" s="19" t="str" cm="1">
        <f t="array" ref="G97">Common_InputFunctions.Utility_DisplayArrayInTable(Common_SourceData.Common_SourceData_ClimateZones_Data(), Table_SourceData_ClimateZones[[#Headers],[Climate zone]], 0)</f>
        <v>Any</v>
      </c>
      <c r="H97" s="19" t="str" cm="1">
        <f t="array" ref="H97">Common_InputFunctions.Utility_DisplayArrayInTable(Common_SourceData.Common_SourceData_ClimateZones_Data(), Table_SourceData_ClimateZones[[#Headers],[Climate zone]], 0)</f>
        <v>Any</v>
      </c>
      <c r="I97" s="19" t="str" cm="1">
        <f t="array" ref="I97">Common_InputFunctions.Utility_DisplayArrayInTable(Common_SourceData.Common_SourceData_ClimateZones_Data(), Table_SourceData_ClimateZones[[#Headers],[Climate zone]], 0)</f>
        <v>≤ 1</v>
      </c>
      <c r="J97" s="19" cm="1">
        <f t="array" ref="J97">Common_InputFunctions.Utility_DisplayArrayInTable(Common_SourceData.Common_SourceData_ClimateZones_Data(), Table_SourceData_ClimateZones[[#Headers],[Climate zone]], 0)</f>
        <v>-999999</v>
      </c>
      <c r="K97" s="19" cm="1">
        <f t="array" ref="K97">Common_InputFunctions.Utility_DisplayArrayInTable(Common_SourceData.Common_SourceData_ClimateZones_Data(), Table_SourceData_ClimateZones[[#Headers],[Climate zone]], 0)</f>
        <v>10</v>
      </c>
      <c r="L97" s="19" cm="1">
        <f t="array" ref="L97">Common_InputFunctions.Utility_DisplayArrayInTable(Common_SourceData.Common_SourceData_ClimateZones_Data(), Table_SourceData_ClimateZones[[#Headers],[Climate zone]], 0)</f>
        <v>-999999</v>
      </c>
      <c r="M97" s="19" cm="1">
        <f t="array" ref="M97">Common_InputFunctions.Utility_DisplayArrayInTable(Common_SourceData.Common_SourceData_ClimateZones_Data(), Table_SourceData_ClimateZones[[#Headers],[Climate zone]], 0)</f>
        <v>999999</v>
      </c>
      <c r="N97" s="19" cm="1">
        <f t="array" ref="N97">Common_InputFunctions.Utility_DisplayArrayInTable(Common_SourceData.Common_SourceData_ClimateZones_Data(), Table_SourceData_ClimateZones[[#Headers],[Climate zone]], 0)</f>
        <v>-999999</v>
      </c>
      <c r="O97" s="19" cm="1">
        <f t="array" ref="O97">Common_InputFunctions.Utility_DisplayArrayInTable(Common_SourceData.Common_SourceData_ClimateZones_Data(), Table_SourceData_ClimateZones[[#Headers],[Climate zone]], 0)</f>
        <v>999999</v>
      </c>
      <c r="P97" s="19" cm="1">
        <f t="array" ref="P97">Common_InputFunctions.Utility_DisplayArrayInTable(Common_SourceData.Common_SourceData_ClimateZones_Data(), Table_SourceData_ClimateZones[[#Headers],[Climate zone]], 0)</f>
        <v>-999999</v>
      </c>
      <c r="Q97" s="19" cm="1">
        <f t="array" ref="Q97">Common_InputFunctions.Utility_DisplayArrayInTable(Common_SourceData.Common_SourceData_ClimateZones_Data(), Table_SourceData_ClimateZones[[#Headers],[Climate zone]], 0)</f>
        <v>999999</v>
      </c>
      <c r="R97" s="19" cm="1">
        <f t="array" ref="R97">Common_InputFunctions.Utility_DisplayArrayInTable(Common_SourceData.Common_SourceData_ClimateZones_Data(), Table_SourceData_ClimateZones[[#Headers],[Climate zone]], 0)</f>
        <v>-999999</v>
      </c>
      <c r="S97" s="19" cm="1">
        <f t="array" ref="S97">Common_InputFunctions.Utility_DisplayArrayInTable(Common_SourceData.Common_SourceData_ClimateZones_Data(), Table_SourceData_ClimateZones[[#Headers],[Climate zone]], 0)</f>
        <v>1</v>
      </c>
      <c r="T97" s="19"/>
    </row>
    <row r="98" spans="1:20" ht="20.100000000000001" customHeight="1" x14ac:dyDescent="0.2">
      <c r="A98"/>
    </row>
    <row r="99" spans="1:20" ht="20.100000000000001" customHeight="1" x14ac:dyDescent="0.2">
      <c r="A99"/>
      <c r="D99" s="9" t="str" cm="1">
        <f t="array" ref="D99:D102">Common_SourceData.Common_SourceData_ClimateZones_Appendices()</f>
        <v>Note:</v>
      </c>
    </row>
    <row r="100" spans="1:20" ht="20.100000000000001" customHeight="1" x14ac:dyDescent="0.2">
      <c r="A100"/>
      <c r="D100" s="9" t="str">
        <v>MAT = mean annual temperature</v>
      </c>
    </row>
    <row r="101" spans="1:20" ht="20.100000000000001" customHeight="1" x14ac:dyDescent="0.2">
      <c r="A101"/>
      <c r="D101" s="9" t="str">
        <v>MAP = mean annual precipitation</v>
      </c>
    </row>
    <row r="102" spans="1:20" ht="20.100000000000001" customHeight="1" x14ac:dyDescent="0.2">
      <c r="A102"/>
      <c r="D102" s="9" t="str">
        <v>PET = potential evapotranspiration</v>
      </c>
    </row>
    <row r="103" spans="1:20" ht="20.100000000000001" customHeight="1" x14ac:dyDescent="0.2">
      <c r="A103"/>
      <c r="D103" s="9"/>
    </row>
    <row r="104" spans="1:20" ht="20.100000000000001" customHeight="1" x14ac:dyDescent="0.2">
      <c r="A104"/>
    </row>
    <row r="105" spans="1:20" ht="20.100000000000001" customHeight="1" x14ac:dyDescent="0.2">
      <c r="A105"/>
      <c r="D105" s="2" t="str" cm="1">
        <f t="array" ref="D105">Common_SourceData.Common_SourceData_TemperatureZones_Title()</f>
        <v>VEERG Australian temperature zones</v>
      </c>
    </row>
    <row r="106" spans="1:20" ht="20.100000000000001" customHeight="1" x14ac:dyDescent="0.2">
      <c r="A106"/>
      <c r="D106" s="17" t="str" cm="1">
        <f t="array" ref="D106">Common_SourceData.Common_SourceData_TemperatureZones_Source()</f>
        <v>VEERG 2026: Table 1.3: Climate and Rainfall zone classifications and definitions</v>
      </c>
    </row>
    <row r="107" spans="1:20" ht="20.100000000000001" customHeight="1" x14ac:dyDescent="0.2">
      <c r="A107"/>
      <c r="D107" s="25"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19" t="s">
        <v>48</v>
      </c>
      <c r="E109" s="19" t="s">
        <v>33</v>
      </c>
      <c r="F109" s="19" t="s">
        <v>49</v>
      </c>
      <c r="G109" s="19" t="s">
        <v>50</v>
      </c>
    </row>
    <row r="110" spans="1:20" ht="20.100000000000001" customHeight="1" x14ac:dyDescent="0.2">
      <c r="A110"/>
      <c r="D110" s="19" t="str" cm="1">
        <f t="array" ref="D110">Common_InputFunctions.Utility_DisplayArrayInTable(Common_SourceData.Common_SourceData_TemperatureZones_Data(),Table_SourceData_TemperatureZones[[#Headers],[Temperature Zone]],0)</f>
        <v>Warm</v>
      </c>
      <c r="E110" s="19" t="str" cm="1">
        <f t="array" ref="E110">Common_InputFunctions.Utility_DisplayArrayInTable(Common_SourceData.Common_SourceData_TemperatureZones_Data(),Table_SourceData_TemperatureZones[[#Headers],[Temperature Zone]],0)</f>
        <v>≥ 26 C</v>
      </c>
      <c r="F110" s="19" cm="1">
        <f t="array" ref="F110">Common_InputFunctions.Utility_DisplayArrayInTable(Common_SourceData.Common_SourceData_TemperatureZones_Data(),Table_SourceData_TemperatureZones[[#Headers],[Temperature Zone]],0)</f>
        <v>26</v>
      </c>
      <c r="G110" s="19" cm="1">
        <f t="array" ref="G110">Common_InputFunctions.Utility_DisplayArrayInTable(Common_SourceData.Common_SourceData_TemperatureZones_Data(),Table_SourceData_TemperatureZones[[#Headers],[Temperature Zone]],0)</f>
        <v>999999</v>
      </c>
    </row>
    <row r="111" spans="1:20" ht="20.100000000000001" customHeight="1" x14ac:dyDescent="0.2">
      <c r="A111"/>
      <c r="D111" s="19" t="str" cm="1">
        <f t="array" ref="D111">Common_InputFunctions.Utility_DisplayArrayInTable(Common_SourceData.Common_SourceData_TemperatureZones_Data(),Table_SourceData_TemperatureZones[[#Headers],[Temperature Zone]],0)</f>
        <v>Temperate</v>
      </c>
      <c r="E111" s="19" t="str" cm="1">
        <f t="array" ref="E111">Common_InputFunctions.Utility_DisplayArrayInTable(Common_SourceData.Common_SourceData_TemperatureZones_Data(),Table_SourceData_TemperatureZones[[#Headers],[Temperature Zone]],0)</f>
        <v>15 - 25 C</v>
      </c>
      <c r="F111" s="19" cm="1">
        <f t="array" ref="F111">Common_InputFunctions.Utility_DisplayArrayInTable(Common_SourceData.Common_SourceData_TemperatureZones_Data(),Table_SourceData_TemperatureZones[[#Headers],[Temperature Zone]],0)</f>
        <v>15</v>
      </c>
      <c r="G111" s="19" cm="1">
        <f t="array" ref="G111">Common_InputFunctions.Utility_DisplayArrayInTable(Common_SourceData.Common_SourceData_TemperatureZones_Data(),Table_SourceData_TemperatureZones[[#Headers],[Temperature Zone]],0)</f>
        <v>25.998999999999999</v>
      </c>
    </row>
    <row r="112" spans="1:20" ht="20.100000000000001" customHeight="1" x14ac:dyDescent="0.2">
      <c r="A112"/>
      <c r="D112" s="19" t="str" cm="1">
        <f t="array" ref="D112">Common_InputFunctions.Utility_DisplayArrayInTable(Common_SourceData.Common_SourceData_TemperatureZones_Data(),Table_SourceData_TemperatureZones[[#Headers],[Temperature Zone]],0)</f>
        <v>Cool</v>
      </c>
      <c r="E112" s="19" t="str" cm="1">
        <f t="array" ref="E112">Common_InputFunctions.Utility_DisplayArrayInTable(Common_SourceData.Common_SourceData_TemperatureZones_Data(),Table_SourceData_TemperatureZones[[#Headers],[Temperature Zone]],0)</f>
        <v>≤ 14 C</v>
      </c>
      <c r="F112" s="19" cm="1">
        <f t="array" ref="F112">Common_InputFunctions.Utility_DisplayArrayInTable(Common_SourceData.Common_SourceData_TemperatureZones_Data(),Table_SourceData_TemperatureZones[[#Headers],[Temperature Zone]],0)</f>
        <v>-999999</v>
      </c>
      <c r="G112" s="19" cm="1">
        <f t="array" ref="G112">Common_InputFunctions.Utility_DisplayArrayInTable(Common_SourceData.Common_SourceData_TemperatureZones_Data(),Table_SourceData_TemperatureZones[[#Headers],[Temperature Zone]],0)</f>
        <v>14.999000000000001</v>
      </c>
    </row>
    <row r="113" spans="1:66" ht="20.100000000000001" customHeight="1" x14ac:dyDescent="0.2">
      <c r="A113"/>
    </row>
    <row r="114" spans="1:66" ht="20.100000000000001" customHeight="1" x14ac:dyDescent="0.2">
      <c r="A114"/>
    </row>
    <row r="115" spans="1:66" ht="20.100000000000001" customHeight="1" x14ac:dyDescent="0.2">
      <c r="A115"/>
      <c r="D115" s="2" t="str" cm="1">
        <f t="array" ref="D115">Common_SourceData.Common_SourceData_RainfallZones_Title()</f>
        <v>VEERG Australian rainfall zones</v>
      </c>
      <c r="BN115" s="21"/>
    </row>
    <row r="116" spans="1:66" ht="20.100000000000001" customHeight="1" x14ac:dyDescent="0.2">
      <c r="A116"/>
      <c r="D116" s="17" t="str" cm="1">
        <f t="array" ref="D116">Common_SourceData.Common_SourceData_RainfallZones_Source()</f>
        <v>VEERG 2026: Table 1.3: Climate and Rainfall zone classifications and definitions</v>
      </c>
      <c r="BN116" s="21"/>
    </row>
    <row r="117" spans="1:66" ht="20.100000000000001" customHeight="1" x14ac:dyDescent="0.2">
      <c r="A117"/>
      <c r="D117" s="25" t="str" cm="1">
        <f t="array" ref="D117">"⚠️" &amp; Common_SourceData.Common_SourceData_RainfallZones_Variation()</f>
        <v>⚠️VARIATION OF SOURCE DATA: Added extra Rainfall min and Rainfall max columns to calculate zone from real rainfall data.</v>
      </c>
      <c r="BN117" s="21"/>
    </row>
    <row r="118" spans="1:66" ht="20.100000000000001" customHeight="1" x14ac:dyDescent="0.2">
      <c r="A118"/>
      <c r="BN118" s="21"/>
    </row>
    <row r="119" spans="1:66" ht="20.100000000000001" customHeight="1" x14ac:dyDescent="0.2">
      <c r="A119"/>
      <c r="D119" s="19" t="s">
        <v>51</v>
      </c>
      <c r="E119" s="19" t="s">
        <v>52</v>
      </c>
      <c r="F119" s="19" t="s">
        <v>40</v>
      </c>
      <c r="G119" s="19" t="s">
        <v>41</v>
      </c>
      <c r="BN119" s="21"/>
    </row>
    <row r="120" spans="1:66" ht="20.100000000000001" customHeight="1" x14ac:dyDescent="0.2">
      <c r="A120"/>
      <c r="D120" s="19" t="str" cm="1">
        <f t="array" ref="D120">Common_InputFunctions.Utility_DisplayArrayInTable(Common_SourceData.Common_SourceData_RainfallZones_Data(),Table_SourceData_RainfallZones[[#Headers],[Rainfall Zone]],0)</f>
        <v>High rainfall</v>
      </c>
      <c r="E120" s="19" t="str" cm="1">
        <f t="array" ref="E120">Common_InputFunctions.Utility_DisplayArrayInTable(Common_SourceData.Common_SourceData_RainfallZones_Data(),Table_SourceData_RainfallZones[[#Headers],[Rainfall Zone]],0)</f>
        <v>Annual rainfall &gt; 600mm</v>
      </c>
      <c r="F120" s="19" cm="1">
        <f t="array" ref="F120">Common_InputFunctions.Utility_DisplayArrayInTable(Common_SourceData.Common_SourceData_RainfallZones_Data(),Table_SourceData_RainfallZones[[#Headers],[Rainfall Zone]],0)</f>
        <v>600.00099999999998</v>
      </c>
      <c r="G120" s="19" cm="1">
        <f t="array" ref="G120">Common_InputFunctions.Utility_DisplayArrayInTable(Common_SourceData.Common_SourceData_RainfallZones_Data(),Table_SourceData_RainfallZones[[#Headers],[Rainfall Zone]],0)</f>
        <v>999999</v>
      </c>
      <c r="BN120" s="21"/>
    </row>
    <row r="121" spans="1:66" ht="20.100000000000001" customHeight="1" x14ac:dyDescent="0.2">
      <c r="A121"/>
      <c r="D121" s="19" t="str" cm="1">
        <f t="array" ref="D121">Common_InputFunctions.Utility_DisplayArrayInTable(Common_SourceData.Common_SourceData_RainfallZones_Data(),Table_SourceData_RainfallZones[[#Headers],[Rainfall Zone]],0)</f>
        <v>Low rainfall</v>
      </c>
      <c r="E121" s="19" t="str" cm="1">
        <f t="array" ref="E121">Common_InputFunctions.Utility_DisplayArrayInTable(Common_SourceData.Common_SourceData_RainfallZones_Data(),Table_SourceData_RainfallZones[[#Headers],[Rainfall Zone]],0)</f>
        <v>Annual rainfall ≤ 600mm</v>
      </c>
      <c r="F121" s="19" cm="1">
        <f t="array" ref="F121">Common_InputFunctions.Utility_DisplayArrayInTable(Common_SourceData.Common_SourceData_RainfallZones_Data(),Table_SourceData_RainfallZones[[#Headers],[Rainfall Zone]],0)</f>
        <v>-999999</v>
      </c>
      <c r="G121" s="19" cm="1">
        <f t="array" ref="G121">Common_InputFunctions.Utility_DisplayArrayInTable(Common_SourceData.Common_SourceData_RainfallZones_Data(),Table_SourceData_RainfallZones[[#Headers],[Rainfall Zone]],0)</f>
        <v>600</v>
      </c>
      <c r="BN121" s="21"/>
    </row>
    <row r="122" spans="1:66" ht="20.100000000000001" customHeight="1" x14ac:dyDescent="0.2">
      <c r="A122"/>
      <c r="BN122" s="21"/>
    </row>
    <row r="123" spans="1:66" ht="20.100000000000001" customHeight="1" x14ac:dyDescent="0.2">
      <c r="A123"/>
    </row>
    <row r="124" spans="1:66" ht="20.100000000000001" customHeight="1" x14ac:dyDescent="0.2">
      <c r="A124"/>
      <c r="D124" s="2" t="str" cm="1">
        <f t="array" ref="D124">Common_SourceData.Common_SourceData_LeachingZones_Title()</f>
        <v>VEERG Australian leaching zones</v>
      </c>
    </row>
    <row r="125" spans="1:66" ht="20.100000000000001" customHeight="1" x14ac:dyDescent="0.2">
      <c r="A125"/>
      <c r="D125" s="17" t="str" cm="1">
        <f t="array" ref="D125">Common_SourceData.Common_SourceData_LeachingZones_Source()</f>
        <v>VEERG 2026: Table 1.3: Climate and Rainfall zone classifications and definitions</v>
      </c>
    </row>
    <row r="126" spans="1:66" ht="20.100000000000001" customHeight="1" x14ac:dyDescent="0.2">
      <c r="A126" s="79" t="str">
        <f>HYPERLINK("#A1", "▲ Back to top")</f>
        <v>▲ Back to top</v>
      </c>
    </row>
    <row r="127" spans="1:66" ht="20.100000000000001" customHeight="1" x14ac:dyDescent="0.2">
      <c r="A127"/>
      <c r="D127" s="19" t="s">
        <v>53</v>
      </c>
      <c r="E127" s="19" t="s">
        <v>54</v>
      </c>
    </row>
    <row r="128" spans="1:66" ht="20.100000000000001" customHeight="1" x14ac:dyDescent="0.2">
      <c r="A128"/>
      <c r="D128" s="19" t="str" cm="1">
        <f t="array" ref="D128">Common_InputFunctions.Utility_DisplayArrayInTable(Common_SourceData.Common_SourceData_LeachingZones_Data(), Table_SourceData_LeachingZones[[#Headers],[Leaching Zone]], 0)</f>
        <v>Leaching occurs</v>
      </c>
      <c r="E128" s="1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
      <c r="A129"/>
      <c r="D129" s="19" t="str" cm="1">
        <f t="array" ref="D129">Common_InputFunctions.Utility_DisplayArrayInTable(Common_SourceData.Common_SourceData_LeachingZones_Data(), Table_SourceData_LeachingZones[[#Headers],[Leaching Zone]], 0)</f>
        <v>Leaching does not occur</v>
      </c>
      <c r="E129" s="1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
      <c r="A130"/>
    </row>
    <row r="131" spans="1:77" ht="20.100000000000001" customHeight="1" x14ac:dyDescent="0.2">
      <c r="A131"/>
    </row>
    <row r="132" spans="1:77" ht="20.100000000000001" customHeight="1" x14ac:dyDescent="0.2">
      <c r="A132"/>
      <c r="D132" s="2" t="str" cm="1">
        <f t="array" ref="D132">Common_SourceData.Common_SourceData_FracWET_Title()</f>
        <v>Fraction of N that is available for leaching and runoff</v>
      </c>
      <c r="E132" s="8"/>
    </row>
    <row r="133" spans="1:77" ht="20.100000000000001" customHeight="1" x14ac:dyDescent="0.2">
      <c r="A133"/>
      <c r="D133" s="17" t="str" cm="1">
        <f t="array" ref="D133">Common_SourceData.Common_SourceData_FracWET_Source()</f>
        <v>VEERG 2026:5.5.2.3 Constant Parameters</v>
      </c>
      <c r="E133" s="8"/>
    </row>
    <row r="134" spans="1:77" ht="20.100000000000001" customHeight="1" x14ac:dyDescent="0.2">
      <c r="A134"/>
      <c r="D134" t="s">
        <v>55</v>
      </c>
      <c r="E134" t="s">
        <v>56</v>
      </c>
    </row>
    <row r="135" spans="1:77" ht="20.100000000000001" customHeight="1" x14ac:dyDescent="0.2">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
      <c r="A136"/>
      <c r="D136" s="1" t="str" cm="1">
        <f t="array" ref="D136">Common_InputFunctions.Utility_DisplayArrayInTable(Common_SourceData.Common_SourceData_FracWET_Data(),Table_SourceData_FracWET[[#Headers],[Is in leaching zone]],0)</f>
        <v>No - not in leaching zone</v>
      </c>
      <c r="E136" s="19" cm="1">
        <f t="array" ref="E136">Common_InputFunctions.Utility_DisplayArrayInTable(Common_SourceData.Common_SourceData_FracWET_Data(),Table_SourceData_FracWET[[#Headers],[Is in leaching zone]],0)</f>
        <v>0</v>
      </c>
    </row>
    <row r="137" spans="1:77" ht="20.100000000000001" customHeight="1" x14ac:dyDescent="0.2">
      <c r="A137"/>
    </row>
    <row r="138" spans="1:77" ht="20.100000000000001" customHeight="1" x14ac:dyDescent="0.2">
      <c r="A138"/>
      <c r="BN138" s="21"/>
      <c r="BO138" s="21"/>
      <c r="BP138" s="21"/>
      <c r="BQ138" s="21"/>
      <c r="BR138" s="21"/>
      <c r="BS138" s="21"/>
      <c r="BT138" s="21"/>
      <c r="BU138" s="21"/>
      <c r="BV138" s="21"/>
      <c r="BW138" s="21"/>
      <c r="BX138" s="21"/>
      <c r="BY138" s="21"/>
    </row>
    <row r="139" spans="1:77" ht="20.100000000000001" customHeight="1" x14ac:dyDescent="0.2">
      <c r="A139"/>
      <c r="D139" s="2" t="str" cm="1">
        <f t="array" ref="D139">Common_SourceData.Common_SourceData_FracWETIrrigation_Title()</f>
        <v>FracWET for irrigation types</v>
      </c>
      <c r="BN139" s="21"/>
      <c r="BO139" s="21"/>
      <c r="BP139" s="21"/>
      <c r="BQ139" s="21"/>
      <c r="BR139" s="21"/>
      <c r="BS139" s="21"/>
      <c r="BT139" s="21"/>
      <c r="BU139" s="21"/>
      <c r="BV139" s="21"/>
      <c r="BW139" s="21"/>
      <c r="BX139" s="21"/>
      <c r="BY139" s="21"/>
    </row>
    <row r="140" spans="1:77" ht="20.100000000000001" customHeight="1" x14ac:dyDescent="0.2">
      <c r="A140"/>
      <c r="D140" s="17" t="str" cm="1">
        <f t="array" ref="D140">Common_SourceData.Common_SourceData_FracWETIrrigation_Source()</f>
        <v>VEERG 2026: Chapter 1, section 1.8.2 Leaching, climate and rainfall zones</v>
      </c>
      <c r="BN140" s="21"/>
      <c r="BO140" s="21"/>
      <c r="BP140" s="21"/>
      <c r="BQ140" s="21"/>
      <c r="BR140" s="21"/>
      <c r="BS140" s="21"/>
      <c r="BT140" s="21"/>
      <c r="BU140" s="21"/>
      <c r="BV140" s="21"/>
      <c r="BW140" s="21"/>
      <c r="BX140" s="21"/>
      <c r="BY140" s="21"/>
    </row>
    <row r="141" spans="1:77" ht="20.100000000000001" customHeight="1" x14ac:dyDescent="0.2">
      <c r="A141"/>
      <c r="D141" s="25" t="str" cm="1">
        <f t="array" ref="D141">Common_SourceData.Common_SourceData_FracWETIrrigation_Variation()</f>
        <v>VARIATION FROM SOURCE DATA: Table created based on VEERG text 'Areas are subject to leaching (i.e., in the leaching zone) when... the land is irrigated (except drip irrigation).'</v>
      </c>
      <c r="BN141" s="21"/>
    </row>
    <row r="142" spans="1:77" ht="20.100000000000001" customHeight="1" x14ac:dyDescent="0.2">
      <c r="A142"/>
      <c r="D142" s="19" t="s">
        <v>57</v>
      </c>
      <c r="E142" s="19" t="s">
        <v>56</v>
      </c>
      <c r="BN142" s="21"/>
    </row>
    <row r="143" spans="1:77" ht="20.100000000000001" customHeight="1" x14ac:dyDescent="0.2">
      <c r="A143"/>
      <c r="D143" s="19" t="str" cm="1">
        <f t="array" ref="D143">Common_InputFunctions.Utility_DisplayArrayInTable(Common_SourceData.Common_SourceData_FracWETIrrigation_Data(), Table_SourceData_FracWETIrrigation[[#Headers],[Irrigation type i]], 0)</f>
        <v>Not irrigated</v>
      </c>
      <c r="E143" s="19" cm="1">
        <f t="array" ref="E143">Common_InputFunctions.Utility_DisplayArrayInTable(Common_SourceData.Common_SourceData_FracWETIrrigation_Data(), Table_SourceData_FracWETIrrigation[[#Headers],[Irrigation type i]], 0)</f>
        <v>0</v>
      </c>
      <c r="BN143" s="21"/>
    </row>
    <row r="144" spans="1:77" ht="20.100000000000001" customHeight="1" x14ac:dyDescent="0.2">
      <c r="A144"/>
      <c r="D144" s="1" t="str" cm="1">
        <f t="array" ref="D144">Common_InputFunctions.Utility_DisplayArrayInTable(Common_SourceData.Common_SourceData_FracWETIrrigation_Data(), Table_SourceData_FracWETIrrigation[[#Headers],[Irrigation type i]], 0)</f>
        <v>Drip irrigation</v>
      </c>
      <c r="E144" s="19" cm="1">
        <f t="array" ref="E144">Common_InputFunctions.Utility_DisplayArrayInTable(Common_SourceData.Common_SourceData_FracWETIrrigation_Data(), Table_SourceData_FracWETIrrigation[[#Headers],[Irrigation type i]], 0)</f>
        <v>0</v>
      </c>
      <c r="BN144" s="21"/>
    </row>
    <row r="145" spans="1:66" ht="20.100000000000001" customHeight="1" x14ac:dyDescent="0.2">
      <c r="A145"/>
      <c r="D145" s="1" t="str" cm="1">
        <f t="array" ref="D145">Common_InputFunctions.Utility_DisplayArrayInTable(Common_SourceData.Common_SourceData_FracWETIrrigation_Data(), Table_SourceData_FracWETIrrigation[[#Headers],[Irrigation type i]], 0)</f>
        <v>Sprinkler irrigation</v>
      </c>
      <c r="E145" s="19" cm="1">
        <f t="array" ref="E145">Common_InputFunctions.Utility_DisplayArrayInTable(Common_SourceData.Common_SourceData_FracWETIrrigation_Data(), Table_SourceData_FracWETIrrigation[[#Headers],[Irrigation type i]], 0)</f>
        <v>1</v>
      </c>
      <c r="BN145" s="21"/>
    </row>
    <row r="146" spans="1:66" ht="20.100000000000001" customHeight="1" x14ac:dyDescent="0.2">
      <c r="A146"/>
      <c r="D146" s="1" t="str" cm="1">
        <f t="array" ref="D146">Common_InputFunctions.Utility_DisplayArrayInTable(Common_SourceData.Common_SourceData_FracWETIrrigation_Data(), Table_SourceData_FracWETIrrigation[[#Headers],[Irrigation type i]], 0)</f>
        <v>Surface irrigation</v>
      </c>
      <c r="E146" s="19" cm="1">
        <f t="array" ref="E146">Common_InputFunctions.Utility_DisplayArrayInTable(Common_SourceData.Common_SourceData_FracWETIrrigation_Data(), Table_SourceData_FracWETIrrigation[[#Headers],[Irrigation type i]], 0)</f>
        <v>1</v>
      </c>
      <c r="BN146" s="21"/>
    </row>
    <row r="147" spans="1:66" ht="20.100000000000001" customHeight="1" x14ac:dyDescent="0.2">
      <c r="A147"/>
      <c r="D147" s="1" t="str" cm="1">
        <f t="array" ref="D147">Common_InputFunctions.Utility_DisplayArrayInTable(Common_SourceData.Common_SourceData_FracWETIrrigation_Data(), Table_SourceData_FracWETIrrigation[[#Headers],[Irrigation type i]], 0)</f>
        <v>Other irrigation</v>
      </c>
      <c r="E147" s="19" cm="1">
        <f t="array" ref="E147">Common_InputFunctions.Utility_DisplayArrayInTable(Common_SourceData.Common_SourceData_FracWETIrrigation_Data(), Table_SourceData_FracWETIrrigation[[#Headers],[Irrigation type i]], 0)</f>
        <v>1</v>
      </c>
      <c r="BN147" s="21"/>
    </row>
    <row r="148" spans="1:66" ht="20.100000000000001" customHeight="1" x14ac:dyDescent="0.2">
      <c r="A148"/>
      <c r="BN148" s="21"/>
    </row>
    <row r="149" spans="1:66" ht="20.100000000000001" customHeight="1" x14ac:dyDescent="0.2">
      <c r="A149"/>
      <c r="BN149" s="21"/>
    </row>
    <row r="150" spans="1:66" ht="20.100000000000001" customHeight="1" x14ac:dyDescent="0.2">
      <c r="A150"/>
      <c r="D150" s="2" t="str" cm="1">
        <f t="array" ref="D150">Common_SourceData.Common_SourceData_DataScores_Scope3_Title()</f>
        <v>Australian data scores for scope 3</v>
      </c>
      <c r="BN150" s="21"/>
    </row>
    <row r="151" spans="1:66" ht="20.100000000000001" customHeight="1" x14ac:dyDescent="0.2">
      <c r="A151"/>
      <c r="D151" s="17" t="str" cm="1">
        <f t="array" ref="D151">Common_SourceData.Common_SourceData_DataScores_Scope3_Source()</f>
        <v>VEERG 2026: XXXXXXXX</v>
      </c>
      <c r="BN151" s="21"/>
    </row>
    <row r="152" spans="1:66" ht="20.100000000000001" customHeight="1" x14ac:dyDescent="0.2">
      <c r="A152"/>
      <c r="BN152" s="21"/>
    </row>
    <row r="153" spans="1:66" ht="20.100000000000001" customHeight="1" x14ac:dyDescent="0.2">
      <c r="A153"/>
      <c r="D153" s="19" t="s">
        <v>58</v>
      </c>
      <c r="E153" s="19" t="s">
        <v>59</v>
      </c>
      <c r="BC153" s="24"/>
      <c r="BD153" s="24"/>
      <c r="BE153" s="24"/>
      <c r="BF153" s="24"/>
      <c r="BG153" s="24"/>
      <c r="BH153" s="24"/>
      <c r="BI153" s="24"/>
      <c r="BJ153" s="24"/>
      <c r="BK153" s="24"/>
      <c r="BL153" s="24"/>
      <c r="BM153" s="24"/>
    </row>
    <row r="154" spans="1:66" ht="20.100000000000001" customHeight="1" x14ac:dyDescent="0.2">
      <c r="A154"/>
      <c r="D154" s="19" t="str" cm="1">
        <f t="array" ref="D154">Common_InputFunctions.Utility_DisplayArrayInTable(Common_SourceData.Common_SourceData_DataScores_Scope3_Data(), Table_SourceData_DataScores_Scope3[[#Headers],[Data source]], 0)</f>
        <v>International scope 3 database</v>
      </c>
      <c r="E154" s="19" cm="1">
        <f t="array" ref="E154">Common_InputFunctions.Utility_DisplayArrayInTable(Common_SourceData.Common_SourceData_DataScores_Scope3_Data(), Table_SourceData_DataScores_Scope3[[#Headers],[Data source]], 0)</f>
        <v>1</v>
      </c>
      <c r="BC154" s="24"/>
      <c r="BD154" s="24"/>
      <c r="BE154" s="24"/>
      <c r="BF154" s="24"/>
      <c r="BG154" s="24"/>
      <c r="BH154" s="24"/>
      <c r="BI154" s="24"/>
      <c r="BJ154" s="24"/>
      <c r="BK154" s="24"/>
      <c r="BL154" s="24"/>
      <c r="BM154" s="24"/>
    </row>
    <row r="155" spans="1:66" ht="20.100000000000001" customHeight="1" x14ac:dyDescent="0.2">
      <c r="A155"/>
      <c r="D155" s="19" t="str" cm="1">
        <f t="array" ref="D155">Common_InputFunctions.Utility_DisplayArrayInTable(Common_SourceData.Common_SourceData_DataScores_Scope3_Data(), Table_SourceData_DataScores_Scope3[[#Headers],[Data source]], 0)</f>
        <v>Australian scope 3 database</v>
      </c>
      <c r="E155" s="19" cm="1">
        <f t="array" ref="E155">Common_InputFunctions.Utility_DisplayArrayInTable(Common_SourceData.Common_SourceData_DataScores_Scope3_Data(), Table_SourceData_DataScores_Scope3[[#Headers],[Data source]], 0)</f>
        <v>2</v>
      </c>
      <c r="BC155" s="24"/>
      <c r="BD155" s="24"/>
      <c r="BE155" s="24"/>
      <c r="BF155" s="24"/>
      <c r="BG155" s="24"/>
      <c r="BH155" s="24"/>
      <c r="BI155" s="24"/>
      <c r="BJ155" s="24"/>
      <c r="BK155" s="24"/>
      <c r="BL155" s="24"/>
      <c r="BM155" s="24"/>
    </row>
    <row r="156" spans="1:66" ht="20.100000000000001" customHeight="1" x14ac:dyDescent="0.2">
      <c r="A156" s="79" t="str">
        <f>HYPERLINK("#A1", "▲ Back to top")</f>
        <v>▲ Back to top</v>
      </c>
      <c r="D156" s="19" t="str" cm="1">
        <f t="array" ref="D156">Common_InputFunctions.Utility_DisplayArrayInTable(Common_SourceData.Common_SourceData_DataScores_Scope3_Data(), Table_SourceData_DataScores_Scope3[[#Headers],[Data source]], 0)</f>
        <v>State or regional scope 3 database</v>
      </c>
      <c r="E156" s="19" cm="1">
        <f t="array" ref="E156">Common_InputFunctions.Utility_DisplayArrayInTable(Common_SourceData.Common_SourceData_DataScores_Scope3_Data(), Table_SourceData_DataScores_Scope3[[#Headers],[Data source]], 0)</f>
        <v>3</v>
      </c>
    </row>
    <row r="157" spans="1:66" ht="20.100000000000001" customHeight="1" x14ac:dyDescent="0.2">
      <c r="A157"/>
      <c r="D157" s="19" t="str" cm="1">
        <f t="array" ref="D157">Common_InputFunctions.Utility_DisplayArrayInTable(Common_SourceData.Common_SourceData_DataScores_Scope3_Data(), Table_SourceData_DataScores_Scope3[[#Headers],[Data source]], 0)</f>
        <v>Emissions intensity calculated from approved method</v>
      </c>
      <c r="E157" s="19" cm="1">
        <f t="array" ref="E157">Common_InputFunctions.Utility_DisplayArrayInTable(Common_SourceData.Common_SourceData_DataScores_Scope3_Data(), Table_SourceData_DataScores_Scope3[[#Headers],[Data source]], 0)</f>
        <v>4</v>
      </c>
    </row>
    <row r="158" spans="1:66" ht="20.100000000000001" customHeight="1" x14ac:dyDescent="0.2">
      <c r="A158"/>
      <c r="D158" s="19" t="str" cm="1">
        <f t="array" ref="D158">Common_InputFunctions.Utility_DisplayArrayInTable(Common_SourceData.Common_SourceData_DataScores_Scope3_Data(), Table_SourceData_DataScores_Scope3[[#Headers],[Data source]], 0)</f>
        <v>Verified credential matching ISO14067</v>
      </c>
      <c r="E158" s="19" cm="1">
        <f t="array" ref="E158">Common_InputFunctions.Utility_DisplayArrayInTable(Common_SourceData.Common_SourceData_DataScores_Scope3_Data(), Table_SourceData_DataScores_Scope3[[#Headers],[Data source]], 0)</f>
        <v>5</v>
      </c>
    </row>
    <row r="159" spans="1:66" ht="20.100000000000001" customHeight="1" x14ac:dyDescent="0.2">
      <c r="A159"/>
    </row>
    <row r="160" spans="1:66" ht="20.100000000000001" customHeight="1" x14ac:dyDescent="0.2">
      <c r="A160"/>
    </row>
    <row r="161" spans="1:68" ht="20.100000000000001" customHeight="1" x14ac:dyDescent="0.2">
      <c r="A161"/>
      <c r="D161" s="2" t="str" cm="1">
        <f t="array" ref="D161">Common_SourceData.Common_SourceData_FracLEACH_Title()</f>
        <v>Fraction of N that is available for leaching and runoff</v>
      </c>
      <c r="E161" s="8"/>
    </row>
    <row r="162" spans="1:68" ht="20.100000000000001" customHeight="1" x14ac:dyDescent="0.2">
      <c r="A162"/>
      <c r="D162" s="17" t="str" cm="1">
        <f t="array" ref="D162">Common_SourceData.Common_SourceData_FracLEACH_Source()</f>
        <v>VEERG 2026:5.5.2.3 Constant Parameters</v>
      </c>
      <c r="E162" s="8"/>
    </row>
    <row r="163" spans="1:68" ht="20.100000000000001" customHeight="1" x14ac:dyDescent="0.2">
      <c r="A163"/>
      <c r="D163" s="17" t="str" cm="1">
        <f t="array" ref="D163">Common_SourceData.Common_SourceData_FracLEACH_NIRReference()</f>
        <v>National Inventory Report Volume 1: Leaching and runoff (3.D.b.2)</v>
      </c>
      <c r="E163" s="8"/>
    </row>
    <row r="164" spans="1:68" ht="20.100000000000001" customHeight="1" x14ac:dyDescent="0.2">
      <c r="A164"/>
      <c r="D164" s="8" t="str" cm="1">
        <f t="array" ref="D164:E164">Common_SourceData.Common_SourceData_FracLEACH_Data()</f>
        <v>FracLEACH</v>
      </c>
      <c r="E164" s="8">
        <v>0.24</v>
      </c>
    </row>
    <row r="165" spans="1:68" ht="20.100000000000001" customHeight="1" x14ac:dyDescent="0.2">
      <c r="A165"/>
      <c r="BN165" s="21"/>
      <c r="BO165" s="21"/>
      <c r="BP165" s="21"/>
    </row>
    <row r="166" spans="1:68" ht="20.100000000000001" customHeight="1" x14ac:dyDescent="0.2">
      <c r="A166"/>
      <c r="BN166" s="21"/>
      <c r="BO166" s="21"/>
      <c r="BP166" s="21"/>
    </row>
    <row r="167" spans="1:68" ht="20.100000000000001" customHeight="1" x14ac:dyDescent="0.2">
      <c r="A167"/>
      <c r="D167" s="2" t="str" cm="1">
        <f t="array" ref="D167">Common_SourceData.Common_SourceData_EFleach_Title()</f>
        <v>Emission factor for nitrogen leaching and runoff</v>
      </c>
      <c r="BN167" s="21"/>
      <c r="BO167" s="21"/>
      <c r="BP167" s="21"/>
    </row>
    <row r="168" spans="1:68" ht="20.100000000000001" customHeight="1" x14ac:dyDescent="0.2">
      <c r="A168"/>
      <c r="D168" s="17" t="str" cm="1">
        <f t="array" ref="D168">Common_SourceData.Common_SourceData_EFleach_Source()</f>
        <v>VEERG 2026:5.5.2.3 Constant Parameters</v>
      </c>
      <c r="BN168" s="21"/>
      <c r="BO168" s="21"/>
      <c r="BP168" s="21"/>
    </row>
    <row r="169" spans="1:68" ht="20.100000000000001" customHeight="1" x14ac:dyDescent="0.2">
      <c r="A169"/>
      <c r="D169" s="17" t="str" cm="1">
        <f t="array" ref="D169">Common_SourceData.Common_SourceData_EFleach_NIRReference()</f>
        <v>National Inventory Report Volume 1: Equation 3.D.B_10</v>
      </c>
      <c r="BN169" s="21"/>
      <c r="BO169" s="21"/>
      <c r="BP169" s="21"/>
    </row>
    <row r="170" spans="1:68" ht="20.100000000000001" customHeight="1" x14ac:dyDescent="0.2">
      <c r="A170"/>
      <c r="D170" s="1" t="str" cm="1">
        <f t="array" ref="D170:E170">Common_SourceData.Common_SourceData_EFleach_Data()</f>
        <v>EFleach</v>
      </c>
      <c r="E170" s="1">
        <v>1.0999999999999999E-2</v>
      </c>
      <c r="BN170" s="21"/>
      <c r="BO170" s="21"/>
      <c r="BP170" s="21"/>
    </row>
    <row r="171" spans="1:68" ht="20.100000000000001" customHeight="1" x14ac:dyDescent="0.2">
      <c r="A171"/>
      <c r="BN171" s="21"/>
      <c r="BO171" s="21"/>
      <c r="BP171" s="21"/>
    </row>
    <row r="172" spans="1:68" ht="20.100000000000001" customHeight="1" x14ac:dyDescent="0.2">
      <c r="A172"/>
      <c r="BN172" s="21"/>
      <c r="BO172" s="21"/>
      <c r="BP172" s="21"/>
    </row>
    <row r="173" spans="1:68" ht="20.100000000000001" customHeight="1" x14ac:dyDescent="0.2">
      <c r="A173"/>
      <c r="D173" s="2" t="str" cm="1">
        <f t="array" ref="D173">Common_SourceData.Common_SourceData_DensityOfMethane_Title()</f>
        <v>p = density of methane</v>
      </c>
      <c r="BN173" s="21"/>
      <c r="BO173" s="21"/>
      <c r="BP173" s="21"/>
    </row>
    <row r="174" spans="1:68" ht="20.100000000000001" customHeight="1" x14ac:dyDescent="0.2">
      <c r="A174"/>
      <c r="D174" s="17" t="str" cm="1">
        <f t="array" ref="D174">Common_SourceData.Common_SourceData_DensityOfMethane_Source()</f>
        <v>National Inventory Report 2023 Volume 1: Equations 3.B.1a_2, 3.B.1c_2, 3.B.3_1, 3.B.4g_2</v>
      </c>
      <c r="BN174" s="21"/>
      <c r="BO174" s="21"/>
      <c r="BP174" s="21"/>
    </row>
    <row r="175" spans="1:68" ht="20.100000000000001" customHeight="1" x14ac:dyDescent="0.2">
      <c r="A175"/>
      <c r="D175" s="1" cm="1">
        <f t="array" ref="D175">Common_SourceData.Common_SourceData_DensityOfMethane_Data()</f>
        <v>0.6784</v>
      </c>
      <c r="E175" s="9" t="str" cm="1">
        <f t="array" ref="E175">Common_SourceData.Common_SourceData_DensityOfMethane_Unit()</f>
        <v>kg/m3</v>
      </c>
      <c r="BN175" s="21"/>
      <c r="BO175" s="21"/>
      <c r="BP175" s="21"/>
    </row>
    <row r="176" spans="1:68" ht="20.100000000000001" customHeight="1" x14ac:dyDescent="0.2">
      <c r="A176"/>
      <c r="BN176" s="21"/>
      <c r="BO176" s="21"/>
      <c r="BP176" s="21"/>
    </row>
    <row r="177" spans="1:68" ht="20.100000000000001" customHeight="1" x14ac:dyDescent="0.2">
      <c r="A177"/>
      <c r="BN177" s="21"/>
      <c r="BO177" s="21"/>
      <c r="BP177" s="21"/>
    </row>
    <row r="178" spans="1:68" ht="20.100000000000001" customHeight="1" x14ac:dyDescent="0.2">
      <c r="A178"/>
      <c r="D178" s="2" t="str" cm="1">
        <f t="array" ref="D178">Common_SourceData.Common_SourceData_EFN2O_Title()</f>
        <v>Nitrous oxide emission factors for inorganic fertiliser application</v>
      </c>
      <c r="BN178" s="21"/>
      <c r="BO178" s="21"/>
      <c r="BP178" s="21"/>
    </row>
    <row r="179" spans="1:68" ht="20.100000000000001" customHeight="1" x14ac:dyDescent="0.2">
      <c r="A179"/>
      <c r="D179" s="17" t="str" cm="1">
        <f t="array" ref="D179">Common_SourceData.Common_SourceData_EFN2O_Source()</f>
        <v>VEERG 2026: Table A.2.2.1</v>
      </c>
      <c r="BN179" s="21"/>
      <c r="BO179" s="21"/>
      <c r="BP179" s="21"/>
    </row>
    <row r="180" spans="1:68" ht="20.100000000000001" customHeight="1" x14ac:dyDescent="0.2">
      <c r="A180"/>
      <c r="D180" s="9" t="str" cm="1">
        <f t="array" ref="D180">Common_SourceData.Common_SourceData_EFN2O_Unit()</f>
        <v>(kg N2O-N / kg N</v>
      </c>
    </row>
    <row r="181" spans="1:68" ht="20.100000000000001" customHeight="1" x14ac:dyDescent="0.2">
      <c r="A181"/>
      <c r="D181" s="25" t="str" cm="1">
        <f t="array" ref="D181:D185">Common_SourceData.Common_SourceData_EFN2O_Variation()</f>
        <v>VARIATION OF SOURCE DATA:</v>
      </c>
    </row>
    <row r="182" spans="1:68" ht="20.100000000000001" customHeight="1" x14ac:dyDescent="0.2">
      <c r="A182"/>
      <c r="D182" s="25" t="str">
        <v>Removed duplicate 'Aquaculture' row.</v>
      </c>
    </row>
    <row r="183" spans="1:68" ht="20.100000000000001" customHeight="1" x14ac:dyDescent="0.2">
      <c r="A183"/>
      <c r="D183" s="25" t="str">
        <v>Removed asterisks to aid lookup.</v>
      </c>
    </row>
    <row r="184" spans="1:68" ht="20.100000000000001" customHeight="1" x14ac:dyDescent="0.2">
      <c r="A184"/>
      <c r="D184" s="25" t="str">
        <v>Added 'production system only', 'rainfall zone' and 'irrigation method' columns to aid lookup.</v>
      </c>
    </row>
    <row r="185" spans="1:68" ht="20.100000000000001" customHeight="1" x14ac:dyDescent="0.2">
      <c r="A185"/>
      <c r="D185" s="25" t="str">
        <v>Duplicated 'non-irrigated pasture' row with same EF for low and high rainfall zones to aid lookup.</v>
      </c>
    </row>
    <row r="186" spans="1:68" ht="20.100000000000001" customHeight="1" x14ac:dyDescent="0.2">
      <c r="A186" s="79" t="str">
        <f>HYPERLINK("#A1", "▲ Back to top")</f>
        <v>▲ Back to top</v>
      </c>
      <c r="D186" s="19" t="s">
        <v>60</v>
      </c>
      <c r="E186" s="19" t="s">
        <v>61</v>
      </c>
      <c r="F186" s="19" t="s">
        <v>62</v>
      </c>
      <c r="G186" s="19" t="s">
        <v>63</v>
      </c>
      <c r="H186" s="19" t="s">
        <v>64</v>
      </c>
    </row>
    <row r="187" spans="1:68" ht="20.100000000000001" customHeight="1" x14ac:dyDescent="0.2">
      <c r="A187"/>
      <c r="D187" s="19" t="str" cm="1">
        <f t="array" ref="D187">Common_InputFunctions.Utility_DisplayArrayInTable(Common_SourceData.Common_SourceData_EFN2O_Data(), Table_SourceData_Common_EFN2O[[#Headers],[Production system j]], 0)</f>
        <v>Irrigated pasture</v>
      </c>
      <c r="E187" s="19" cm="1">
        <f t="array" ref="E187">Common_InputFunctions.Utility_DisplayArrayInTable(Common_SourceData.Common_SourceData_EFN2O_Data(), Table_SourceData_Common_EFN2O[[#Headers],[Production system j]], 0)</f>
        <v>5.8999999999999999E-3</v>
      </c>
      <c r="F187" s="19" t="str" cm="1">
        <f t="array" ref="F187">Common_InputFunctions.Utility_DisplayArrayInTable(Common_SourceData.Common_SourceData_EFN2O_Data(), Table_SourceData_Common_EFN2O[[#Headers],[Production system j]], 0)</f>
        <v>Pasture</v>
      </c>
      <c r="G187" s="19" t="str" cm="1">
        <f t="array" ref="G187">Common_InputFunctions.Utility_DisplayArrayInTable(Common_SourceData.Common_SourceData_EFN2O_Data(), Table_SourceData_Common_EFN2O[[#Headers],[Production system j]], 0)</f>
        <v>Any</v>
      </c>
      <c r="H187" s="19" t="str" cm="1">
        <f t="array" ref="H187">Common_InputFunctions.Utility_DisplayArrayInTable(Common_SourceData.Common_SourceData_EFN2O_Data(), Table_SourceData_Common_EFN2O[[#Headers],[Production system j]], 0)</f>
        <v>Any</v>
      </c>
    </row>
    <row r="188" spans="1:68" ht="20.100000000000001" customHeight="1" x14ac:dyDescent="0.2">
      <c r="A188"/>
      <c r="D188" s="19" t="str" cm="1">
        <f t="array" ref="D188">Common_InputFunctions.Utility_DisplayArrayInTable(Common_SourceData.Common_SourceData_EFN2O_Data(), Table_SourceData_Common_EFN2O[[#Headers],[Production system j]], 0)</f>
        <v>Irrigated crop</v>
      </c>
      <c r="E188" s="19" cm="1">
        <f t="array" ref="E188">Common_InputFunctions.Utility_DisplayArrayInTable(Common_SourceData.Common_SourceData_EFN2O_Data(), Table_SourceData_Common_EFN2O[[#Headers],[Production system j]], 0)</f>
        <v>7.0000000000000001E-3</v>
      </c>
      <c r="F188" s="19" t="str" cm="1">
        <f t="array" ref="F188">Common_InputFunctions.Utility_DisplayArrayInTable(Common_SourceData.Common_SourceData_EFN2O_Data(), Table_SourceData_Common_EFN2O[[#Headers],[Production system j]], 0)</f>
        <v>Crop</v>
      </c>
      <c r="G188" s="19" t="str" cm="1">
        <f t="array" ref="G188">Common_InputFunctions.Utility_DisplayArrayInTable(Common_SourceData.Common_SourceData_EFN2O_Data(), Table_SourceData_Common_EFN2O[[#Headers],[Production system j]], 0)</f>
        <v>Any</v>
      </c>
      <c r="H188" s="19" t="str" cm="1">
        <f t="array" ref="H188">Common_InputFunctions.Utility_DisplayArrayInTable(Common_SourceData.Common_SourceData_EFN2O_Data(), Table_SourceData_Common_EFN2O[[#Headers],[Production system j]], 0)</f>
        <v>Any</v>
      </c>
    </row>
    <row r="189" spans="1:68" ht="20.100000000000001" customHeight="1" x14ac:dyDescent="0.2">
      <c r="A189"/>
      <c r="D189" s="19" t="str" cm="1">
        <f t="array" ref="D189">Common_InputFunctions.Utility_DisplayArrayInTable(Common_SourceData.Common_SourceData_EFN2O_Data(), Table_SourceData_Common_EFN2O[[#Headers],[Production system j]], 0)</f>
        <v>Non-irrigated pasture</v>
      </c>
      <c r="E189" s="19" cm="1">
        <f t="array" ref="E189">Common_InputFunctions.Utility_DisplayArrayInTable(Common_SourceData.Common_SourceData_EFN2O_Data(), Table_SourceData_Common_EFN2O[[#Headers],[Production system j]], 0)</f>
        <v>1.8E-3</v>
      </c>
      <c r="F189" s="19" t="str" cm="1">
        <f t="array" ref="F189">Common_InputFunctions.Utility_DisplayArrayInTable(Common_SourceData.Common_SourceData_EFN2O_Data(), Table_SourceData_Common_EFN2O[[#Headers],[Production system j]], 0)</f>
        <v>Pasture</v>
      </c>
      <c r="G189" s="19" t="str" cm="1">
        <f t="array" ref="G189">Common_InputFunctions.Utility_DisplayArrayInTable(Common_SourceData.Common_SourceData_EFN2O_Data(), Table_SourceData_Common_EFN2O[[#Headers],[Production system j]], 0)</f>
        <v>Not irrigated</v>
      </c>
      <c r="H189" s="19" t="str" cm="1">
        <f t="array" ref="H189">Common_InputFunctions.Utility_DisplayArrayInTable(Common_SourceData.Common_SourceData_EFN2O_Data(), Table_SourceData_Common_EFN2O[[#Headers],[Production system j]], 0)</f>
        <v>Low rainfall</v>
      </c>
    </row>
    <row r="190" spans="1:68" ht="20.100000000000001" customHeight="1" x14ac:dyDescent="0.2">
      <c r="A190"/>
      <c r="D190" s="19" t="str" cm="1">
        <f t="array" ref="D190">Common_InputFunctions.Utility_DisplayArrayInTable(Common_SourceData.Common_SourceData_EFN2O_Data(), Table_SourceData_Common_EFN2O[[#Headers],[Production system j]], 0)</f>
        <v>Non-irrigated pasture</v>
      </c>
      <c r="E190" s="19" cm="1">
        <f t="array" ref="E190">Common_InputFunctions.Utility_DisplayArrayInTable(Common_SourceData.Common_SourceData_EFN2O_Data(), Table_SourceData_Common_EFN2O[[#Headers],[Production system j]], 0)</f>
        <v>1.8E-3</v>
      </c>
      <c r="F190" s="19" t="str" cm="1">
        <f t="array" ref="F190">Common_InputFunctions.Utility_DisplayArrayInTable(Common_SourceData.Common_SourceData_EFN2O_Data(), Table_SourceData_Common_EFN2O[[#Headers],[Production system j]], 0)</f>
        <v>Pasture</v>
      </c>
      <c r="G190" s="19" t="str" cm="1">
        <f t="array" ref="G190">Common_InputFunctions.Utility_DisplayArrayInTable(Common_SourceData.Common_SourceData_EFN2O_Data(), Table_SourceData_Common_EFN2O[[#Headers],[Production system j]], 0)</f>
        <v>Not irrigated</v>
      </c>
      <c r="H190" s="19" t="str" cm="1">
        <f t="array" ref="H190">Common_InputFunctions.Utility_DisplayArrayInTable(Common_SourceData.Common_SourceData_EFN2O_Data(), Table_SourceData_Common_EFN2O[[#Headers],[Production system j]], 0)</f>
        <v>High rainfall</v>
      </c>
    </row>
    <row r="191" spans="1:68" ht="20.100000000000001" customHeight="1" x14ac:dyDescent="0.2">
      <c r="A191"/>
      <c r="D191" s="19" t="str" cm="1">
        <f t="array" ref="D191">Common_InputFunctions.Utility_DisplayArrayInTable(Common_SourceData.Common_SourceData_EFN2O_Data(), Table_SourceData_Common_EFN2O[[#Headers],[Production system j]], 0)</f>
        <v>Non-irrigated crop (low rainfall)</v>
      </c>
      <c r="E191" s="19" cm="1">
        <f t="array" ref="E191">Common_InputFunctions.Utility_DisplayArrayInTable(Common_SourceData.Common_SourceData_EFN2O_Data(), Table_SourceData_Common_EFN2O[[#Headers],[Production system j]], 0)</f>
        <v>2.8999999999999998E-3</v>
      </c>
      <c r="F191" s="19" t="str" cm="1">
        <f t="array" ref="F191">Common_InputFunctions.Utility_DisplayArrayInTable(Common_SourceData.Common_SourceData_EFN2O_Data(), Table_SourceData_Common_EFN2O[[#Headers],[Production system j]], 0)</f>
        <v>Crop</v>
      </c>
      <c r="G191" s="19" t="str" cm="1">
        <f t="array" ref="G191">Common_InputFunctions.Utility_DisplayArrayInTable(Common_SourceData.Common_SourceData_EFN2O_Data(), Table_SourceData_Common_EFN2O[[#Headers],[Production system j]], 0)</f>
        <v>Not irrigated</v>
      </c>
      <c r="H191" s="19" t="str" cm="1">
        <f t="array" ref="H191">Common_InputFunctions.Utility_DisplayArrayInTable(Common_SourceData.Common_SourceData_EFN2O_Data(), Table_SourceData_Common_EFN2O[[#Headers],[Production system j]], 0)</f>
        <v>Low rainfall</v>
      </c>
    </row>
    <row r="192" spans="1:68" ht="20.100000000000001" customHeight="1" x14ac:dyDescent="0.2">
      <c r="A192"/>
      <c r="D192" s="19" t="str" cm="1">
        <f t="array" ref="D192">Common_InputFunctions.Utility_DisplayArrayInTable(Common_SourceData.Common_SourceData_EFN2O_Data(), Table_SourceData_Common_EFN2O[[#Headers],[Production system j]], 0)</f>
        <v>Non-irrigated crop (high rainfall)</v>
      </c>
      <c r="E192" s="19" cm="1">
        <f t="array" ref="E192">Common_InputFunctions.Utility_DisplayArrayInTable(Common_SourceData.Common_SourceData_EFN2O_Data(), Table_SourceData_Common_EFN2O[[#Headers],[Production system j]], 0)</f>
        <v>8.0000000000000002E-3</v>
      </c>
      <c r="F192" s="19" t="str" cm="1">
        <f t="array" ref="F192">Common_InputFunctions.Utility_DisplayArrayInTable(Common_SourceData.Common_SourceData_EFN2O_Data(), Table_SourceData_Common_EFN2O[[#Headers],[Production system j]], 0)</f>
        <v>Crop</v>
      </c>
      <c r="G192" s="19" t="str" cm="1">
        <f t="array" ref="G192">Common_InputFunctions.Utility_DisplayArrayInTable(Common_SourceData.Common_SourceData_EFN2O_Data(), Table_SourceData_Common_EFN2O[[#Headers],[Production system j]], 0)</f>
        <v>Not irrigated</v>
      </c>
      <c r="H192" s="19" t="str" cm="1">
        <f t="array" ref="H192">Common_InputFunctions.Utility_DisplayArrayInTable(Common_SourceData.Common_SourceData_EFN2O_Data(), Table_SourceData_Common_EFN2O[[#Headers],[Production system j]], 0)</f>
        <v>High rainfall</v>
      </c>
    </row>
    <row r="193" spans="1:8" ht="20.100000000000001" customHeight="1" x14ac:dyDescent="0.2">
      <c r="A193"/>
      <c r="D193" s="19" t="str" cm="1">
        <f t="array" ref="D193">Common_InputFunctions.Utility_DisplayArrayInTable(Common_SourceData.Common_SourceData_EFN2O_Data(), Table_SourceData_Common_EFN2O[[#Headers],[Production system j]], 0)</f>
        <v>Sugar</v>
      </c>
      <c r="E193" s="19" cm="1">
        <f t="array" ref="E193">Common_InputFunctions.Utility_DisplayArrayInTable(Common_SourceData.Common_SourceData_EFN2O_Data(), Table_SourceData_Common_EFN2O[[#Headers],[Production system j]], 0)</f>
        <v>1.9900000000000001E-2</v>
      </c>
      <c r="F193" s="19" t="str" cm="1">
        <f t="array" ref="F193">Common_InputFunctions.Utility_DisplayArrayInTable(Common_SourceData.Common_SourceData_EFN2O_Data(), Table_SourceData_Common_EFN2O[[#Headers],[Production system j]], 0)</f>
        <v>Sugar</v>
      </c>
      <c r="G193" s="19" t="str" cm="1">
        <f t="array" ref="G193">Common_InputFunctions.Utility_DisplayArrayInTable(Common_SourceData.Common_SourceData_EFN2O_Data(), Table_SourceData_Common_EFN2O[[#Headers],[Production system j]], 0)</f>
        <v>Any</v>
      </c>
      <c r="H193" s="19" t="str" cm="1">
        <f t="array" ref="H193">Common_InputFunctions.Utility_DisplayArrayInTable(Common_SourceData.Common_SourceData_EFN2O_Data(), Table_SourceData_Common_EFN2O[[#Headers],[Production system j]], 0)</f>
        <v>Any</v>
      </c>
    </row>
    <row r="194" spans="1:8" ht="20.100000000000001" customHeight="1" x14ac:dyDescent="0.2">
      <c r="A194"/>
      <c r="D194" s="19" t="str" cm="1">
        <f t="array" ref="D194">Common_InputFunctions.Utility_DisplayArrayInTable(Common_SourceData.Common_SourceData_EFN2O_Data(), Table_SourceData_Common_EFN2O[[#Headers],[Production system j]], 0)</f>
        <v>Cotton</v>
      </c>
      <c r="E194" s="19" cm="1">
        <f t="array" ref="E194">Common_InputFunctions.Utility_DisplayArrayInTable(Common_SourceData.Common_SourceData_EFN2O_Data(), Table_SourceData_Common_EFN2O[[#Headers],[Production system j]], 0)</f>
        <v>5.3E-3</v>
      </c>
      <c r="F194" s="19" t="str" cm="1">
        <f t="array" ref="F194">Common_InputFunctions.Utility_DisplayArrayInTable(Common_SourceData.Common_SourceData_EFN2O_Data(), Table_SourceData_Common_EFN2O[[#Headers],[Production system j]], 0)</f>
        <v>Cotton</v>
      </c>
      <c r="G194" s="19" t="str" cm="1">
        <f t="array" ref="G194">Common_InputFunctions.Utility_DisplayArrayInTable(Common_SourceData.Common_SourceData_EFN2O_Data(), Table_SourceData_Common_EFN2O[[#Headers],[Production system j]], 0)</f>
        <v>Any</v>
      </c>
      <c r="H194" s="19" t="str" cm="1">
        <f t="array" ref="H194">Common_InputFunctions.Utility_DisplayArrayInTable(Common_SourceData.Common_SourceData_EFN2O_Data(), Table_SourceData_Common_EFN2O[[#Headers],[Production system j]], 0)</f>
        <v>Any</v>
      </c>
    </row>
    <row r="195" spans="1:8" ht="20.100000000000001" customHeight="1" x14ac:dyDescent="0.2">
      <c r="A195"/>
      <c r="D195" s="19" t="str" cm="1">
        <f t="array" ref="D195">Common_InputFunctions.Utility_DisplayArrayInTable(Common_SourceData.Common_SourceData_EFN2O_Data(), Table_SourceData_Common_EFN2O[[#Headers],[Production system j]], 0)</f>
        <v>Horticultural crops</v>
      </c>
      <c r="E195" s="19" cm="1">
        <f t="array" ref="E195">Common_InputFunctions.Utility_DisplayArrayInTable(Common_SourceData.Common_SourceData_EFN2O_Data(), Table_SourceData_Common_EFN2O[[#Headers],[Production system j]], 0)</f>
        <v>6.4000000000000003E-3</v>
      </c>
      <c r="F195" s="19" t="str" cm="1">
        <f t="array" ref="F195">Common_InputFunctions.Utility_DisplayArrayInTable(Common_SourceData.Common_SourceData_EFN2O_Data(), Table_SourceData_Common_EFN2O[[#Headers],[Production system j]], 0)</f>
        <v>Horticultural crops</v>
      </c>
      <c r="G195" s="19" t="str" cm="1">
        <f t="array" ref="G195">Common_InputFunctions.Utility_DisplayArrayInTable(Common_SourceData.Common_SourceData_EFN2O_Data(), Table_SourceData_Common_EFN2O[[#Headers],[Production system j]], 0)</f>
        <v>Any</v>
      </c>
      <c r="H195" s="19" t="str" cm="1">
        <f t="array" ref="H195">Common_InputFunctions.Utility_DisplayArrayInTable(Common_SourceData.Common_SourceData_EFN2O_Data(), Table_SourceData_Common_EFN2O[[#Headers],[Production system j]], 0)</f>
        <v>Any</v>
      </c>
    </row>
    <row r="196" spans="1:8" ht="20.100000000000001" customHeight="1" x14ac:dyDescent="0.2">
      <c r="A196"/>
      <c r="D196" s="19" t="str" cm="1">
        <f t="array" ref="D196">Common_InputFunctions.Utility_DisplayArrayInTable(Common_SourceData.Common_SourceData_EFN2O_Data(), Table_SourceData_Common_EFN2O[[#Headers],[Production system j]], 0)</f>
        <v>Rice (continuous flooding)</v>
      </c>
      <c r="E196" s="19" cm="1">
        <f t="array" ref="E196">Common_InputFunctions.Utility_DisplayArrayInTable(Common_SourceData.Common_SourceData_EFN2O_Data(), Table_SourceData_Common_EFN2O[[#Headers],[Production system j]], 0)</f>
        <v>3.0000000000000001E-3</v>
      </c>
      <c r="F196" s="19" t="str" cm="1">
        <f t="array" ref="F196">Common_InputFunctions.Utility_DisplayArrayInTable(Common_SourceData.Common_SourceData_EFN2O_Data(), Table_SourceData_Common_EFN2O[[#Headers],[Production system j]], 0)</f>
        <v>Rice</v>
      </c>
      <c r="G196" s="19" t="str" cm="1">
        <f t="array" ref="G196">Common_InputFunctions.Utility_DisplayArrayInTable(Common_SourceData.Common_SourceData_EFN2O_Data(), Table_SourceData_Common_EFN2O[[#Headers],[Production system j]], 0)</f>
        <v>Continuous flooding</v>
      </c>
      <c r="H196" s="19" t="str" cm="1">
        <f t="array" ref="H196">Common_InputFunctions.Utility_DisplayArrayInTable(Common_SourceData.Common_SourceData_EFN2O_Data(), Table_SourceData_Common_EFN2O[[#Headers],[Production system j]], 0)</f>
        <v>Any</v>
      </c>
    </row>
    <row r="197" spans="1:8" ht="20.100000000000001" customHeight="1" x14ac:dyDescent="0.2">
      <c r="A197"/>
      <c r="D197" s="19" t="str" cm="1">
        <f t="array" ref="D197">Common_InputFunctions.Utility_DisplayArrayInTable(Common_SourceData.Common_SourceData_EFN2O_Data(), Table_SourceData_Common_EFN2O[[#Headers],[Production system j]], 0)</f>
        <v>Rice (single and multiple drainage, or alternate wetting and drying)</v>
      </c>
      <c r="E197" s="19" cm="1">
        <f t="array" ref="E197">Common_InputFunctions.Utility_DisplayArrayInTable(Common_SourceData.Common_SourceData_EFN2O_Data(), Table_SourceData_Common_EFN2O[[#Headers],[Production system j]], 0)</f>
        <v>5.0000000000000001E-3</v>
      </c>
      <c r="F197" s="19" t="str" cm="1">
        <f t="array" ref="F197">Common_InputFunctions.Utility_DisplayArrayInTable(Common_SourceData.Common_SourceData_EFN2O_Data(), Table_SourceData_Common_EFN2O[[#Headers],[Production system j]], 0)</f>
        <v>Rice</v>
      </c>
      <c r="G197" s="19" t="str" cm="1">
        <f t="array" ref="G197">Common_InputFunctions.Utility_DisplayArrayInTable(Common_SourceData.Common_SourceData_EFN2O_Data(), Table_SourceData_Common_EFN2O[[#Headers],[Production system j]], 0)</f>
        <v>Single and multiple drainage, or alternate wetting and drying</v>
      </c>
      <c r="H197" s="19" t="str" cm="1">
        <f t="array" ref="H197">Common_InputFunctions.Utility_DisplayArrayInTable(Common_SourceData.Common_SourceData_EFN2O_Data(), Table_SourceData_Common_EFN2O[[#Headers],[Production system j]], 0)</f>
        <v>Any</v>
      </c>
    </row>
    <row r="198" spans="1:8" ht="20.100000000000001" customHeight="1" x14ac:dyDescent="0.2">
      <c r="A198"/>
      <c r="D198" s="19" t="str" cm="1">
        <f t="array" ref="D198">Common_InputFunctions.Utility_DisplayArrayInTable(Common_SourceData.Common_SourceData_EFN2O_Data(), Table_SourceData_Common_EFN2O[[#Headers],[Production system j]], 0)</f>
        <v>Aquaculture</v>
      </c>
      <c r="E198" s="19" cm="1">
        <f t="array" ref="E198">Common_InputFunctions.Utility_DisplayArrayInTable(Common_SourceData.Common_SourceData_EFN2O_Data(), Table_SourceData_Common_EFN2O[[#Headers],[Production system j]], 0)</f>
        <v>2.5999999999999999E-3</v>
      </c>
      <c r="F198" s="19" t="str" cm="1">
        <f t="array" ref="F198">Common_InputFunctions.Utility_DisplayArrayInTable(Common_SourceData.Common_SourceData_EFN2O_Data(), Table_SourceData_Common_EFN2O[[#Headers],[Production system j]], 0)</f>
        <v>Aquaculture</v>
      </c>
      <c r="G198" s="19" t="str" cm="1">
        <f t="array" ref="G198">Common_InputFunctions.Utility_DisplayArrayInTable(Common_SourceData.Common_SourceData_EFN2O_Data(), Table_SourceData_Common_EFN2O[[#Headers],[Production system j]], 0)</f>
        <v>Any</v>
      </c>
      <c r="H198" s="19" t="str" cm="1">
        <f t="array" ref="H198">Common_InputFunctions.Utility_DisplayArrayInTable(Common_SourceData.Common_SourceData_EFN2O_Data(), Table_SourceData_Common_EFN2O[[#Headers],[Production system j]], 0)</f>
        <v>Any</v>
      </c>
    </row>
    <row r="199" spans="1:8" ht="20.100000000000001" customHeight="1" x14ac:dyDescent="0.2">
      <c r="A199"/>
      <c r="D199" s="19" t="str" cm="1">
        <f t="array" ref="D199">Common_InputFunctions.Utility_DisplayArrayInTable(Common_SourceData.Common_SourceData_EFN2O_Data(), Table_SourceData_Common_EFN2O[[#Headers],[Production system j]], 0)</f>
        <v>Forestry</v>
      </c>
      <c r="E199" s="19" cm="1">
        <f t="array" ref="E199">Common_InputFunctions.Utility_DisplayArrayInTable(Common_SourceData.Common_SourceData_EFN2O_Data(), Table_SourceData_Common_EFN2O[[#Headers],[Production system j]], 0)</f>
        <v>1.8E-3</v>
      </c>
      <c r="F199" s="19" t="str" cm="1">
        <f t="array" ref="F199">Common_InputFunctions.Utility_DisplayArrayInTable(Common_SourceData.Common_SourceData_EFN2O_Data(), Table_SourceData_Common_EFN2O[[#Headers],[Production system j]], 0)</f>
        <v>Forestry</v>
      </c>
      <c r="G199" s="19" t="str" cm="1">
        <f t="array" ref="G199">Common_InputFunctions.Utility_DisplayArrayInTable(Common_SourceData.Common_SourceData_EFN2O_Data(), Table_SourceData_Common_EFN2O[[#Headers],[Production system j]], 0)</f>
        <v>Any</v>
      </c>
      <c r="H199" s="19" t="str" cm="1">
        <f t="array" ref="H199">Common_InputFunctions.Utility_DisplayArrayInTable(Common_SourceData.Common_SourceData_EFN2O_Data(), Table_SourceData_Common_EFN2O[[#Headers],[Production system j]], 0)</f>
        <v>Any</v>
      </c>
    </row>
    <row r="200" spans="1:8" ht="20.100000000000001" customHeight="1" x14ac:dyDescent="0.2">
      <c r="A200"/>
    </row>
    <row r="201" spans="1:8" ht="20.100000000000001" customHeight="1" x14ac:dyDescent="0.2">
      <c r="A201"/>
    </row>
    <row r="202" spans="1:8" ht="20.100000000000001" customHeight="1" x14ac:dyDescent="0.2">
      <c r="A202"/>
      <c r="D202" s="2" t="str" cm="1">
        <f t="array" ref="D202">Common_SourceData.Common_SourceData_EFPastureRangeAndPaddock_Title()</f>
        <v>Emission factor for urine and dung deposited on pasture, range or paddock</v>
      </c>
    </row>
    <row r="203" spans="1:8" ht="20.100000000000001" customHeight="1" x14ac:dyDescent="0.2">
      <c r="A203"/>
      <c r="D203" s="17" t="str" cm="1">
        <f t="array" ref="D203">Common_SourceData.Common_SourceData_EFPastureRangeAndPaddock_Source()</f>
        <v>VEERG 2026: Table A.2.2.2</v>
      </c>
    </row>
    <row r="204" spans="1:8" ht="20.100000000000001" customHeight="1" x14ac:dyDescent="0.2">
      <c r="A204"/>
      <c r="D204" s="25" t="str" cm="1">
        <f t="array" ref="D204">Common_SourceData.Common_SourceData_EFPastureRangeAndPaddock_Variation()</f>
        <v>VARIATION FROM SOURCE DATA: Changed 'Dry climate zones' to singular 'Dry climate zone' to aid lookup.</v>
      </c>
    </row>
    <row r="205" spans="1:8" ht="20.100000000000001" customHeight="1" x14ac:dyDescent="0.2">
      <c r="A205"/>
      <c r="D205" s="9" t="str" cm="1">
        <f t="array" ref="D205">Common_SourceData.Common_SourceData_EFPastureRangeAndPaddock_Unit()</f>
        <v>kg N2O - N / kg N</v>
      </c>
    </row>
    <row r="206" spans="1:8" ht="20.100000000000001" customHeight="1" x14ac:dyDescent="0.2">
      <c r="A206"/>
      <c r="D206" s="19" t="s">
        <v>31</v>
      </c>
      <c r="E206" s="19" t="s">
        <v>65</v>
      </c>
    </row>
    <row r="207" spans="1:8" ht="20.100000000000001" customHeight="1" x14ac:dyDescent="0.2">
      <c r="A207"/>
      <c r="D207" s="19" t="str" cm="1">
        <f t="array" ref="D207">Common_InputFunctions.Utility_DisplayArrayInTable(Common_SourceData.Common_SourceData_EFPastureRangeAndPaddock_Data(), Table_SourceData_EFPastureRangeAndPaddock[[#Headers],[Climate zone]], 0)</f>
        <v>Wet climate zone</v>
      </c>
      <c r="E207" s="19" cm="1">
        <f t="array" ref="E207">Common_InputFunctions.Utility_DisplayArrayInTable(Common_SourceData.Common_SourceData_EFPastureRangeAndPaddock_Data(), Table_SourceData_EFPastureRangeAndPaddock[[#Headers],[Climate zone]], 0)</f>
        <v>6.0000000000000001E-3</v>
      </c>
    </row>
    <row r="208" spans="1:8" ht="20.100000000000001" customHeight="1" x14ac:dyDescent="0.2">
      <c r="A208"/>
      <c r="D208" s="1" t="str" cm="1">
        <f t="array" ref="D208">Common_InputFunctions.Utility_DisplayArrayInTable(Common_SourceData.Common_SourceData_EFPastureRangeAndPaddock_Data(), Table_SourceData_EFPastureRangeAndPaddock[[#Headers],[Climate zone]], 0)</f>
        <v>Dry climate zone</v>
      </c>
      <c r="E208" s="19" cm="1">
        <f t="array" ref="E208">Common_InputFunctions.Utility_DisplayArrayInTable(Common_SourceData.Common_SourceData_EFPastureRangeAndPaddock_Data(), Table_SourceData_EFPastureRangeAndPaddock[[#Headers],[Climate zone]], 0)</f>
        <v>2E-3</v>
      </c>
    </row>
    <row r="209" spans="1:5" ht="20.100000000000001" customHeight="1" x14ac:dyDescent="0.2">
      <c r="A209"/>
    </row>
    <row r="210" spans="1:5" ht="20.100000000000001" customHeight="1" x14ac:dyDescent="0.2">
      <c r="A210"/>
    </row>
    <row r="211" spans="1:5" ht="20.100000000000001" customHeight="1" x14ac:dyDescent="0.2">
      <c r="A211"/>
      <c r="D211" s="1" t="str" cm="1">
        <f t="array" ref="D211">Common_SourceData.Common_SourceData_MonthsToSeasons_Title()</f>
        <v>Months to Seasons Mapping</v>
      </c>
    </row>
    <row r="212" spans="1:5" ht="20.100000000000001" customHeight="1" x14ac:dyDescent="0.2">
      <c r="A212"/>
      <c r="D212" s="19" t="s">
        <v>66</v>
      </c>
      <c r="E212" s="19" t="s">
        <v>67</v>
      </c>
    </row>
    <row r="213" spans="1:5" ht="20.100000000000001" customHeight="1" x14ac:dyDescent="0.2">
      <c r="A213"/>
      <c r="D213" s="19" t="str" cm="1">
        <f t="array" ref="D213">Common_InputFunctions.Utility_DisplayArrayInTable(Common_SourceData.Common_SourceData_MonthsToSeasons_Data(), Table_SourceData_Common_MonthToSeason[[#Headers],[Month]], 0)</f>
        <v>January</v>
      </c>
      <c r="E213" s="19" t="str" cm="1">
        <f t="array" ref="E213">Common_InputFunctions.Utility_DisplayArrayInTable(Common_SourceData.Common_SourceData_MonthsToSeasons_Data(), Table_SourceData_Common_MonthToSeason[[#Headers],[Month]], 0)</f>
        <v>Summer</v>
      </c>
    </row>
    <row r="214" spans="1:5" ht="20.100000000000001" customHeight="1" x14ac:dyDescent="0.2">
      <c r="A214"/>
      <c r="D214" s="1" t="str" cm="1">
        <f t="array" ref="D214">Common_InputFunctions.Utility_DisplayArrayInTable(Common_SourceData.Common_SourceData_MonthsToSeasons_Data(), Table_SourceData_Common_MonthToSeason[[#Headers],[Month]], 0)</f>
        <v>February</v>
      </c>
      <c r="E214" s="19" t="str" cm="1">
        <f t="array" ref="E214">Common_InputFunctions.Utility_DisplayArrayInTable(Common_SourceData.Common_SourceData_MonthsToSeasons_Data(), Table_SourceData_Common_MonthToSeason[[#Headers],[Month]], 0)</f>
        <v>Summer</v>
      </c>
    </row>
    <row r="215" spans="1:5" ht="20.100000000000001" customHeight="1" x14ac:dyDescent="0.2">
      <c r="A215"/>
      <c r="D215" s="1" t="str" cm="1">
        <f t="array" ref="D215">Common_InputFunctions.Utility_DisplayArrayInTable(Common_SourceData.Common_SourceData_MonthsToSeasons_Data(), Table_SourceData_Common_MonthToSeason[[#Headers],[Month]], 0)</f>
        <v>March</v>
      </c>
      <c r="E215" s="19" t="str" cm="1">
        <f t="array" ref="E215">Common_InputFunctions.Utility_DisplayArrayInTable(Common_SourceData.Common_SourceData_MonthsToSeasons_Data(), Table_SourceData_Common_MonthToSeason[[#Headers],[Month]], 0)</f>
        <v>Autumn</v>
      </c>
    </row>
    <row r="216" spans="1:5" ht="20.100000000000001" customHeight="1" x14ac:dyDescent="0.2">
      <c r="A216" s="79" t="str">
        <f>HYPERLINK("#A1", "▲ Back to top")</f>
        <v>▲ Back to top</v>
      </c>
      <c r="D216" s="1" t="str" cm="1">
        <f t="array" ref="D216">Common_InputFunctions.Utility_DisplayArrayInTable(Common_SourceData.Common_SourceData_MonthsToSeasons_Data(), Table_SourceData_Common_MonthToSeason[[#Headers],[Month]], 0)</f>
        <v>April</v>
      </c>
      <c r="E216" s="19" t="str" cm="1">
        <f t="array" ref="E216">Common_InputFunctions.Utility_DisplayArrayInTable(Common_SourceData.Common_SourceData_MonthsToSeasons_Data(), Table_SourceData_Common_MonthToSeason[[#Headers],[Month]], 0)</f>
        <v>Autumn</v>
      </c>
    </row>
    <row r="217" spans="1:5" ht="20.100000000000001" customHeight="1" x14ac:dyDescent="0.2">
      <c r="A217"/>
      <c r="D217" s="1" t="str" cm="1">
        <f t="array" ref="D217">Common_InputFunctions.Utility_DisplayArrayInTable(Common_SourceData.Common_SourceData_MonthsToSeasons_Data(), Table_SourceData_Common_MonthToSeason[[#Headers],[Month]], 0)</f>
        <v>May</v>
      </c>
      <c r="E217" s="19" t="str" cm="1">
        <f t="array" ref="E217">Common_InputFunctions.Utility_DisplayArrayInTable(Common_SourceData.Common_SourceData_MonthsToSeasons_Data(), Table_SourceData_Common_MonthToSeason[[#Headers],[Month]], 0)</f>
        <v>Autumn</v>
      </c>
    </row>
    <row r="218" spans="1:5" ht="20.100000000000001" customHeight="1" x14ac:dyDescent="0.2">
      <c r="A218"/>
      <c r="D218" s="1" t="str" cm="1">
        <f t="array" ref="D218">Common_InputFunctions.Utility_DisplayArrayInTable(Common_SourceData.Common_SourceData_MonthsToSeasons_Data(), Table_SourceData_Common_MonthToSeason[[#Headers],[Month]], 0)</f>
        <v>June</v>
      </c>
      <c r="E218" s="19" t="str" cm="1">
        <f t="array" ref="E218">Common_InputFunctions.Utility_DisplayArrayInTable(Common_SourceData.Common_SourceData_MonthsToSeasons_Data(), Table_SourceData_Common_MonthToSeason[[#Headers],[Month]], 0)</f>
        <v>Winter</v>
      </c>
    </row>
    <row r="219" spans="1:5" ht="20.100000000000001" customHeight="1" x14ac:dyDescent="0.2">
      <c r="A219"/>
      <c r="D219" s="1" t="str" cm="1">
        <f t="array" ref="D219">Common_InputFunctions.Utility_DisplayArrayInTable(Common_SourceData.Common_SourceData_MonthsToSeasons_Data(), Table_SourceData_Common_MonthToSeason[[#Headers],[Month]], 0)</f>
        <v>July</v>
      </c>
      <c r="E219" s="19" t="str" cm="1">
        <f t="array" ref="E219">Common_InputFunctions.Utility_DisplayArrayInTable(Common_SourceData.Common_SourceData_MonthsToSeasons_Data(), Table_SourceData_Common_MonthToSeason[[#Headers],[Month]], 0)</f>
        <v>Winter</v>
      </c>
    </row>
    <row r="220" spans="1:5" ht="20.100000000000001" customHeight="1" x14ac:dyDescent="0.2">
      <c r="A220"/>
      <c r="D220" s="1" t="str" cm="1">
        <f t="array" ref="D220">Common_InputFunctions.Utility_DisplayArrayInTable(Common_SourceData.Common_SourceData_MonthsToSeasons_Data(), Table_SourceData_Common_MonthToSeason[[#Headers],[Month]], 0)</f>
        <v>August</v>
      </c>
      <c r="E220" s="19" t="str" cm="1">
        <f t="array" ref="E220">Common_InputFunctions.Utility_DisplayArrayInTable(Common_SourceData.Common_SourceData_MonthsToSeasons_Data(), Table_SourceData_Common_MonthToSeason[[#Headers],[Month]], 0)</f>
        <v>Winter</v>
      </c>
    </row>
    <row r="221" spans="1:5" ht="20.100000000000001" customHeight="1" x14ac:dyDescent="0.2">
      <c r="A221"/>
      <c r="D221" s="1" t="str" cm="1">
        <f t="array" ref="D221">Common_InputFunctions.Utility_DisplayArrayInTable(Common_SourceData.Common_SourceData_MonthsToSeasons_Data(), Table_SourceData_Common_MonthToSeason[[#Headers],[Month]], 0)</f>
        <v>September</v>
      </c>
      <c r="E221" s="19" t="str" cm="1">
        <f t="array" ref="E221">Common_InputFunctions.Utility_DisplayArrayInTable(Common_SourceData.Common_SourceData_MonthsToSeasons_Data(), Table_SourceData_Common_MonthToSeason[[#Headers],[Month]], 0)</f>
        <v>Spring</v>
      </c>
    </row>
    <row r="222" spans="1:5" ht="20.100000000000001" customHeight="1" x14ac:dyDescent="0.2">
      <c r="A222"/>
      <c r="D222" s="1" t="str" cm="1">
        <f t="array" ref="D222">Common_InputFunctions.Utility_DisplayArrayInTable(Common_SourceData.Common_SourceData_MonthsToSeasons_Data(), Table_SourceData_Common_MonthToSeason[[#Headers],[Month]], 0)</f>
        <v>October</v>
      </c>
      <c r="E222" s="19" t="str" cm="1">
        <f t="array" ref="E222">Common_InputFunctions.Utility_DisplayArrayInTable(Common_SourceData.Common_SourceData_MonthsToSeasons_Data(), Table_SourceData_Common_MonthToSeason[[#Headers],[Month]], 0)</f>
        <v>Spring</v>
      </c>
    </row>
    <row r="223" spans="1:5" ht="20.100000000000001" customHeight="1" x14ac:dyDescent="0.2">
      <c r="A223"/>
      <c r="D223" s="1" t="str" cm="1">
        <f t="array" ref="D223">Common_InputFunctions.Utility_DisplayArrayInTable(Common_SourceData.Common_SourceData_MonthsToSeasons_Data(), Table_SourceData_Common_MonthToSeason[[#Headers],[Month]], 0)</f>
        <v>November</v>
      </c>
      <c r="E223" s="19" t="str" cm="1">
        <f t="array" ref="E223">Common_InputFunctions.Utility_DisplayArrayInTable(Common_SourceData.Common_SourceData_MonthsToSeasons_Data(), Table_SourceData_Common_MonthToSeason[[#Headers],[Month]], 0)</f>
        <v>Spring</v>
      </c>
    </row>
    <row r="224" spans="1:5" ht="20.100000000000001" customHeight="1" x14ac:dyDescent="0.2">
      <c r="A224"/>
      <c r="D224" s="1" t="str" cm="1">
        <f t="array" ref="D224">Common_InputFunctions.Utility_DisplayArrayInTable(Common_SourceData.Common_SourceData_MonthsToSeasons_Data(), Table_SourceData_Common_MonthToSeason[[#Headers],[Month]], 0)</f>
        <v>December</v>
      </c>
      <c r="E224" s="19" t="str" cm="1">
        <f t="array" ref="E224">Common_InputFunctions.Utility_DisplayArrayInTable(Common_SourceData.Common_SourceData_MonthsToSeasons_Data(), Table_SourceData_Common_MonthToSeason[[#Headers],[Month]], 0)</f>
        <v>Summer</v>
      </c>
    </row>
    <row r="225" spans="1:19" ht="20.100000000000001" customHeight="1" x14ac:dyDescent="0.2">
      <c r="A225"/>
    </row>
    <row r="226" spans="1:19" ht="20.100000000000001" customHeight="1" x14ac:dyDescent="0.2">
      <c r="A226"/>
    </row>
    <row r="227" spans="1:19" ht="20.100000000000001" customHeight="1" x14ac:dyDescent="0.2">
      <c r="A227"/>
      <c r="D227" s="2" t="str" cm="1">
        <f t="array" ref="D227">Common_SourceData.Common_SourceData_MCFTemperatureZone_Title()</f>
        <v>Manure Management – Methane conversion factor per temperature zone (fraction) (MCFim)</v>
      </c>
    </row>
    <row r="228" spans="1:19" ht="20.100000000000001" customHeight="1" x14ac:dyDescent="0.2">
      <c r="A228"/>
      <c r="D228" s="17" t="str" cm="1">
        <f t="array" ref="D228">Common_SourceData.Common_SourceData_MCFTemperatureZone_Source()</f>
        <v>VEERG 2026: Table A.1.8.1</v>
      </c>
    </row>
    <row r="229" spans="1:19" ht="20.100000000000001" customHeight="1" x14ac:dyDescent="0.2">
      <c r="A229"/>
      <c r="D229" s="2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0" spans="1:19" ht="20.100000000000001" customHeight="1" x14ac:dyDescent="0.2">
      <c r="A230"/>
    </row>
    <row r="231" spans="1:19" ht="20.100000000000001" customHeight="1" x14ac:dyDescent="0.2">
      <c r="A231"/>
      <c r="D231" s="19" t="s">
        <v>68</v>
      </c>
      <c r="E231" s="19" t="s">
        <v>69</v>
      </c>
      <c r="F231" s="26" t="s">
        <v>70</v>
      </c>
      <c r="G231" s="19" t="s">
        <v>71</v>
      </c>
      <c r="H231" s="19" t="s">
        <v>72</v>
      </c>
      <c r="I231" s="19" t="s">
        <v>73</v>
      </c>
      <c r="J231" s="19" t="s">
        <v>74</v>
      </c>
      <c r="K231" s="19" t="s">
        <v>75</v>
      </c>
      <c r="L231" s="19" t="s">
        <v>76</v>
      </c>
      <c r="M231" s="19" t="s">
        <v>77</v>
      </c>
      <c r="N231" s="19" t="s">
        <v>78</v>
      </c>
      <c r="O231" s="19" t="s">
        <v>79</v>
      </c>
      <c r="P231" s="19" t="s">
        <v>80</v>
      </c>
      <c r="Q231" s="19" t="s">
        <v>81</v>
      </c>
      <c r="R231" s="19" t="s">
        <v>82</v>
      </c>
      <c r="S231" s="19" t="s">
        <v>83</v>
      </c>
    </row>
    <row r="232" spans="1:19" ht="20.100000000000001" customHeight="1" x14ac:dyDescent="0.2">
      <c r="A232"/>
      <c r="D232" s="19" t="str" cm="1">
        <f t="array" ref="D232">Common_InputFunctions.Utility_DisplayArrayInTable(Common_SourceData.Common_SourceData_MCFTemperatureZone_Data(),Table_SourceData_Common_MCFTemperatureZone[[#Headers],[Temperature zone]],0)</f>
        <v>Cool</v>
      </c>
      <c r="E232" s="19" t="str" cm="1">
        <f t="array" ref="E232">Common_InputFunctions.Utility_DisplayArrayInTable(Common_SourceData.Common_SourceData_MCFTemperatureZone_Data(),Table_SourceData_Common_MCFTemperatureZone[[#Headers],[Temperature zone]],0)</f>
        <v>≤10</v>
      </c>
      <c r="F232" s="19" cm="1">
        <f t="array" ref="F232">Common_InputFunctions.Utility_DisplayArrayInTable(Common_SourceData.Common_SourceData_MCFTemperatureZone_Data(),Table_SourceData_Common_MCFTemperatureZone[[#Headers],[Temperature zone]],0)</f>
        <v>0.66</v>
      </c>
      <c r="G232" s="19" cm="1">
        <f t="array" ref="G232">Common_InputFunctions.Utility_DisplayArrayInTable(Common_SourceData.Common_SourceData_MCFTemperatureZone_Data(),Table_SourceData_Common_MCFTemperatureZone[[#Headers],[Temperature zone]],0)</f>
        <v>0.1</v>
      </c>
      <c r="H232" s="19" cm="1">
        <f t="array" ref="H232">Common_InputFunctions.Utility_DisplayArrayInTable(Common_SourceData.Common_SourceData_MCFTemperatureZone_Data(),Table_SourceData_Common_MCFTemperatureZone[[#Headers],[Temperature zone]],0)</f>
        <v>0.1</v>
      </c>
      <c r="I232" s="19" cm="1">
        <f t="array" ref="I232">Common_InputFunctions.Utility_DisplayArrayInTable(Common_SourceData.Common_SourceData_MCFTemperatureZone_Data(),Table_SourceData_Common_MCFTemperatureZone[[#Headers],[Temperature zone]],0)</f>
        <v>1E-3</v>
      </c>
      <c r="J232" s="19" cm="1">
        <f t="array" ref="J232">Common_InputFunctions.Utility_DisplayArrayInTable(Common_SourceData.Common_SourceData_MCFTemperatureZone_Data(),Table_SourceData_Common_MCFTemperatureZone[[#Headers],[Temperature zone]],0)</f>
        <v>5.0000000000000001E-3</v>
      </c>
      <c r="K232" s="19" cm="1">
        <f t="array" ref="K232">Common_InputFunctions.Utility_DisplayArrayInTable(Common_SourceData.Common_SourceData_MCFTemperatureZone_Data(),Table_SourceData_Common_MCFTemperatureZone[[#Headers],[Temperature zone]],0)</f>
        <v>0.02</v>
      </c>
      <c r="L232" s="19" cm="1">
        <f t="array" ref="L232">Common_InputFunctions.Utility_DisplayArrayInTable(Common_SourceData.Common_SourceData_MCFTemperatureZone_Data(),Table_SourceData_Common_MCFTemperatureZone[[#Headers],[Temperature zone]],0)</f>
        <v>0.03</v>
      </c>
      <c r="M232" s="19" cm="1">
        <f t="array" ref="M232">Common_InputFunctions.Utility_DisplayArrayInTable(Common_SourceData.Common_SourceData_MCFTemperatureZone_Data(),Table_SourceData_Common_MCFTemperatureZone[[#Headers],[Temperature zone]],0)</f>
        <v>0.04</v>
      </c>
      <c r="N232" s="19" cm="1">
        <f t="array" ref="N232">Common_InputFunctions.Utility_DisplayArrayInTable(Common_SourceData.Common_SourceData_MCFTemperatureZone_Data(),Table_SourceData_Common_MCFTemperatureZone[[#Headers],[Temperature zone]],0)</f>
        <v>1.4999999999999999E-2</v>
      </c>
      <c r="O232" s="19" cm="1">
        <f t="array" ref="O232">Common_InputFunctions.Utility_DisplayArrayInTable(Common_SourceData.Common_SourceData_MCFTemperatureZone_Data(),Table_SourceData_Common_MCFTemperatureZone[[#Headers],[Temperature zone]],0)</f>
        <v>1.4999999999999999E-2</v>
      </c>
      <c r="P232" s="19" cm="1">
        <f t="array" ref="P232">Common_InputFunctions.Utility_DisplayArrayInTable(Common_SourceData.Common_SourceData_MCFTemperatureZone_Data(),Table_SourceData_Common_MCFTemperatureZone[[#Headers],[Temperature zone]],0)</f>
        <v>0</v>
      </c>
      <c r="Q232" s="19" cm="1">
        <f t="array" ref="Q232">Common_InputFunctions.Utility_DisplayArrayInTable(Common_SourceData.Common_SourceData_MCFTemperatureZone_Data(),Table_SourceData_Common_MCFTemperatureZone[[#Headers],[Temperature zone]],0)</f>
        <v>0</v>
      </c>
      <c r="R232" s="19" cm="1">
        <f t="array" ref="R232">Common_InputFunctions.Utility_DisplayArrayInTable(Common_SourceData.Common_SourceData_MCFTemperatureZone_Data(),Table_SourceData_Common_MCFTemperatureZone[[#Headers],[Temperature zone]],0)</f>
        <v>4.7000000000000002E-3</v>
      </c>
      <c r="S232" s="19" cm="1">
        <f t="array" ref="S232">Common_InputFunctions.Utility_DisplayArrayInTable(Common_SourceData.Common_SourceData_MCFTemperatureZone_Data(),Table_SourceData_Common_MCFTemperatureZone[[#Headers],[Temperature zone]],0)</f>
        <v>10</v>
      </c>
    </row>
    <row r="233" spans="1:19" ht="20.100000000000001" customHeight="1" x14ac:dyDescent="0.2">
      <c r="A233"/>
      <c r="D233" s="1" t="str" cm="1">
        <f t="array" ref="D233">Common_InputFunctions.Utility_DisplayArrayInTable(Common_SourceData.Common_SourceData_MCFTemperatureZone_Data(),Table_SourceData_Common_MCFTemperatureZone[[#Headers],[Temperature zone]],0)</f>
        <v>Cool</v>
      </c>
      <c r="E233" s="19" cm="1">
        <f t="array" ref="E233">Common_InputFunctions.Utility_DisplayArrayInTable(Common_SourceData.Common_SourceData_MCFTemperatureZone_Data(),Table_SourceData_Common_MCFTemperatureZone[[#Headers],[Temperature zone]],0)</f>
        <v>11</v>
      </c>
      <c r="F233" s="19" cm="1">
        <f t="array" ref="F233">Common_InputFunctions.Utility_DisplayArrayInTable(Common_SourceData.Common_SourceData_MCFTemperatureZone_Data(),Table_SourceData_Common_MCFTemperatureZone[[#Headers],[Temperature zone]],0)</f>
        <v>0.68</v>
      </c>
      <c r="G233" s="19" cm="1">
        <f t="array" ref="G233">Common_InputFunctions.Utility_DisplayArrayInTable(Common_SourceData.Common_SourceData_MCFTemperatureZone_Data(),Table_SourceData_Common_MCFTemperatureZone[[#Headers],[Temperature zone]],0)</f>
        <v>0.1</v>
      </c>
      <c r="H233" s="19" cm="1">
        <f t="array" ref="H233">Common_InputFunctions.Utility_DisplayArrayInTable(Common_SourceData.Common_SourceData_MCFTemperatureZone_Data(),Table_SourceData_Common_MCFTemperatureZone[[#Headers],[Temperature zone]],0)</f>
        <v>0.11</v>
      </c>
      <c r="I233" s="19" cm="1">
        <f t="array" ref="I233">Common_InputFunctions.Utility_DisplayArrayInTable(Common_SourceData.Common_SourceData_MCFTemperatureZone_Data(),Table_SourceData_Common_MCFTemperatureZone[[#Headers],[Temperature zone]],0)</f>
        <v>1E-3</v>
      </c>
      <c r="J233" s="19" cm="1">
        <f t="array" ref="J233">Common_InputFunctions.Utility_DisplayArrayInTable(Common_SourceData.Common_SourceData_MCFTemperatureZone_Data(),Table_SourceData_Common_MCFTemperatureZone[[#Headers],[Temperature zone]],0)</f>
        <v>5.0000000000000001E-3</v>
      </c>
      <c r="K233" s="19" cm="1">
        <f t="array" ref="K233">Common_InputFunctions.Utility_DisplayArrayInTable(Common_SourceData.Common_SourceData_MCFTemperatureZone_Data(),Table_SourceData_Common_MCFTemperatureZone[[#Headers],[Temperature zone]],0)</f>
        <v>0.02</v>
      </c>
      <c r="L233" s="19" cm="1">
        <f t="array" ref="L233">Common_InputFunctions.Utility_DisplayArrayInTable(Common_SourceData.Common_SourceData_MCFTemperatureZone_Data(),Table_SourceData_Common_MCFTemperatureZone[[#Headers],[Temperature zone]],0)</f>
        <v>0.03</v>
      </c>
      <c r="M233" s="19" cm="1">
        <f t="array" ref="M233">Common_InputFunctions.Utility_DisplayArrayInTable(Common_SourceData.Common_SourceData_MCFTemperatureZone_Data(),Table_SourceData_Common_MCFTemperatureZone[[#Headers],[Temperature zone]],0)</f>
        <v>0.04</v>
      </c>
      <c r="N233" s="19" cm="1">
        <f t="array" ref="N233">Common_InputFunctions.Utility_DisplayArrayInTable(Common_SourceData.Common_SourceData_MCFTemperatureZone_Data(),Table_SourceData_Common_MCFTemperatureZone[[#Headers],[Temperature zone]],0)</f>
        <v>1.4999999999999999E-2</v>
      </c>
      <c r="O233" s="19" cm="1">
        <f t="array" ref="O233">Common_InputFunctions.Utility_DisplayArrayInTable(Common_SourceData.Common_SourceData_MCFTemperatureZone_Data(),Table_SourceData_Common_MCFTemperatureZone[[#Headers],[Temperature zone]],0)</f>
        <v>1.4999999999999999E-2</v>
      </c>
      <c r="P233" s="19" cm="1">
        <f t="array" ref="P233">Common_InputFunctions.Utility_DisplayArrayInTable(Common_SourceData.Common_SourceData_MCFTemperatureZone_Data(),Table_SourceData_Common_MCFTemperatureZone[[#Headers],[Temperature zone]],0)</f>
        <v>0</v>
      </c>
      <c r="Q233" s="19" cm="1">
        <f t="array" ref="Q233">Common_InputFunctions.Utility_DisplayArrayInTable(Common_SourceData.Common_SourceData_MCFTemperatureZone_Data(),Table_SourceData_Common_MCFTemperatureZone[[#Headers],[Temperature zone]],0)</f>
        <v>0</v>
      </c>
      <c r="R233" s="19" cm="1">
        <f t="array" ref="R233">Common_InputFunctions.Utility_DisplayArrayInTable(Common_SourceData.Common_SourceData_MCFTemperatureZone_Data(),Table_SourceData_Common_MCFTemperatureZone[[#Headers],[Temperature zone]],0)</f>
        <v>4.7000000000000002E-3</v>
      </c>
      <c r="S233" s="19" cm="1">
        <f t="array" ref="S233">Common_InputFunctions.Utility_DisplayArrayInTable(Common_SourceData.Common_SourceData_MCFTemperatureZone_Data(),Table_SourceData_Common_MCFTemperatureZone[[#Headers],[Temperature zone]],0)</f>
        <v>11</v>
      </c>
    </row>
    <row r="234" spans="1:19" ht="20.100000000000001" customHeight="1" x14ac:dyDescent="0.2">
      <c r="A234"/>
      <c r="D234" s="1" t="str" cm="1">
        <f t="array" ref="D234">Common_InputFunctions.Utility_DisplayArrayInTable(Common_SourceData.Common_SourceData_MCFTemperatureZone_Data(),Table_SourceData_Common_MCFTemperatureZone[[#Headers],[Temperature zone]],0)</f>
        <v>Cool</v>
      </c>
      <c r="E234" s="19" cm="1">
        <f t="array" ref="E234">Common_InputFunctions.Utility_DisplayArrayInTable(Common_SourceData.Common_SourceData_MCFTemperatureZone_Data(),Table_SourceData_Common_MCFTemperatureZone[[#Headers],[Temperature zone]],0)</f>
        <v>12</v>
      </c>
      <c r="F234" s="19" cm="1">
        <f t="array" ref="F234">Common_InputFunctions.Utility_DisplayArrayInTable(Common_SourceData.Common_SourceData_MCFTemperatureZone_Data(),Table_SourceData_Common_MCFTemperatureZone[[#Headers],[Temperature zone]],0)</f>
        <v>0.7</v>
      </c>
      <c r="G234" s="19" cm="1">
        <f t="array" ref="G234">Common_InputFunctions.Utility_DisplayArrayInTable(Common_SourceData.Common_SourceData_MCFTemperatureZone_Data(),Table_SourceData_Common_MCFTemperatureZone[[#Headers],[Temperature zone]],0)</f>
        <v>0.1</v>
      </c>
      <c r="H234" s="19" cm="1">
        <f t="array" ref="H234">Common_InputFunctions.Utility_DisplayArrayInTable(Common_SourceData.Common_SourceData_MCFTemperatureZone_Data(),Table_SourceData_Common_MCFTemperatureZone[[#Headers],[Temperature zone]],0)</f>
        <v>0.13</v>
      </c>
      <c r="I234" s="19" cm="1">
        <f t="array" ref="I234">Common_InputFunctions.Utility_DisplayArrayInTable(Common_SourceData.Common_SourceData_MCFTemperatureZone_Data(),Table_SourceData_Common_MCFTemperatureZone[[#Headers],[Temperature zone]],0)</f>
        <v>1E-3</v>
      </c>
      <c r="J234" s="19" cm="1">
        <f t="array" ref="J234">Common_InputFunctions.Utility_DisplayArrayInTable(Common_SourceData.Common_SourceData_MCFTemperatureZone_Data(),Table_SourceData_Common_MCFTemperatureZone[[#Headers],[Temperature zone]],0)</f>
        <v>5.0000000000000001E-3</v>
      </c>
      <c r="K234" s="19" cm="1">
        <f t="array" ref="K234">Common_InputFunctions.Utility_DisplayArrayInTable(Common_SourceData.Common_SourceData_MCFTemperatureZone_Data(),Table_SourceData_Common_MCFTemperatureZone[[#Headers],[Temperature zone]],0)</f>
        <v>0.02</v>
      </c>
      <c r="L234" s="19" cm="1">
        <f t="array" ref="L234">Common_InputFunctions.Utility_DisplayArrayInTable(Common_SourceData.Common_SourceData_MCFTemperatureZone_Data(),Table_SourceData_Common_MCFTemperatureZone[[#Headers],[Temperature zone]],0)</f>
        <v>0.03</v>
      </c>
      <c r="M234" s="19" cm="1">
        <f t="array" ref="M234">Common_InputFunctions.Utility_DisplayArrayInTable(Common_SourceData.Common_SourceData_MCFTemperatureZone_Data(),Table_SourceData_Common_MCFTemperatureZone[[#Headers],[Temperature zone]],0)</f>
        <v>0.04</v>
      </c>
      <c r="N234" s="19" cm="1">
        <f t="array" ref="N234">Common_InputFunctions.Utility_DisplayArrayInTable(Common_SourceData.Common_SourceData_MCFTemperatureZone_Data(),Table_SourceData_Common_MCFTemperatureZone[[#Headers],[Temperature zone]],0)</f>
        <v>1.4999999999999999E-2</v>
      </c>
      <c r="O234" s="19" cm="1">
        <f t="array" ref="O234">Common_InputFunctions.Utility_DisplayArrayInTable(Common_SourceData.Common_SourceData_MCFTemperatureZone_Data(),Table_SourceData_Common_MCFTemperatureZone[[#Headers],[Temperature zone]],0)</f>
        <v>1.4999999999999999E-2</v>
      </c>
      <c r="P234" s="19" cm="1">
        <f t="array" ref="P234">Common_InputFunctions.Utility_DisplayArrayInTable(Common_SourceData.Common_SourceData_MCFTemperatureZone_Data(),Table_SourceData_Common_MCFTemperatureZone[[#Headers],[Temperature zone]],0)</f>
        <v>0</v>
      </c>
      <c r="Q234" s="19" cm="1">
        <f t="array" ref="Q234">Common_InputFunctions.Utility_DisplayArrayInTable(Common_SourceData.Common_SourceData_MCFTemperatureZone_Data(),Table_SourceData_Common_MCFTemperatureZone[[#Headers],[Temperature zone]],0)</f>
        <v>0</v>
      </c>
      <c r="R234" s="19" cm="1">
        <f t="array" ref="R234">Common_InputFunctions.Utility_DisplayArrayInTable(Common_SourceData.Common_SourceData_MCFTemperatureZone_Data(),Table_SourceData_Common_MCFTemperatureZone[[#Headers],[Temperature zone]],0)</f>
        <v>4.7000000000000002E-3</v>
      </c>
      <c r="S234" s="19" cm="1">
        <f t="array" ref="S234">Common_InputFunctions.Utility_DisplayArrayInTable(Common_SourceData.Common_SourceData_MCFTemperatureZone_Data(),Table_SourceData_Common_MCFTemperatureZone[[#Headers],[Temperature zone]],0)</f>
        <v>12</v>
      </c>
    </row>
    <row r="235" spans="1:19" ht="20.100000000000001" customHeight="1" x14ac:dyDescent="0.2">
      <c r="A235"/>
      <c r="D235" s="1" t="str" cm="1">
        <f t="array" ref="D235">Common_InputFunctions.Utility_DisplayArrayInTable(Common_SourceData.Common_SourceData_MCFTemperatureZone_Data(),Table_SourceData_Common_MCFTemperatureZone[[#Headers],[Temperature zone]],0)</f>
        <v>Cool</v>
      </c>
      <c r="E235" s="19" cm="1">
        <f t="array" ref="E235">Common_InputFunctions.Utility_DisplayArrayInTable(Common_SourceData.Common_SourceData_MCFTemperatureZone_Data(),Table_SourceData_Common_MCFTemperatureZone[[#Headers],[Temperature zone]],0)</f>
        <v>13</v>
      </c>
      <c r="F235" s="19" cm="1">
        <f t="array" ref="F235">Common_InputFunctions.Utility_DisplayArrayInTable(Common_SourceData.Common_SourceData_MCFTemperatureZone_Data(),Table_SourceData_Common_MCFTemperatureZone[[#Headers],[Temperature zone]],0)</f>
        <v>0.71</v>
      </c>
      <c r="G235" s="19" cm="1">
        <f t="array" ref="G235">Common_InputFunctions.Utility_DisplayArrayInTable(Common_SourceData.Common_SourceData_MCFTemperatureZone_Data(),Table_SourceData_Common_MCFTemperatureZone[[#Headers],[Temperature zone]],0)</f>
        <v>0.1</v>
      </c>
      <c r="H235" s="19" cm="1">
        <f t="array" ref="H235">Common_InputFunctions.Utility_DisplayArrayInTable(Common_SourceData.Common_SourceData_MCFTemperatureZone_Data(),Table_SourceData_Common_MCFTemperatureZone[[#Headers],[Temperature zone]],0)</f>
        <v>0.14000000000000001</v>
      </c>
      <c r="I235" s="19" cm="1">
        <f t="array" ref="I235">Common_InputFunctions.Utility_DisplayArrayInTable(Common_SourceData.Common_SourceData_MCFTemperatureZone_Data(),Table_SourceData_Common_MCFTemperatureZone[[#Headers],[Temperature zone]],0)</f>
        <v>1E-3</v>
      </c>
      <c r="J235" s="19" cm="1">
        <f t="array" ref="J235">Common_InputFunctions.Utility_DisplayArrayInTable(Common_SourceData.Common_SourceData_MCFTemperatureZone_Data(),Table_SourceData_Common_MCFTemperatureZone[[#Headers],[Temperature zone]],0)</f>
        <v>5.0000000000000001E-3</v>
      </c>
      <c r="K235" s="19" cm="1">
        <f t="array" ref="K235">Common_InputFunctions.Utility_DisplayArrayInTable(Common_SourceData.Common_SourceData_MCFTemperatureZone_Data(),Table_SourceData_Common_MCFTemperatureZone[[#Headers],[Temperature zone]],0)</f>
        <v>0.02</v>
      </c>
      <c r="L235" s="19" cm="1">
        <f t="array" ref="L235">Common_InputFunctions.Utility_DisplayArrayInTable(Common_SourceData.Common_SourceData_MCFTemperatureZone_Data(),Table_SourceData_Common_MCFTemperatureZone[[#Headers],[Temperature zone]],0)</f>
        <v>0.03</v>
      </c>
      <c r="M235" s="19" cm="1">
        <f t="array" ref="M235">Common_InputFunctions.Utility_DisplayArrayInTable(Common_SourceData.Common_SourceData_MCFTemperatureZone_Data(),Table_SourceData_Common_MCFTemperatureZone[[#Headers],[Temperature zone]],0)</f>
        <v>0.04</v>
      </c>
      <c r="N235" s="19" cm="1">
        <f t="array" ref="N235">Common_InputFunctions.Utility_DisplayArrayInTable(Common_SourceData.Common_SourceData_MCFTemperatureZone_Data(),Table_SourceData_Common_MCFTemperatureZone[[#Headers],[Temperature zone]],0)</f>
        <v>1.4999999999999999E-2</v>
      </c>
      <c r="O235" s="19" cm="1">
        <f t="array" ref="O235">Common_InputFunctions.Utility_DisplayArrayInTable(Common_SourceData.Common_SourceData_MCFTemperatureZone_Data(),Table_SourceData_Common_MCFTemperatureZone[[#Headers],[Temperature zone]],0)</f>
        <v>1.4999999999999999E-2</v>
      </c>
      <c r="P235" s="19" cm="1">
        <f t="array" ref="P235">Common_InputFunctions.Utility_DisplayArrayInTable(Common_SourceData.Common_SourceData_MCFTemperatureZone_Data(),Table_SourceData_Common_MCFTemperatureZone[[#Headers],[Temperature zone]],0)</f>
        <v>0</v>
      </c>
      <c r="Q235" s="19" cm="1">
        <f t="array" ref="Q235">Common_InputFunctions.Utility_DisplayArrayInTable(Common_SourceData.Common_SourceData_MCFTemperatureZone_Data(),Table_SourceData_Common_MCFTemperatureZone[[#Headers],[Temperature zone]],0)</f>
        <v>0</v>
      </c>
      <c r="R235" s="19" cm="1">
        <f t="array" ref="R235">Common_InputFunctions.Utility_DisplayArrayInTable(Common_SourceData.Common_SourceData_MCFTemperatureZone_Data(),Table_SourceData_Common_MCFTemperatureZone[[#Headers],[Temperature zone]],0)</f>
        <v>4.7000000000000002E-3</v>
      </c>
      <c r="S235" s="19" cm="1">
        <f t="array" ref="S235">Common_InputFunctions.Utility_DisplayArrayInTable(Common_SourceData.Common_SourceData_MCFTemperatureZone_Data(),Table_SourceData_Common_MCFTemperatureZone[[#Headers],[Temperature zone]],0)</f>
        <v>13</v>
      </c>
    </row>
    <row r="236" spans="1:19" ht="20.100000000000001" customHeight="1" x14ac:dyDescent="0.2">
      <c r="A236"/>
      <c r="D236" s="1" t="str" cm="1">
        <f t="array" ref="D236">Common_InputFunctions.Utility_DisplayArrayInTable(Common_SourceData.Common_SourceData_MCFTemperatureZone_Data(),Table_SourceData_Common_MCFTemperatureZone[[#Headers],[Temperature zone]],0)</f>
        <v>Cool</v>
      </c>
      <c r="E236" s="19" cm="1">
        <f t="array" ref="E236">Common_InputFunctions.Utility_DisplayArrayInTable(Common_SourceData.Common_SourceData_MCFTemperatureZone_Data(),Table_SourceData_Common_MCFTemperatureZone[[#Headers],[Temperature zone]],0)</f>
        <v>14</v>
      </c>
      <c r="F236" s="19" cm="1">
        <f t="array" ref="F236">Common_InputFunctions.Utility_DisplayArrayInTable(Common_SourceData.Common_SourceData_MCFTemperatureZone_Data(),Table_SourceData_Common_MCFTemperatureZone[[#Headers],[Temperature zone]],0)</f>
        <v>0.73</v>
      </c>
      <c r="G236" s="19" cm="1">
        <f t="array" ref="G236">Common_InputFunctions.Utility_DisplayArrayInTable(Common_SourceData.Common_SourceData_MCFTemperatureZone_Data(),Table_SourceData_Common_MCFTemperatureZone[[#Headers],[Temperature zone]],0)</f>
        <v>0.1</v>
      </c>
      <c r="H236" s="19" cm="1">
        <f t="array" ref="H236">Common_InputFunctions.Utility_DisplayArrayInTable(Common_SourceData.Common_SourceData_MCFTemperatureZone_Data(),Table_SourceData_Common_MCFTemperatureZone[[#Headers],[Temperature zone]],0)</f>
        <v>0.15</v>
      </c>
      <c r="I236" s="19" cm="1">
        <f t="array" ref="I236">Common_InputFunctions.Utility_DisplayArrayInTable(Common_SourceData.Common_SourceData_MCFTemperatureZone_Data(),Table_SourceData_Common_MCFTemperatureZone[[#Headers],[Temperature zone]],0)</f>
        <v>1E-3</v>
      </c>
      <c r="J236" s="19" cm="1">
        <f t="array" ref="J236">Common_InputFunctions.Utility_DisplayArrayInTable(Common_SourceData.Common_SourceData_MCFTemperatureZone_Data(),Table_SourceData_Common_MCFTemperatureZone[[#Headers],[Temperature zone]],0)</f>
        <v>5.0000000000000001E-3</v>
      </c>
      <c r="K236" s="19" cm="1">
        <f t="array" ref="K236">Common_InputFunctions.Utility_DisplayArrayInTable(Common_SourceData.Common_SourceData_MCFTemperatureZone_Data(),Table_SourceData_Common_MCFTemperatureZone[[#Headers],[Temperature zone]],0)</f>
        <v>0.02</v>
      </c>
      <c r="L236" s="19" cm="1">
        <f t="array" ref="L236">Common_InputFunctions.Utility_DisplayArrayInTable(Common_SourceData.Common_SourceData_MCFTemperatureZone_Data(),Table_SourceData_Common_MCFTemperatureZone[[#Headers],[Temperature zone]],0)</f>
        <v>0.03</v>
      </c>
      <c r="M236" s="19" cm="1">
        <f t="array" ref="M236">Common_InputFunctions.Utility_DisplayArrayInTable(Common_SourceData.Common_SourceData_MCFTemperatureZone_Data(),Table_SourceData_Common_MCFTemperatureZone[[#Headers],[Temperature zone]],0)</f>
        <v>0.04</v>
      </c>
      <c r="N236" s="19" cm="1">
        <f t="array" ref="N236">Common_InputFunctions.Utility_DisplayArrayInTable(Common_SourceData.Common_SourceData_MCFTemperatureZone_Data(),Table_SourceData_Common_MCFTemperatureZone[[#Headers],[Temperature zone]],0)</f>
        <v>1.4999999999999999E-2</v>
      </c>
      <c r="O236" s="19" cm="1">
        <f t="array" ref="O236">Common_InputFunctions.Utility_DisplayArrayInTable(Common_SourceData.Common_SourceData_MCFTemperatureZone_Data(),Table_SourceData_Common_MCFTemperatureZone[[#Headers],[Temperature zone]],0)</f>
        <v>1.4999999999999999E-2</v>
      </c>
      <c r="P236" s="19" cm="1">
        <f t="array" ref="P236">Common_InputFunctions.Utility_DisplayArrayInTable(Common_SourceData.Common_SourceData_MCFTemperatureZone_Data(),Table_SourceData_Common_MCFTemperatureZone[[#Headers],[Temperature zone]],0)</f>
        <v>0</v>
      </c>
      <c r="Q236" s="19" cm="1">
        <f t="array" ref="Q236">Common_InputFunctions.Utility_DisplayArrayInTable(Common_SourceData.Common_SourceData_MCFTemperatureZone_Data(),Table_SourceData_Common_MCFTemperatureZone[[#Headers],[Temperature zone]],0)</f>
        <v>0</v>
      </c>
      <c r="R236" s="19" cm="1">
        <f t="array" ref="R236">Common_InputFunctions.Utility_DisplayArrayInTable(Common_SourceData.Common_SourceData_MCFTemperatureZone_Data(),Table_SourceData_Common_MCFTemperatureZone[[#Headers],[Temperature zone]],0)</f>
        <v>4.7000000000000002E-3</v>
      </c>
      <c r="S236" s="19" cm="1">
        <f t="array" ref="S236">Common_InputFunctions.Utility_DisplayArrayInTable(Common_SourceData.Common_SourceData_MCFTemperatureZone_Data(),Table_SourceData_Common_MCFTemperatureZone[[#Headers],[Temperature zone]],0)</f>
        <v>14</v>
      </c>
    </row>
    <row r="237" spans="1:19" ht="20.100000000000001" customHeight="1" x14ac:dyDescent="0.2">
      <c r="A237"/>
      <c r="D237" s="1" t="str" cm="1">
        <f t="array" ref="D237">Common_InputFunctions.Utility_DisplayArrayInTable(Common_SourceData.Common_SourceData_MCFTemperatureZone_Data(),Table_SourceData_Common_MCFTemperatureZone[[#Headers],[Temperature zone]],0)</f>
        <v>Temperate</v>
      </c>
      <c r="E237" s="19" cm="1">
        <f t="array" ref="E237">Common_InputFunctions.Utility_DisplayArrayInTable(Common_SourceData.Common_SourceData_MCFTemperatureZone_Data(),Table_SourceData_Common_MCFTemperatureZone[[#Headers],[Temperature zone]],0)</f>
        <v>15</v>
      </c>
      <c r="F237" s="19" cm="1">
        <f t="array" ref="F237">Common_InputFunctions.Utility_DisplayArrayInTable(Common_SourceData.Common_SourceData_MCFTemperatureZone_Data(),Table_SourceData_Common_MCFTemperatureZone[[#Headers],[Temperature zone]],0)</f>
        <v>0.74</v>
      </c>
      <c r="G237" s="19" cm="1">
        <f t="array" ref="G237">Common_InputFunctions.Utility_DisplayArrayInTable(Common_SourceData.Common_SourceData_MCFTemperatureZone_Data(),Table_SourceData_Common_MCFTemperatureZone[[#Headers],[Temperature zone]],0)</f>
        <v>0.1</v>
      </c>
      <c r="H237" s="19" cm="1">
        <f t="array" ref="H237">Common_InputFunctions.Utility_DisplayArrayInTable(Common_SourceData.Common_SourceData_MCFTemperatureZone_Data(),Table_SourceData_Common_MCFTemperatureZone[[#Headers],[Temperature zone]],0)</f>
        <v>0.17</v>
      </c>
      <c r="I237" s="19" cm="1">
        <f t="array" ref="I237">Common_InputFunctions.Utility_DisplayArrayInTable(Common_SourceData.Common_SourceData_MCFTemperatureZone_Data(),Table_SourceData_Common_MCFTemperatureZone[[#Headers],[Temperature zone]],0)</f>
        <v>5.0000000000000001E-3</v>
      </c>
      <c r="J237" s="19" cm="1">
        <f t="array" ref="J237">Common_InputFunctions.Utility_DisplayArrayInTable(Common_SourceData.Common_SourceData_MCFTemperatureZone_Data(),Table_SourceData_Common_MCFTemperatureZone[[#Headers],[Temperature zone]],0)</f>
        <v>0.01</v>
      </c>
      <c r="K237" s="19" cm="1">
        <f t="array" ref="K237">Common_InputFunctions.Utility_DisplayArrayInTable(Common_SourceData.Common_SourceData_MCFTemperatureZone_Data(),Table_SourceData_Common_MCFTemperatureZone[[#Headers],[Temperature zone]],0)</f>
        <v>0.02</v>
      </c>
      <c r="L237" s="19" cm="1">
        <f t="array" ref="L237">Common_InputFunctions.Utility_DisplayArrayInTable(Common_SourceData.Common_SourceData_MCFTemperatureZone_Data(),Table_SourceData_Common_MCFTemperatureZone[[#Headers],[Temperature zone]],0)</f>
        <v>0.03</v>
      </c>
      <c r="M237" s="19" cm="1">
        <f t="array" ref="M237">Common_InputFunctions.Utility_DisplayArrayInTable(Common_SourceData.Common_SourceData_MCFTemperatureZone_Data(),Table_SourceData_Common_MCFTemperatureZone[[#Headers],[Temperature zone]],0)</f>
        <v>0.04</v>
      </c>
      <c r="N237" s="19" cm="1">
        <f t="array" ref="N237">Common_InputFunctions.Utility_DisplayArrayInTable(Common_SourceData.Common_SourceData_MCFTemperatureZone_Data(),Table_SourceData_Common_MCFTemperatureZone[[#Headers],[Temperature zone]],0)</f>
        <v>1.4999999999999999E-2</v>
      </c>
      <c r="O237" s="19" cm="1">
        <f t="array" ref="O237">Common_InputFunctions.Utility_DisplayArrayInTable(Common_SourceData.Common_SourceData_MCFTemperatureZone_Data(),Table_SourceData_Common_MCFTemperatureZone[[#Headers],[Temperature zone]],0)</f>
        <v>1.4999999999999999E-2</v>
      </c>
      <c r="P237" s="19" cm="1">
        <f t="array" ref="P237">Common_InputFunctions.Utility_DisplayArrayInTable(Common_SourceData.Common_SourceData_MCFTemperatureZone_Data(),Table_SourceData_Common_MCFTemperatureZone[[#Headers],[Temperature zone]],0)</f>
        <v>0</v>
      </c>
      <c r="Q237" s="19" cm="1">
        <f t="array" ref="Q237">Common_InputFunctions.Utility_DisplayArrayInTable(Common_SourceData.Common_SourceData_MCFTemperatureZone_Data(),Table_SourceData_Common_MCFTemperatureZone[[#Headers],[Temperature zone]],0)</f>
        <v>0</v>
      </c>
      <c r="R237" s="19" cm="1">
        <f t="array" ref="R237">Common_InputFunctions.Utility_DisplayArrayInTable(Common_SourceData.Common_SourceData_MCFTemperatureZone_Data(),Table_SourceData_Common_MCFTemperatureZone[[#Headers],[Temperature zone]],0)</f>
        <v>4.7000000000000002E-3</v>
      </c>
      <c r="S237" s="19" cm="1">
        <f t="array" ref="S237">Common_InputFunctions.Utility_DisplayArrayInTable(Common_SourceData.Common_SourceData_MCFTemperatureZone_Data(),Table_SourceData_Common_MCFTemperatureZone[[#Headers],[Temperature zone]],0)</f>
        <v>15</v>
      </c>
    </row>
    <row r="238" spans="1:19" ht="20.100000000000001" customHeight="1" x14ac:dyDescent="0.2">
      <c r="A238"/>
      <c r="D238" s="1" t="str" cm="1">
        <f t="array" ref="D238">Common_InputFunctions.Utility_DisplayArrayInTable(Common_SourceData.Common_SourceData_MCFTemperatureZone_Data(),Table_SourceData_Common_MCFTemperatureZone[[#Headers],[Temperature zone]],0)</f>
        <v>Temperate</v>
      </c>
      <c r="E238" s="19" cm="1">
        <f t="array" ref="E238">Common_InputFunctions.Utility_DisplayArrayInTable(Common_SourceData.Common_SourceData_MCFTemperatureZone_Data(),Table_SourceData_Common_MCFTemperatureZone[[#Headers],[Temperature zone]],0)</f>
        <v>16</v>
      </c>
      <c r="F238" s="19" cm="1">
        <f t="array" ref="F238">Common_InputFunctions.Utility_DisplayArrayInTable(Common_SourceData.Common_SourceData_MCFTemperatureZone_Data(),Table_SourceData_Common_MCFTemperatureZone[[#Headers],[Temperature zone]],0)</f>
        <v>0.75</v>
      </c>
      <c r="G238" s="19" cm="1">
        <f t="array" ref="G238">Common_InputFunctions.Utility_DisplayArrayInTable(Common_SourceData.Common_SourceData_MCFTemperatureZone_Data(),Table_SourceData_Common_MCFTemperatureZone[[#Headers],[Temperature zone]],0)</f>
        <v>0.1</v>
      </c>
      <c r="H238" s="19" cm="1">
        <f t="array" ref="H238">Common_InputFunctions.Utility_DisplayArrayInTable(Common_SourceData.Common_SourceData_MCFTemperatureZone_Data(),Table_SourceData_Common_MCFTemperatureZone[[#Headers],[Temperature zone]],0)</f>
        <v>0.18</v>
      </c>
      <c r="I238" s="19" cm="1">
        <f t="array" ref="I238">Common_InputFunctions.Utility_DisplayArrayInTable(Common_SourceData.Common_SourceData_MCFTemperatureZone_Data(),Table_SourceData_Common_MCFTemperatureZone[[#Headers],[Temperature zone]],0)</f>
        <v>5.0000000000000001E-3</v>
      </c>
      <c r="J238" s="19" cm="1">
        <f t="array" ref="J238">Common_InputFunctions.Utility_DisplayArrayInTable(Common_SourceData.Common_SourceData_MCFTemperatureZone_Data(),Table_SourceData_Common_MCFTemperatureZone[[#Headers],[Temperature zone]],0)</f>
        <v>0.01</v>
      </c>
      <c r="K238" s="19" cm="1">
        <f t="array" ref="K238">Common_InputFunctions.Utility_DisplayArrayInTable(Common_SourceData.Common_SourceData_MCFTemperatureZone_Data(),Table_SourceData_Common_MCFTemperatureZone[[#Headers],[Temperature zone]],0)</f>
        <v>0.02</v>
      </c>
      <c r="L238" s="19" cm="1">
        <f t="array" ref="L238">Common_InputFunctions.Utility_DisplayArrayInTable(Common_SourceData.Common_SourceData_MCFTemperatureZone_Data(),Table_SourceData_Common_MCFTemperatureZone[[#Headers],[Temperature zone]],0)</f>
        <v>0.03</v>
      </c>
      <c r="M238" s="19" cm="1">
        <f t="array" ref="M238">Common_InputFunctions.Utility_DisplayArrayInTable(Common_SourceData.Common_SourceData_MCFTemperatureZone_Data(),Table_SourceData_Common_MCFTemperatureZone[[#Headers],[Temperature zone]],0)</f>
        <v>0.04</v>
      </c>
      <c r="N238" s="19" cm="1">
        <f t="array" ref="N238">Common_InputFunctions.Utility_DisplayArrayInTable(Common_SourceData.Common_SourceData_MCFTemperatureZone_Data(),Table_SourceData_Common_MCFTemperatureZone[[#Headers],[Temperature zone]],0)</f>
        <v>1.4999999999999999E-2</v>
      </c>
      <c r="O238" s="19" cm="1">
        <f t="array" ref="O238">Common_InputFunctions.Utility_DisplayArrayInTable(Common_SourceData.Common_SourceData_MCFTemperatureZone_Data(),Table_SourceData_Common_MCFTemperatureZone[[#Headers],[Temperature zone]],0)</f>
        <v>1.4999999999999999E-2</v>
      </c>
      <c r="P238" s="19" cm="1">
        <f t="array" ref="P238">Common_InputFunctions.Utility_DisplayArrayInTable(Common_SourceData.Common_SourceData_MCFTemperatureZone_Data(),Table_SourceData_Common_MCFTemperatureZone[[#Headers],[Temperature zone]],0)</f>
        <v>0</v>
      </c>
      <c r="Q238" s="19" cm="1">
        <f t="array" ref="Q238">Common_InputFunctions.Utility_DisplayArrayInTable(Common_SourceData.Common_SourceData_MCFTemperatureZone_Data(),Table_SourceData_Common_MCFTemperatureZone[[#Headers],[Temperature zone]],0)</f>
        <v>0</v>
      </c>
      <c r="R238" s="19" cm="1">
        <f t="array" ref="R238">Common_InputFunctions.Utility_DisplayArrayInTable(Common_SourceData.Common_SourceData_MCFTemperatureZone_Data(),Table_SourceData_Common_MCFTemperatureZone[[#Headers],[Temperature zone]],0)</f>
        <v>4.7000000000000002E-3</v>
      </c>
      <c r="S238" s="19" cm="1">
        <f t="array" ref="S238">Common_InputFunctions.Utility_DisplayArrayInTable(Common_SourceData.Common_SourceData_MCFTemperatureZone_Data(),Table_SourceData_Common_MCFTemperatureZone[[#Headers],[Temperature zone]],0)</f>
        <v>16</v>
      </c>
    </row>
    <row r="239" spans="1:19" ht="20.100000000000001" customHeight="1" x14ac:dyDescent="0.2">
      <c r="A239"/>
      <c r="D239" s="1" t="str" cm="1">
        <f t="array" ref="D239">Common_InputFunctions.Utility_DisplayArrayInTable(Common_SourceData.Common_SourceData_MCFTemperatureZone_Data(),Table_SourceData_Common_MCFTemperatureZone[[#Headers],[Temperature zone]],0)</f>
        <v>Temperate</v>
      </c>
      <c r="E239" s="19" cm="1">
        <f t="array" ref="E239">Common_InputFunctions.Utility_DisplayArrayInTable(Common_SourceData.Common_SourceData_MCFTemperatureZone_Data(),Table_SourceData_Common_MCFTemperatureZone[[#Headers],[Temperature zone]],0)</f>
        <v>17</v>
      </c>
      <c r="F239" s="19" cm="1">
        <f t="array" ref="F239">Common_InputFunctions.Utility_DisplayArrayInTable(Common_SourceData.Common_SourceData_MCFTemperatureZone_Data(),Table_SourceData_Common_MCFTemperatureZone[[#Headers],[Temperature zone]],0)</f>
        <v>0.76</v>
      </c>
      <c r="G239" s="19" cm="1">
        <f t="array" ref="G239">Common_InputFunctions.Utility_DisplayArrayInTable(Common_SourceData.Common_SourceData_MCFTemperatureZone_Data(),Table_SourceData_Common_MCFTemperatureZone[[#Headers],[Temperature zone]],0)</f>
        <v>0.1</v>
      </c>
      <c r="H239" s="19" cm="1">
        <f t="array" ref="H239">Common_InputFunctions.Utility_DisplayArrayInTable(Common_SourceData.Common_SourceData_MCFTemperatureZone_Data(),Table_SourceData_Common_MCFTemperatureZone[[#Headers],[Temperature zone]],0)</f>
        <v>0.2</v>
      </c>
      <c r="I239" s="19" cm="1">
        <f t="array" ref="I239">Common_InputFunctions.Utility_DisplayArrayInTable(Common_SourceData.Common_SourceData_MCFTemperatureZone_Data(),Table_SourceData_Common_MCFTemperatureZone[[#Headers],[Temperature zone]],0)</f>
        <v>5.0000000000000001E-3</v>
      </c>
      <c r="J239" s="19" cm="1">
        <f t="array" ref="J239">Common_InputFunctions.Utility_DisplayArrayInTable(Common_SourceData.Common_SourceData_MCFTemperatureZone_Data(),Table_SourceData_Common_MCFTemperatureZone[[#Headers],[Temperature zone]],0)</f>
        <v>0.01</v>
      </c>
      <c r="K239" s="19" cm="1">
        <f t="array" ref="K239">Common_InputFunctions.Utility_DisplayArrayInTable(Common_SourceData.Common_SourceData_MCFTemperatureZone_Data(),Table_SourceData_Common_MCFTemperatureZone[[#Headers],[Temperature zone]],0)</f>
        <v>0.02</v>
      </c>
      <c r="L239" s="19" cm="1">
        <f t="array" ref="L239">Common_InputFunctions.Utility_DisplayArrayInTable(Common_SourceData.Common_SourceData_MCFTemperatureZone_Data(),Table_SourceData_Common_MCFTemperatureZone[[#Headers],[Temperature zone]],0)</f>
        <v>0.03</v>
      </c>
      <c r="M239" s="19" cm="1">
        <f t="array" ref="M239">Common_InputFunctions.Utility_DisplayArrayInTable(Common_SourceData.Common_SourceData_MCFTemperatureZone_Data(),Table_SourceData_Common_MCFTemperatureZone[[#Headers],[Temperature zone]],0)</f>
        <v>0.04</v>
      </c>
      <c r="N239" s="19" cm="1">
        <f t="array" ref="N239">Common_InputFunctions.Utility_DisplayArrayInTable(Common_SourceData.Common_SourceData_MCFTemperatureZone_Data(),Table_SourceData_Common_MCFTemperatureZone[[#Headers],[Temperature zone]],0)</f>
        <v>1.4999999999999999E-2</v>
      </c>
      <c r="O239" s="19" cm="1">
        <f t="array" ref="O239">Common_InputFunctions.Utility_DisplayArrayInTable(Common_SourceData.Common_SourceData_MCFTemperatureZone_Data(),Table_SourceData_Common_MCFTemperatureZone[[#Headers],[Temperature zone]],0)</f>
        <v>1.4999999999999999E-2</v>
      </c>
      <c r="P239" s="19" cm="1">
        <f t="array" ref="P239">Common_InputFunctions.Utility_DisplayArrayInTable(Common_SourceData.Common_SourceData_MCFTemperatureZone_Data(),Table_SourceData_Common_MCFTemperatureZone[[#Headers],[Temperature zone]],0)</f>
        <v>0</v>
      </c>
      <c r="Q239" s="19" cm="1">
        <f t="array" ref="Q239">Common_InputFunctions.Utility_DisplayArrayInTable(Common_SourceData.Common_SourceData_MCFTemperatureZone_Data(),Table_SourceData_Common_MCFTemperatureZone[[#Headers],[Temperature zone]],0)</f>
        <v>0</v>
      </c>
      <c r="R239" s="19" cm="1">
        <f t="array" ref="R239">Common_InputFunctions.Utility_DisplayArrayInTable(Common_SourceData.Common_SourceData_MCFTemperatureZone_Data(),Table_SourceData_Common_MCFTemperatureZone[[#Headers],[Temperature zone]],0)</f>
        <v>4.7000000000000002E-3</v>
      </c>
      <c r="S239" s="19" cm="1">
        <f t="array" ref="S239">Common_InputFunctions.Utility_DisplayArrayInTable(Common_SourceData.Common_SourceData_MCFTemperatureZone_Data(),Table_SourceData_Common_MCFTemperatureZone[[#Headers],[Temperature zone]],0)</f>
        <v>17</v>
      </c>
    </row>
    <row r="240" spans="1:19" ht="20.100000000000001" customHeight="1" x14ac:dyDescent="0.2">
      <c r="A240"/>
      <c r="D240" s="1" t="str" cm="1">
        <f t="array" ref="D240">Common_InputFunctions.Utility_DisplayArrayInTable(Common_SourceData.Common_SourceData_MCFTemperatureZone_Data(),Table_SourceData_Common_MCFTemperatureZone[[#Headers],[Temperature zone]],0)</f>
        <v>Temperate</v>
      </c>
      <c r="E240" s="19" cm="1">
        <f t="array" ref="E240">Common_InputFunctions.Utility_DisplayArrayInTable(Common_SourceData.Common_SourceData_MCFTemperatureZone_Data(),Table_SourceData_Common_MCFTemperatureZone[[#Headers],[Temperature zone]],0)</f>
        <v>18</v>
      </c>
      <c r="F240" s="19" cm="1">
        <f t="array" ref="F240">Common_InputFunctions.Utility_DisplayArrayInTable(Common_SourceData.Common_SourceData_MCFTemperatureZone_Data(),Table_SourceData_Common_MCFTemperatureZone[[#Headers],[Temperature zone]],0)</f>
        <v>0.77</v>
      </c>
      <c r="G240" s="19" cm="1">
        <f t="array" ref="G240">Common_InputFunctions.Utility_DisplayArrayInTable(Common_SourceData.Common_SourceData_MCFTemperatureZone_Data(),Table_SourceData_Common_MCFTemperatureZone[[#Headers],[Temperature zone]],0)</f>
        <v>0.1</v>
      </c>
      <c r="H240" s="19" cm="1">
        <f t="array" ref="H240">Common_InputFunctions.Utility_DisplayArrayInTable(Common_SourceData.Common_SourceData_MCFTemperatureZone_Data(),Table_SourceData_Common_MCFTemperatureZone[[#Headers],[Temperature zone]],0)</f>
        <v>0.22</v>
      </c>
      <c r="I240" s="19" cm="1">
        <f t="array" ref="I240">Common_InputFunctions.Utility_DisplayArrayInTable(Common_SourceData.Common_SourceData_MCFTemperatureZone_Data(),Table_SourceData_Common_MCFTemperatureZone[[#Headers],[Temperature zone]],0)</f>
        <v>5.0000000000000001E-3</v>
      </c>
      <c r="J240" s="19" cm="1">
        <f t="array" ref="J240">Common_InputFunctions.Utility_DisplayArrayInTable(Common_SourceData.Common_SourceData_MCFTemperatureZone_Data(),Table_SourceData_Common_MCFTemperatureZone[[#Headers],[Temperature zone]],0)</f>
        <v>0.01</v>
      </c>
      <c r="K240" s="19" cm="1">
        <f t="array" ref="K240">Common_InputFunctions.Utility_DisplayArrayInTable(Common_SourceData.Common_SourceData_MCFTemperatureZone_Data(),Table_SourceData_Common_MCFTemperatureZone[[#Headers],[Temperature zone]],0)</f>
        <v>0.02</v>
      </c>
      <c r="L240" s="19" cm="1">
        <f t="array" ref="L240">Common_InputFunctions.Utility_DisplayArrayInTable(Common_SourceData.Common_SourceData_MCFTemperatureZone_Data(),Table_SourceData_Common_MCFTemperatureZone[[#Headers],[Temperature zone]],0)</f>
        <v>0.03</v>
      </c>
      <c r="M240" s="19" cm="1">
        <f t="array" ref="M240">Common_InputFunctions.Utility_DisplayArrayInTable(Common_SourceData.Common_SourceData_MCFTemperatureZone_Data(),Table_SourceData_Common_MCFTemperatureZone[[#Headers],[Temperature zone]],0)</f>
        <v>0.04</v>
      </c>
      <c r="N240" s="19" cm="1">
        <f t="array" ref="N240">Common_InputFunctions.Utility_DisplayArrayInTable(Common_SourceData.Common_SourceData_MCFTemperatureZone_Data(),Table_SourceData_Common_MCFTemperatureZone[[#Headers],[Temperature zone]],0)</f>
        <v>1.4999999999999999E-2</v>
      </c>
      <c r="O240" s="19" cm="1">
        <f t="array" ref="O240">Common_InputFunctions.Utility_DisplayArrayInTable(Common_SourceData.Common_SourceData_MCFTemperatureZone_Data(),Table_SourceData_Common_MCFTemperatureZone[[#Headers],[Temperature zone]],0)</f>
        <v>1.4999999999999999E-2</v>
      </c>
      <c r="P240" s="19" cm="1">
        <f t="array" ref="P240">Common_InputFunctions.Utility_DisplayArrayInTable(Common_SourceData.Common_SourceData_MCFTemperatureZone_Data(),Table_SourceData_Common_MCFTemperatureZone[[#Headers],[Temperature zone]],0)</f>
        <v>0</v>
      </c>
      <c r="Q240" s="19" cm="1">
        <f t="array" ref="Q240">Common_InputFunctions.Utility_DisplayArrayInTable(Common_SourceData.Common_SourceData_MCFTemperatureZone_Data(),Table_SourceData_Common_MCFTemperatureZone[[#Headers],[Temperature zone]],0)</f>
        <v>0</v>
      </c>
      <c r="R240" s="19" cm="1">
        <f t="array" ref="R240">Common_InputFunctions.Utility_DisplayArrayInTable(Common_SourceData.Common_SourceData_MCFTemperatureZone_Data(),Table_SourceData_Common_MCFTemperatureZone[[#Headers],[Temperature zone]],0)</f>
        <v>4.7000000000000002E-3</v>
      </c>
      <c r="S240" s="19" cm="1">
        <f t="array" ref="S240">Common_InputFunctions.Utility_DisplayArrayInTable(Common_SourceData.Common_SourceData_MCFTemperatureZone_Data(),Table_SourceData_Common_MCFTemperatureZone[[#Headers],[Temperature zone]],0)</f>
        <v>18</v>
      </c>
    </row>
    <row r="241" spans="1:19" ht="20.100000000000001" customHeight="1" x14ac:dyDescent="0.2">
      <c r="A241"/>
      <c r="D241" s="1" t="str" cm="1">
        <f t="array" ref="D241">Common_InputFunctions.Utility_DisplayArrayInTable(Common_SourceData.Common_SourceData_MCFTemperatureZone_Data(),Table_SourceData_Common_MCFTemperatureZone[[#Headers],[Temperature zone]],0)</f>
        <v>Temperate</v>
      </c>
      <c r="E241" s="19" cm="1">
        <f t="array" ref="E241">Common_InputFunctions.Utility_DisplayArrayInTable(Common_SourceData.Common_SourceData_MCFTemperatureZone_Data(),Table_SourceData_Common_MCFTemperatureZone[[#Headers],[Temperature zone]],0)</f>
        <v>19</v>
      </c>
      <c r="F241" s="19" cm="1">
        <f t="array" ref="F241">Common_InputFunctions.Utility_DisplayArrayInTable(Common_SourceData.Common_SourceData_MCFTemperatureZone_Data(),Table_SourceData_Common_MCFTemperatureZone[[#Headers],[Temperature zone]],0)</f>
        <v>0.77</v>
      </c>
      <c r="G241" s="19" cm="1">
        <f t="array" ref="G241">Common_InputFunctions.Utility_DisplayArrayInTable(Common_SourceData.Common_SourceData_MCFTemperatureZone_Data(),Table_SourceData_Common_MCFTemperatureZone[[#Headers],[Temperature zone]],0)</f>
        <v>0.1</v>
      </c>
      <c r="H241" s="19" cm="1">
        <f t="array" ref="H241">Common_InputFunctions.Utility_DisplayArrayInTable(Common_SourceData.Common_SourceData_MCFTemperatureZone_Data(),Table_SourceData_Common_MCFTemperatureZone[[#Headers],[Temperature zone]],0)</f>
        <v>0.24</v>
      </c>
      <c r="I241" s="19" cm="1">
        <f t="array" ref="I241">Common_InputFunctions.Utility_DisplayArrayInTable(Common_SourceData.Common_SourceData_MCFTemperatureZone_Data(),Table_SourceData_Common_MCFTemperatureZone[[#Headers],[Temperature zone]],0)</f>
        <v>5.0000000000000001E-3</v>
      </c>
      <c r="J241" s="19" cm="1">
        <f t="array" ref="J241">Common_InputFunctions.Utility_DisplayArrayInTable(Common_SourceData.Common_SourceData_MCFTemperatureZone_Data(),Table_SourceData_Common_MCFTemperatureZone[[#Headers],[Temperature zone]],0)</f>
        <v>0.01</v>
      </c>
      <c r="K241" s="19" cm="1">
        <f t="array" ref="K241">Common_InputFunctions.Utility_DisplayArrayInTable(Common_SourceData.Common_SourceData_MCFTemperatureZone_Data(),Table_SourceData_Common_MCFTemperatureZone[[#Headers],[Temperature zone]],0)</f>
        <v>0.02</v>
      </c>
      <c r="L241" s="19" cm="1">
        <f t="array" ref="L241">Common_InputFunctions.Utility_DisplayArrayInTable(Common_SourceData.Common_SourceData_MCFTemperatureZone_Data(),Table_SourceData_Common_MCFTemperatureZone[[#Headers],[Temperature zone]],0)</f>
        <v>0.03</v>
      </c>
      <c r="M241" s="19" cm="1">
        <f t="array" ref="M241">Common_InputFunctions.Utility_DisplayArrayInTable(Common_SourceData.Common_SourceData_MCFTemperatureZone_Data(),Table_SourceData_Common_MCFTemperatureZone[[#Headers],[Temperature zone]],0)</f>
        <v>0.04</v>
      </c>
      <c r="N241" s="19" cm="1">
        <f t="array" ref="N241">Common_InputFunctions.Utility_DisplayArrayInTable(Common_SourceData.Common_SourceData_MCFTemperatureZone_Data(),Table_SourceData_Common_MCFTemperatureZone[[#Headers],[Temperature zone]],0)</f>
        <v>1.4999999999999999E-2</v>
      </c>
      <c r="O241" s="19" cm="1">
        <f t="array" ref="O241">Common_InputFunctions.Utility_DisplayArrayInTable(Common_SourceData.Common_SourceData_MCFTemperatureZone_Data(),Table_SourceData_Common_MCFTemperatureZone[[#Headers],[Temperature zone]],0)</f>
        <v>1.4999999999999999E-2</v>
      </c>
      <c r="P241" s="19" cm="1">
        <f t="array" ref="P241">Common_InputFunctions.Utility_DisplayArrayInTable(Common_SourceData.Common_SourceData_MCFTemperatureZone_Data(),Table_SourceData_Common_MCFTemperatureZone[[#Headers],[Temperature zone]],0)</f>
        <v>0</v>
      </c>
      <c r="Q241" s="19" cm="1">
        <f t="array" ref="Q241">Common_InputFunctions.Utility_DisplayArrayInTable(Common_SourceData.Common_SourceData_MCFTemperatureZone_Data(),Table_SourceData_Common_MCFTemperatureZone[[#Headers],[Temperature zone]],0)</f>
        <v>0</v>
      </c>
      <c r="R241" s="19" cm="1">
        <f t="array" ref="R241">Common_InputFunctions.Utility_DisplayArrayInTable(Common_SourceData.Common_SourceData_MCFTemperatureZone_Data(),Table_SourceData_Common_MCFTemperatureZone[[#Headers],[Temperature zone]],0)</f>
        <v>4.7000000000000002E-3</v>
      </c>
      <c r="S241" s="19" cm="1">
        <f t="array" ref="S241">Common_InputFunctions.Utility_DisplayArrayInTable(Common_SourceData.Common_SourceData_MCFTemperatureZone_Data(),Table_SourceData_Common_MCFTemperatureZone[[#Headers],[Temperature zone]],0)</f>
        <v>19</v>
      </c>
    </row>
    <row r="242" spans="1:19" ht="20.100000000000001" customHeight="1" x14ac:dyDescent="0.2">
      <c r="A242"/>
      <c r="D242" s="1" t="str" cm="1">
        <f t="array" ref="D242">Common_InputFunctions.Utility_DisplayArrayInTable(Common_SourceData.Common_SourceData_MCFTemperatureZone_Data(),Table_SourceData_Common_MCFTemperatureZone[[#Headers],[Temperature zone]],0)</f>
        <v>Temperate</v>
      </c>
      <c r="E242" s="19" cm="1">
        <f t="array" ref="E242">Common_InputFunctions.Utility_DisplayArrayInTable(Common_SourceData.Common_SourceData_MCFTemperatureZone_Data(),Table_SourceData_Common_MCFTemperatureZone[[#Headers],[Temperature zone]],0)</f>
        <v>20</v>
      </c>
      <c r="F242" s="19" cm="1">
        <f t="array" ref="F242">Common_InputFunctions.Utility_DisplayArrayInTable(Common_SourceData.Common_SourceData_MCFTemperatureZone_Data(),Table_SourceData_Common_MCFTemperatureZone[[#Headers],[Temperature zone]],0)</f>
        <v>0.78</v>
      </c>
      <c r="G242" s="19" cm="1">
        <f t="array" ref="G242">Common_InputFunctions.Utility_DisplayArrayInTable(Common_SourceData.Common_SourceData_MCFTemperatureZone_Data(),Table_SourceData_Common_MCFTemperatureZone[[#Headers],[Temperature zone]],0)</f>
        <v>0.1</v>
      </c>
      <c r="H242" s="19" cm="1">
        <f t="array" ref="H242">Common_InputFunctions.Utility_DisplayArrayInTable(Common_SourceData.Common_SourceData_MCFTemperatureZone_Data(),Table_SourceData_Common_MCFTemperatureZone[[#Headers],[Temperature zone]],0)</f>
        <v>0.26</v>
      </c>
      <c r="I242" s="19" cm="1">
        <f t="array" ref="I242">Common_InputFunctions.Utility_DisplayArrayInTable(Common_SourceData.Common_SourceData_MCFTemperatureZone_Data(),Table_SourceData_Common_MCFTemperatureZone[[#Headers],[Temperature zone]],0)</f>
        <v>5.0000000000000001E-3</v>
      </c>
      <c r="J242" s="19" cm="1">
        <f t="array" ref="J242">Common_InputFunctions.Utility_DisplayArrayInTable(Common_SourceData.Common_SourceData_MCFTemperatureZone_Data(),Table_SourceData_Common_MCFTemperatureZone[[#Headers],[Temperature zone]],0)</f>
        <v>0.01</v>
      </c>
      <c r="K242" s="19" cm="1">
        <f t="array" ref="K242">Common_InputFunctions.Utility_DisplayArrayInTable(Common_SourceData.Common_SourceData_MCFTemperatureZone_Data(),Table_SourceData_Common_MCFTemperatureZone[[#Headers],[Temperature zone]],0)</f>
        <v>0.02</v>
      </c>
      <c r="L242" s="19" cm="1">
        <f t="array" ref="L242">Common_InputFunctions.Utility_DisplayArrayInTable(Common_SourceData.Common_SourceData_MCFTemperatureZone_Data(),Table_SourceData_Common_MCFTemperatureZone[[#Headers],[Temperature zone]],0)</f>
        <v>0.03</v>
      </c>
      <c r="M242" s="19" cm="1">
        <f t="array" ref="M242">Common_InputFunctions.Utility_DisplayArrayInTable(Common_SourceData.Common_SourceData_MCFTemperatureZone_Data(),Table_SourceData_Common_MCFTemperatureZone[[#Headers],[Temperature zone]],0)</f>
        <v>0.04</v>
      </c>
      <c r="N242" s="19" cm="1">
        <f t="array" ref="N242">Common_InputFunctions.Utility_DisplayArrayInTable(Common_SourceData.Common_SourceData_MCFTemperatureZone_Data(),Table_SourceData_Common_MCFTemperatureZone[[#Headers],[Temperature zone]],0)</f>
        <v>1.4999999999999999E-2</v>
      </c>
      <c r="O242" s="19" cm="1">
        <f t="array" ref="O242">Common_InputFunctions.Utility_DisplayArrayInTable(Common_SourceData.Common_SourceData_MCFTemperatureZone_Data(),Table_SourceData_Common_MCFTemperatureZone[[#Headers],[Temperature zone]],0)</f>
        <v>1.4999999999999999E-2</v>
      </c>
      <c r="P242" s="19" cm="1">
        <f t="array" ref="P242">Common_InputFunctions.Utility_DisplayArrayInTable(Common_SourceData.Common_SourceData_MCFTemperatureZone_Data(),Table_SourceData_Common_MCFTemperatureZone[[#Headers],[Temperature zone]],0)</f>
        <v>0</v>
      </c>
      <c r="Q242" s="19" cm="1">
        <f t="array" ref="Q242">Common_InputFunctions.Utility_DisplayArrayInTable(Common_SourceData.Common_SourceData_MCFTemperatureZone_Data(),Table_SourceData_Common_MCFTemperatureZone[[#Headers],[Temperature zone]],0)</f>
        <v>0</v>
      </c>
      <c r="R242" s="19" cm="1">
        <f t="array" ref="R242">Common_InputFunctions.Utility_DisplayArrayInTable(Common_SourceData.Common_SourceData_MCFTemperatureZone_Data(),Table_SourceData_Common_MCFTemperatureZone[[#Headers],[Temperature zone]],0)</f>
        <v>4.7000000000000002E-3</v>
      </c>
      <c r="S242" s="19" cm="1">
        <f t="array" ref="S242">Common_InputFunctions.Utility_DisplayArrayInTable(Common_SourceData.Common_SourceData_MCFTemperatureZone_Data(),Table_SourceData_Common_MCFTemperatureZone[[#Headers],[Temperature zone]],0)</f>
        <v>20</v>
      </c>
    </row>
    <row r="243" spans="1:19" ht="20.100000000000001" customHeight="1" x14ac:dyDescent="0.2">
      <c r="A243"/>
      <c r="D243" s="1" t="str" cm="1">
        <f t="array" ref="D243">Common_InputFunctions.Utility_DisplayArrayInTable(Common_SourceData.Common_SourceData_MCFTemperatureZone_Data(),Table_SourceData_Common_MCFTemperatureZone[[#Headers],[Temperature zone]],0)</f>
        <v>Temperate</v>
      </c>
      <c r="E243" s="19" cm="1">
        <f t="array" ref="E243">Common_InputFunctions.Utility_DisplayArrayInTable(Common_SourceData.Common_SourceData_MCFTemperatureZone_Data(),Table_SourceData_Common_MCFTemperatureZone[[#Headers],[Temperature zone]],0)</f>
        <v>21</v>
      </c>
      <c r="F243" s="19" cm="1">
        <f t="array" ref="F243">Common_InputFunctions.Utility_DisplayArrayInTable(Common_SourceData.Common_SourceData_MCFTemperatureZone_Data(),Table_SourceData_Common_MCFTemperatureZone[[#Headers],[Temperature zone]],0)</f>
        <v>0.78</v>
      </c>
      <c r="G243" s="19" cm="1">
        <f t="array" ref="G243">Common_InputFunctions.Utility_DisplayArrayInTable(Common_SourceData.Common_SourceData_MCFTemperatureZone_Data(),Table_SourceData_Common_MCFTemperatureZone[[#Headers],[Temperature zone]],0)</f>
        <v>0.1</v>
      </c>
      <c r="H243" s="19" cm="1">
        <f t="array" ref="H243">Common_InputFunctions.Utility_DisplayArrayInTable(Common_SourceData.Common_SourceData_MCFTemperatureZone_Data(),Table_SourceData_Common_MCFTemperatureZone[[#Headers],[Temperature zone]],0)</f>
        <v>0.28999999999999998</v>
      </c>
      <c r="I243" s="19" cm="1">
        <f t="array" ref="I243">Common_InputFunctions.Utility_DisplayArrayInTable(Common_SourceData.Common_SourceData_MCFTemperatureZone_Data(),Table_SourceData_Common_MCFTemperatureZone[[#Headers],[Temperature zone]],0)</f>
        <v>5.0000000000000001E-3</v>
      </c>
      <c r="J243" s="19" cm="1">
        <f t="array" ref="J243">Common_InputFunctions.Utility_DisplayArrayInTable(Common_SourceData.Common_SourceData_MCFTemperatureZone_Data(),Table_SourceData_Common_MCFTemperatureZone[[#Headers],[Temperature zone]],0)</f>
        <v>0.01</v>
      </c>
      <c r="K243" s="19" cm="1">
        <f t="array" ref="K243">Common_InputFunctions.Utility_DisplayArrayInTable(Common_SourceData.Common_SourceData_MCFTemperatureZone_Data(),Table_SourceData_Common_MCFTemperatureZone[[#Headers],[Temperature zone]],0)</f>
        <v>0.02</v>
      </c>
      <c r="L243" s="19" cm="1">
        <f t="array" ref="L243">Common_InputFunctions.Utility_DisplayArrayInTable(Common_SourceData.Common_SourceData_MCFTemperatureZone_Data(),Table_SourceData_Common_MCFTemperatureZone[[#Headers],[Temperature zone]],0)</f>
        <v>0.03</v>
      </c>
      <c r="M243" s="19" cm="1">
        <f t="array" ref="M243">Common_InputFunctions.Utility_DisplayArrayInTable(Common_SourceData.Common_SourceData_MCFTemperatureZone_Data(),Table_SourceData_Common_MCFTemperatureZone[[#Headers],[Temperature zone]],0)</f>
        <v>0.04</v>
      </c>
      <c r="N243" s="19" cm="1">
        <f t="array" ref="N243">Common_InputFunctions.Utility_DisplayArrayInTable(Common_SourceData.Common_SourceData_MCFTemperatureZone_Data(),Table_SourceData_Common_MCFTemperatureZone[[#Headers],[Temperature zone]],0)</f>
        <v>1.4999999999999999E-2</v>
      </c>
      <c r="O243" s="19" cm="1">
        <f t="array" ref="O243">Common_InputFunctions.Utility_DisplayArrayInTable(Common_SourceData.Common_SourceData_MCFTemperatureZone_Data(),Table_SourceData_Common_MCFTemperatureZone[[#Headers],[Temperature zone]],0)</f>
        <v>1.4999999999999999E-2</v>
      </c>
      <c r="P243" s="19" cm="1">
        <f t="array" ref="P243">Common_InputFunctions.Utility_DisplayArrayInTable(Common_SourceData.Common_SourceData_MCFTemperatureZone_Data(),Table_SourceData_Common_MCFTemperatureZone[[#Headers],[Temperature zone]],0)</f>
        <v>0</v>
      </c>
      <c r="Q243" s="19" cm="1">
        <f t="array" ref="Q243">Common_InputFunctions.Utility_DisplayArrayInTable(Common_SourceData.Common_SourceData_MCFTemperatureZone_Data(),Table_SourceData_Common_MCFTemperatureZone[[#Headers],[Temperature zone]],0)</f>
        <v>0</v>
      </c>
      <c r="R243" s="19" cm="1">
        <f t="array" ref="R243">Common_InputFunctions.Utility_DisplayArrayInTable(Common_SourceData.Common_SourceData_MCFTemperatureZone_Data(),Table_SourceData_Common_MCFTemperatureZone[[#Headers],[Temperature zone]],0)</f>
        <v>4.7000000000000002E-3</v>
      </c>
      <c r="S243" s="19" cm="1">
        <f t="array" ref="S243">Common_InputFunctions.Utility_DisplayArrayInTable(Common_SourceData.Common_SourceData_MCFTemperatureZone_Data(),Table_SourceData_Common_MCFTemperatureZone[[#Headers],[Temperature zone]],0)</f>
        <v>21</v>
      </c>
    </row>
    <row r="244" spans="1:19" ht="20.100000000000001" customHeight="1" x14ac:dyDescent="0.2">
      <c r="A244"/>
      <c r="D244" s="1" t="str" cm="1">
        <f t="array" ref="D244">Common_InputFunctions.Utility_DisplayArrayInTable(Common_SourceData.Common_SourceData_MCFTemperatureZone_Data(),Table_SourceData_Common_MCFTemperatureZone[[#Headers],[Temperature zone]],0)</f>
        <v>Temperate</v>
      </c>
      <c r="E244" s="19" cm="1">
        <f t="array" ref="E244">Common_InputFunctions.Utility_DisplayArrayInTable(Common_SourceData.Common_SourceData_MCFTemperatureZone_Data(),Table_SourceData_Common_MCFTemperatureZone[[#Headers],[Temperature zone]],0)</f>
        <v>22</v>
      </c>
      <c r="F244" s="19" cm="1">
        <f t="array" ref="F244">Common_InputFunctions.Utility_DisplayArrayInTable(Common_SourceData.Common_SourceData_MCFTemperatureZone_Data(),Table_SourceData_Common_MCFTemperatureZone[[#Headers],[Temperature zone]],0)</f>
        <v>0.78</v>
      </c>
      <c r="G244" s="19" cm="1">
        <f t="array" ref="G244">Common_InputFunctions.Utility_DisplayArrayInTable(Common_SourceData.Common_SourceData_MCFTemperatureZone_Data(),Table_SourceData_Common_MCFTemperatureZone[[#Headers],[Temperature zone]],0)</f>
        <v>0.1</v>
      </c>
      <c r="H244" s="19" cm="1">
        <f t="array" ref="H244">Common_InputFunctions.Utility_DisplayArrayInTable(Common_SourceData.Common_SourceData_MCFTemperatureZone_Data(),Table_SourceData_Common_MCFTemperatureZone[[#Headers],[Temperature zone]],0)</f>
        <v>0.31</v>
      </c>
      <c r="I244" s="19" cm="1">
        <f t="array" ref="I244">Common_InputFunctions.Utility_DisplayArrayInTable(Common_SourceData.Common_SourceData_MCFTemperatureZone_Data(),Table_SourceData_Common_MCFTemperatureZone[[#Headers],[Temperature zone]],0)</f>
        <v>5.0000000000000001E-3</v>
      </c>
      <c r="J244" s="19" cm="1">
        <f t="array" ref="J244">Common_InputFunctions.Utility_DisplayArrayInTable(Common_SourceData.Common_SourceData_MCFTemperatureZone_Data(),Table_SourceData_Common_MCFTemperatureZone[[#Headers],[Temperature zone]],0)</f>
        <v>0.01</v>
      </c>
      <c r="K244" s="19" cm="1">
        <f t="array" ref="K244">Common_InputFunctions.Utility_DisplayArrayInTable(Common_SourceData.Common_SourceData_MCFTemperatureZone_Data(),Table_SourceData_Common_MCFTemperatureZone[[#Headers],[Temperature zone]],0)</f>
        <v>0.02</v>
      </c>
      <c r="L244" s="19" cm="1">
        <f t="array" ref="L244">Common_InputFunctions.Utility_DisplayArrayInTable(Common_SourceData.Common_SourceData_MCFTemperatureZone_Data(),Table_SourceData_Common_MCFTemperatureZone[[#Headers],[Temperature zone]],0)</f>
        <v>0.03</v>
      </c>
      <c r="M244" s="19" cm="1">
        <f t="array" ref="M244">Common_InputFunctions.Utility_DisplayArrayInTable(Common_SourceData.Common_SourceData_MCFTemperatureZone_Data(),Table_SourceData_Common_MCFTemperatureZone[[#Headers],[Temperature zone]],0)</f>
        <v>0.04</v>
      </c>
      <c r="N244" s="19" cm="1">
        <f t="array" ref="N244">Common_InputFunctions.Utility_DisplayArrayInTable(Common_SourceData.Common_SourceData_MCFTemperatureZone_Data(),Table_SourceData_Common_MCFTemperatureZone[[#Headers],[Temperature zone]],0)</f>
        <v>1.4999999999999999E-2</v>
      </c>
      <c r="O244" s="19" cm="1">
        <f t="array" ref="O244">Common_InputFunctions.Utility_DisplayArrayInTable(Common_SourceData.Common_SourceData_MCFTemperatureZone_Data(),Table_SourceData_Common_MCFTemperatureZone[[#Headers],[Temperature zone]],0)</f>
        <v>1.4999999999999999E-2</v>
      </c>
      <c r="P244" s="19" cm="1">
        <f t="array" ref="P244">Common_InputFunctions.Utility_DisplayArrayInTable(Common_SourceData.Common_SourceData_MCFTemperatureZone_Data(),Table_SourceData_Common_MCFTemperatureZone[[#Headers],[Temperature zone]],0)</f>
        <v>0</v>
      </c>
      <c r="Q244" s="19" cm="1">
        <f t="array" ref="Q244">Common_InputFunctions.Utility_DisplayArrayInTable(Common_SourceData.Common_SourceData_MCFTemperatureZone_Data(),Table_SourceData_Common_MCFTemperatureZone[[#Headers],[Temperature zone]],0)</f>
        <v>0</v>
      </c>
      <c r="R244" s="19" cm="1">
        <f t="array" ref="R244">Common_InputFunctions.Utility_DisplayArrayInTable(Common_SourceData.Common_SourceData_MCFTemperatureZone_Data(),Table_SourceData_Common_MCFTemperatureZone[[#Headers],[Temperature zone]],0)</f>
        <v>4.7000000000000002E-3</v>
      </c>
      <c r="S244" s="19" cm="1">
        <f t="array" ref="S244">Common_InputFunctions.Utility_DisplayArrayInTable(Common_SourceData.Common_SourceData_MCFTemperatureZone_Data(),Table_SourceData_Common_MCFTemperatureZone[[#Headers],[Temperature zone]],0)</f>
        <v>22</v>
      </c>
    </row>
    <row r="245" spans="1:19" ht="20.100000000000001" customHeight="1" x14ac:dyDescent="0.2">
      <c r="A245"/>
      <c r="D245" s="1" t="str" cm="1">
        <f t="array" ref="D245">Common_InputFunctions.Utility_DisplayArrayInTable(Common_SourceData.Common_SourceData_MCFTemperatureZone_Data(),Table_SourceData_Common_MCFTemperatureZone[[#Headers],[Temperature zone]],0)</f>
        <v>Temperate</v>
      </c>
      <c r="E245" s="19" cm="1">
        <f t="array" ref="E245">Common_InputFunctions.Utility_DisplayArrayInTable(Common_SourceData.Common_SourceData_MCFTemperatureZone_Data(),Table_SourceData_Common_MCFTemperatureZone[[#Headers],[Temperature zone]],0)</f>
        <v>23</v>
      </c>
      <c r="F245" s="19" cm="1">
        <f t="array" ref="F245">Common_InputFunctions.Utility_DisplayArrayInTable(Common_SourceData.Common_SourceData_MCFTemperatureZone_Data(),Table_SourceData_Common_MCFTemperatureZone[[#Headers],[Temperature zone]],0)</f>
        <v>0.79</v>
      </c>
      <c r="G245" s="19" cm="1">
        <f t="array" ref="G245">Common_InputFunctions.Utility_DisplayArrayInTable(Common_SourceData.Common_SourceData_MCFTemperatureZone_Data(),Table_SourceData_Common_MCFTemperatureZone[[#Headers],[Temperature zone]],0)</f>
        <v>0.1</v>
      </c>
      <c r="H245" s="19" cm="1">
        <f t="array" ref="H245">Common_InputFunctions.Utility_DisplayArrayInTable(Common_SourceData.Common_SourceData_MCFTemperatureZone_Data(),Table_SourceData_Common_MCFTemperatureZone[[#Headers],[Temperature zone]],0)</f>
        <v>0.34</v>
      </c>
      <c r="I245" s="19" cm="1">
        <f t="array" ref="I245">Common_InputFunctions.Utility_DisplayArrayInTable(Common_SourceData.Common_SourceData_MCFTemperatureZone_Data(),Table_SourceData_Common_MCFTemperatureZone[[#Headers],[Temperature zone]],0)</f>
        <v>5.0000000000000001E-3</v>
      </c>
      <c r="J245" s="19" cm="1">
        <f t="array" ref="J245">Common_InputFunctions.Utility_DisplayArrayInTable(Common_SourceData.Common_SourceData_MCFTemperatureZone_Data(),Table_SourceData_Common_MCFTemperatureZone[[#Headers],[Temperature zone]],0)</f>
        <v>0.01</v>
      </c>
      <c r="K245" s="19" cm="1">
        <f t="array" ref="K245">Common_InputFunctions.Utility_DisplayArrayInTable(Common_SourceData.Common_SourceData_MCFTemperatureZone_Data(),Table_SourceData_Common_MCFTemperatureZone[[#Headers],[Temperature zone]],0)</f>
        <v>0.02</v>
      </c>
      <c r="L245" s="19" cm="1">
        <f t="array" ref="L245">Common_InputFunctions.Utility_DisplayArrayInTable(Common_SourceData.Common_SourceData_MCFTemperatureZone_Data(),Table_SourceData_Common_MCFTemperatureZone[[#Headers],[Temperature zone]],0)</f>
        <v>0.03</v>
      </c>
      <c r="M245" s="19" cm="1">
        <f t="array" ref="M245">Common_InputFunctions.Utility_DisplayArrayInTable(Common_SourceData.Common_SourceData_MCFTemperatureZone_Data(),Table_SourceData_Common_MCFTemperatureZone[[#Headers],[Temperature zone]],0)</f>
        <v>0.04</v>
      </c>
      <c r="N245" s="19" cm="1">
        <f t="array" ref="N245">Common_InputFunctions.Utility_DisplayArrayInTable(Common_SourceData.Common_SourceData_MCFTemperatureZone_Data(),Table_SourceData_Common_MCFTemperatureZone[[#Headers],[Temperature zone]],0)</f>
        <v>1.4999999999999999E-2</v>
      </c>
      <c r="O245" s="19" cm="1">
        <f t="array" ref="O245">Common_InputFunctions.Utility_DisplayArrayInTable(Common_SourceData.Common_SourceData_MCFTemperatureZone_Data(),Table_SourceData_Common_MCFTemperatureZone[[#Headers],[Temperature zone]],0)</f>
        <v>1.4999999999999999E-2</v>
      </c>
      <c r="P245" s="19" cm="1">
        <f t="array" ref="P245">Common_InputFunctions.Utility_DisplayArrayInTable(Common_SourceData.Common_SourceData_MCFTemperatureZone_Data(),Table_SourceData_Common_MCFTemperatureZone[[#Headers],[Temperature zone]],0)</f>
        <v>0</v>
      </c>
      <c r="Q245" s="19" cm="1">
        <f t="array" ref="Q245">Common_InputFunctions.Utility_DisplayArrayInTable(Common_SourceData.Common_SourceData_MCFTemperatureZone_Data(),Table_SourceData_Common_MCFTemperatureZone[[#Headers],[Temperature zone]],0)</f>
        <v>0</v>
      </c>
      <c r="R245" s="19" cm="1">
        <f t="array" ref="R245">Common_InputFunctions.Utility_DisplayArrayInTable(Common_SourceData.Common_SourceData_MCFTemperatureZone_Data(),Table_SourceData_Common_MCFTemperatureZone[[#Headers],[Temperature zone]],0)</f>
        <v>4.7000000000000002E-3</v>
      </c>
      <c r="S245" s="19" cm="1">
        <f t="array" ref="S245">Common_InputFunctions.Utility_DisplayArrayInTable(Common_SourceData.Common_SourceData_MCFTemperatureZone_Data(),Table_SourceData_Common_MCFTemperatureZone[[#Headers],[Temperature zone]],0)</f>
        <v>23</v>
      </c>
    </row>
    <row r="246" spans="1:19" ht="20.100000000000001" customHeight="1" x14ac:dyDescent="0.2">
      <c r="A246" s="79" t="str">
        <f>HYPERLINK("#A1", "▲ Back to top")</f>
        <v>▲ Back to top</v>
      </c>
      <c r="D246" s="1" t="str" cm="1">
        <f t="array" ref="D246">Common_InputFunctions.Utility_DisplayArrayInTable(Common_SourceData.Common_SourceData_MCFTemperatureZone_Data(),Table_SourceData_Common_MCFTemperatureZone[[#Headers],[Temperature zone]],0)</f>
        <v>Temperate</v>
      </c>
      <c r="E246" s="19" cm="1">
        <f t="array" ref="E246">Common_InputFunctions.Utility_DisplayArrayInTable(Common_SourceData.Common_SourceData_MCFTemperatureZone_Data(),Table_SourceData_Common_MCFTemperatureZone[[#Headers],[Temperature zone]],0)</f>
        <v>24</v>
      </c>
      <c r="F246" s="19" cm="1">
        <f t="array" ref="F246">Common_InputFunctions.Utility_DisplayArrayInTable(Common_SourceData.Common_SourceData_MCFTemperatureZone_Data(),Table_SourceData_Common_MCFTemperatureZone[[#Headers],[Temperature zone]],0)</f>
        <v>0.79</v>
      </c>
      <c r="G246" s="19" cm="1">
        <f t="array" ref="G246">Common_InputFunctions.Utility_DisplayArrayInTable(Common_SourceData.Common_SourceData_MCFTemperatureZone_Data(),Table_SourceData_Common_MCFTemperatureZone[[#Headers],[Temperature zone]],0)</f>
        <v>0.1</v>
      </c>
      <c r="H246" s="19" cm="1">
        <f t="array" ref="H246">Common_InputFunctions.Utility_DisplayArrayInTable(Common_SourceData.Common_SourceData_MCFTemperatureZone_Data(),Table_SourceData_Common_MCFTemperatureZone[[#Headers],[Temperature zone]],0)</f>
        <v>0.37</v>
      </c>
      <c r="I246" s="19" cm="1">
        <f t="array" ref="I246">Common_InputFunctions.Utility_DisplayArrayInTable(Common_SourceData.Common_SourceData_MCFTemperatureZone_Data(),Table_SourceData_Common_MCFTemperatureZone[[#Headers],[Temperature zone]],0)</f>
        <v>5.0000000000000001E-3</v>
      </c>
      <c r="J246" s="19" cm="1">
        <f t="array" ref="J246">Common_InputFunctions.Utility_DisplayArrayInTable(Common_SourceData.Common_SourceData_MCFTemperatureZone_Data(),Table_SourceData_Common_MCFTemperatureZone[[#Headers],[Temperature zone]],0)</f>
        <v>0.01</v>
      </c>
      <c r="K246" s="19" cm="1">
        <f t="array" ref="K246">Common_InputFunctions.Utility_DisplayArrayInTable(Common_SourceData.Common_SourceData_MCFTemperatureZone_Data(),Table_SourceData_Common_MCFTemperatureZone[[#Headers],[Temperature zone]],0)</f>
        <v>0.02</v>
      </c>
      <c r="L246" s="19" cm="1">
        <f t="array" ref="L246">Common_InputFunctions.Utility_DisplayArrayInTable(Common_SourceData.Common_SourceData_MCFTemperatureZone_Data(),Table_SourceData_Common_MCFTemperatureZone[[#Headers],[Temperature zone]],0)</f>
        <v>0.03</v>
      </c>
      <c r="M246" s="19" cm="1">
        <f t="array" ref="M246">Common_InputFunctions.Utility_DisplayArrayInTable(Common_SourceData.Common_SourceData_MCFTemperatureZone_Data(),Table_SourceData_Common_MCFTemperatureZone[[#Headers],[Temperature zone]],0)</f>
        <v>0.04</v>
      </c>
      <c r="N246" s="19" cm="1">
        <f t="array" ref="N246">Common_InputFunctions.Utility_DisplayArrayInTable(Common_SourceData.Common_SourceData_MCFTemperatureZone_Data(),Table_SourceData_Common_MCFTemperatureZone[[#Headers],[Temperature zone]],0)</f>
        <v>1.4999999999999999E-2</v>
      </c>
      <c r="O246" s="19" cm="1">
        <f t="array" ref="O246">Common_InputFunctions.Utility_DisplayArrayInTable(Common_SourceData.Common_SourceData_MCFTemperatureZone_Data(),Table_SourceData_Common_MCFTemperatureZone[[#Headers],[Temperature zone]],0)</f>
        <v>1.4999999999999999E-2</v>
      </c>
      <c r="P246" s="19" cm="1">
        <f t="array" ref="P246">Common_InputFunctions.Utility_DisplayArrayInTable(Common_SourceData.Common_SourceData_MCFTemperatureZone_Data(),Table_SourceData_Common_MCFTemperatureZone[[#Headers],[Temperature zone]],0)</f>
        <v>0</v>
      </c>
      <c r="Q246" s="19" cm="1">
        <f t="array" ref="Q246">Common_InputFunctions.Utility_DisplayArrayInTable(Common_SourceData.Common_SourceData_MCFTemperatureZone_Data(),Table_SourceData_Common_MCFTemperatureZone[[#Headers],[Temperature zone]],0)</f>
        <v>0</v>
      </c>
      <c r="R246" s="19" cm="1">
        <f t="array" ref="R246">Common_InputFunctions.Utility_DisplayArrayInTable(Common_SourceData.Common_SourceData_MCFTemperatureZone_Data(),Table_SourceData_Common_MCFTemperatureZone[[#Headers],[Temperature zone]],0)</f>
        <v>4.7000000000000002E-3</v>
      </c>
      <c r="S246" s="19" cm="1">
        <f t="array" ref="S246">Common_InputFunctions.Utility_DisplayArrayInTable(Common_SourceData.Common_SourceData_MCFTemperatureZone_Data(),Table_SourceData_Common_MCFTemperatureZone[[#Headers],[Temperature zone]],0)</f>
        <v>24</v>
      </c>
    </row>
    <row r="247" spans="1:19" ht="20.100000000000001" customHeight="1" x14ac:dyDescent="0.2">
      <c r="A247"/>
      <c r="D247" s="1" t="str" cm="1">
        <f t="array" ref="D247">Common_InputFunctions.Utility_DisplayArrayInTable(Common_SourceData.Common_SourceData_MCFTemperatureZone_Data(),Table_SourceData_Common_MCFTemperatureZone[[#Headers],[Temperature zone]],0)</f>
        <v>Temperate</v>
      </c>
      <c r="E247" s="19" cm="1">
        <f t="array" ref="E247">Common_InputFunctions.Utility_DisplayArrayInTable(Common_SourceData.Common_SourceData_MCFTemperatureZone_Data(),Table_SourceData_Common_MCFTemperatureZone[[#Headers],[Temperature zone]],0)</f>
        <v>25</v>
      </c>
      <c r="F247" s="19" cm="1">
        <f t="array" ref="F247">Common_InputFunctions.Utility_DisplayArrayInTable(Common_SourceData.Common_SourceData_MCFTemperatureZone_Data(),Table_SourceData_Common_MCFTemperatureZone[[#Headers],[Temperature zone]],0)</f>
        <v>0.79</v>
      </c>
      <c r="G247" s="19" cm="1">
        <f t="array" ref="G247">Common_InputFunctions.Utility_DisplayArrayInTable(Common_SourceData.Common_SourceData_MCFTemperatureZone_Data(),Table_SourceData_Common_MCFTemperatureZone[[#Headers],[Temperature zone]],0)</f>
        <v>0.1</v>
      </c>
      <c r="H247" s="19" cm="1">
        <f t="array" ref="H247">Common_InputFunctions.Utility_DisplayArrayInTable(Common_SourceData.Common_SourceData_MCFTemperatureZone_Data(),Table_SourceData_Common_MCFTemperatureZone[[#Headers],[Temperature zone]],0)</f>
        <v>0.41</v>
      </c>
      <c r="I247" s="19" cm="1">
        <f t="array" ref="I247">Common_InputFunctions.Utility_DisplayArrayInTable(Common_SourceData.Common_SourceData_MCFTemperatureZone_Data(),Table_SourceData_Common_MCFTemperatureZone[[#Headers],[Temperature zone]],0)</f>
        <v>5.0000000000000001E-3</v>
      </c>
      <c r="J247" s="19" cm="1">
        <f t="array" ref="J247">Common_InputFunctions.Utility_DisplayArrayInTable(Common_SourceData.Common_SourceData_MCFTemperatureZone_Data(),Table_SourceData_Common_MCFTemperatureZone[[#Headers],[Temperature zone]],0)</f>
        <v>0.01</v>
      </c>
      <c r="K247" s="19" cm="1">
        <f t="array" ref="K247">Common_InputFunctions.Utility_DisplayArrayInTable(Common_SourceData.Common_SourceData_MCFTemperatureZone_Data(),Table_SourceData_Common_MCFTemperatureZone[[#Headers],[Temperature zone]],0)</f>
        <v>0.02</v>
      </c>
      <c r="L247" s="19" cm="1">
        <f t="array" ref="L247">Common_InputFunctions.Utility_DisplayArrayInTable(Common_SourceData.Common_SourceData_MCFTemperatureZone_Data(),Table_SourceData_Common_MCFTemperatureZone[[#Headers],[Temperature zone]],0)</f>
        <v>0.03</v>
      </c>
      <c r="M247" s="19" cm="1">
        <f t="array" ref="M247">Common_InputFunctions.Utility_DisplayArrayInTable(Common_SourceData.Common_SourceData_MCFTemperatureZone_Data(),Table_SourceData_Common_MCFTemperatureZone[[#Headers],[Temperature zone]],0)</f>
        <v>0.04</v>
      </c>
      <c r="N247" s="19" cm="1">
        <f t="array" ref="N247">Common_InputFunctions.Utility_DisplayArrayInTable(Common_SourceData.Common_SourceData_MCFTemperatureZone_Data(),Table_SourceData_Common_MCFTemperatureZone[[#Headers],[Temperature zone]],0)</f>
        <v>1.4999999999999999E-2</v>
      </c>
      <c r="O247" s="19" cm="1">
        <f t="array" ref="O247">Common_InputFunctions.Utility_DisplayArrayInTable(Common_SourceData.Common_SourceData_MCFTemperatureZone_Data(),Table_SourceData_Common_MCFTemperatureZone[[#Headers],[Temperature zone]],0)</f>
        <v>1.4999999999999999E-2</v>
      </c>
      <c r="P247" s="19" cm="1">
        <f t="array" ref="P247">Common_InputFunctions.Utility_DisplayArrayInTable(Common_SourceData.Common_SourceData_MCFTemperatureZone_Data(),Table_SourceData_Common_MCFTemperatureZone[[#Headers],[Temperature zone]],0)</f>
        <v>0</v>
      </c>
      <c r="Q247" s="19" cm="1">
        <f t="array" ref="Q247">Common_InputFunctions.Utility_DisplayArrayInTable(Common_SourceData.Common_SourceData_MCFTemperatureZone_Data(),Table_SourceData_Common_MCFTemperatureZone[[#Headers],[Temperature zone]],0)</f>
        <v>0</v>
      </c>
      <c r="R247" s="19" cm="1">
        <f t="array" ref="R247">Common_InputFunctions.Utility_DisplayArrayInTable(Common_SourceData.Common_SourceData_MCFTemperatureZone_Data(),Table_SourceData_Common_MCFTemperatureZone[[#Headers],[Temperature zone]],0)</f>
        <v>4.7000000000000002E-3</v>
      </c>
      <c r="S247" s="19" cm="1">
        <f t="array" ref="S247">Common_InputFunctions.Utility_DisplayArrayInTable(Common_SourceData.Common_SourceData_MCFTemperatureZone_Data(),Table_SourceData_Common_MCFTemperatureZone[[#Headers],[Temperature zone]],0)</f>
        <v>25</v>
      </c>
    </row>
    <row r="248" spans="1:19" ht="20.100000000000001" customHeight="1" x14ac:dyDescent="0.2">
      <c r="A248"/>
      <c r="D248" s="1" t="str" cm="1">
        <f t="array" ref="D248">Common_InputFunctions.Utility_DisplayArrayInTable(Common_SourceData.Common_SourceData_MCFTemperatureZone_Data(),Table_SourceData_Common_MCFTemperatureZone[[#Headers],[Temperature zone]],0)</f>
        <v>Warm</v>
      </c>
      <c r="E248" s="19" cm="1">
        <f t="array" ref="E248">Common_InputFunctions.Utility_DisplayArrayInTable(Common_SourceData.Common_SourceData_MCFTemperatureZone_Data(),Table_SourceData_Common_MCFTemperatureZone[[#Headers],[Temperature zone]],0)</f>
        <v>26</v>
      </c>
      <c r="F248" s="19" cm="1">
        <f t="array" ref="F248">Common_InputFunctions.Utility_DisplayArrayInTable(Common_SourceData.Common_SourceData_MCFTemperatureZone_Data(),Table_SourceData_Common_MCFTemperatureZone[[#Headers],[Temperature zone]],0)</f>
        <v>0.79</v>
      </c>
      <c r="G248" s="19" cm="1">
        <f t="array" ref="G248">Common_InputFunctions.Utility_DisplayArrayInTable(Common_SourceData.Common_SourceData_MCFTemperatureZone_Data(),Table_SourceData_Common_MCFTemperatureZone[[#Headers],[Temperature zone]],0)</f>
        <v>0.1</v>
      </c>
      <c r="H248" s="19" cm="1">
        <f t="array" ref="H248">Common_InputFunctions.Utility_DisplayArrayInTable(Common_SourceData.Common_SourceData_MCFTemperatureZone_Data(),Table_SourceData_Common_MCFTemperatureZone[[#Headers],[Temperature zone]],0)</f>
        <v>0.44</v>
      </c>
      <c r="I248" s="19" cm="1">
        <f t="array" ref="I248">Common_InputFunctions.Utility_DisplayArrayInTable(Common_SourceData.Common_SourceData_MCFTemperatureZone_Data(),Table_SourceData_Common_MCFTemperatureZone[[#Headers],[Temperature zone]],0)</f>
        <v>0.01</v>
      </c>
      <c r="J248" s="19" cm="1">
        <f t="array" ref="J248">Common_InputFunctions.Utility_DisplayArrayInTable(Common_SourceData.Common_SourceData_MCFTemperatureZone_Data(),Table_SourceData_Common_MCFTemperatureZone[[#Headers],[Temperature zone]],0)</f>
        <v>1.4999999999999999E-2</v>
      </c>
      <c r="K248" s="19" cm="1">
        <f t="array" ref="K248">Common_InputFunctions.Utility_DisplayArrayInTable(Common_SourceData.Common_SourceData_MCFTemperatureZone_Data(),Table_SourceData_Common_MCFTemperatureZone[[#Headers],[Temperature zone]],0)</f>
        <v>0.02</v>
      </c>
      <c r="L248" s="19" cm="1">
        <f t="array" ref="L248">Common_InputFunctions.Utility_DisplayArrayInTable(Common_SourceData.Common_SourceData_MCFTemperatureZone_Data(),Table_SourceData_Common_MCFTemperatureZone[[#Headers],[Temperature zone]],0)</f>
        <v>0.03</v>
      </c>
      <c r="M248" s="19" cm="1">
        <f t="array" ref="M248">Common_InputFunctions.Utility_DisplayArrayInTable(Common_SourceData.Common_SourceData_MCFTemperatureZone_Data(),Table_SourceData_Common_MCFTemperatureZone[[#Headers],[Temperature zone]],0)</f>
        <v>0.04</v>
      </c>
      <c r="N248" s="19" cm="1">
        <f t="array" ref="N248">Common_InputFunctions.Utility_DisplayArrayInTable(Common_SourceData.Common_SourceData_MCFTemperatureZone_Data(),Table_SourceData_Common_MCFTemperatureZone[[#Headers],[Temperature zone]],0)</f>
        <v>1.4999999999999999E-2</v>
      </c>
      <c r="O248" s="19" cm="1">
        <f t="array" ref="O248">Common_InputFunctions.Utility_DisplayArrayInTable(Common_SourceData.Common_SourceData_MCFTemperatureZone_Data(),Table_SourceData_Common_MCFTemperatureZone[[#Headers],[Temperature zone]],0)</f>
        <v>1.4999999999999999E-2</v>
      </c>
      <c r="P248" s="19" cm="1">
        <f t="array" ref="P248">Common_InputFunctions.Utility_DisplayArrayInTable(Common_SourceData.Common_SourceData_MCFTemperatureZone_Data(),Table_SourceData_Common_MCFTemperatureZone[[#Headers],[Temperature zone]],0)</f>
        <v>0</v>
      </c>
      <c r="Q248" s="19" cm="1">
        <f t="array" ref="Q248">Common_InputFunctions.Utility_DisplayArrayInTable(Common_SourceData.Common_SourceData_MCFTemperatureZone_Data(),Table_SourceData_Common_MCFTemperatureZone[[#Headers],[Temperature zone]],0)</f>
        <v>0</v>
      </c>
      <c r="R248" s="19" cm="1">
        <f t="array" ref="R248">Common_InputFunctions.Utility_DisplayArrayInTable(Common_SourceData.Common_SourceData_MCFTemperatureZone_Data(),Table_SourceData_Common_MCFTemperatureZone[[#Headers],[Temperature zone]],0)</f>
        <v>4.7000000000000002E-3</v>
      </c>
      <c r="S248" s="19" cm="1">
        <f t="array" ref="S248">Common_InputFunctions.Utility_DisplayArrayInTable(Common_SourceData.Common_SourceData_MCFTemperatureZone_Data(),Table_SourceData_Common_MCFTemperatureZone[[#Headers],[Temperature zone]],0)</f>
        <v>26</v>
      </c>
    </row>
    <row r="249" spans="1:19" ht="20.100000000000001" customHeight="1" x14ac:dyDescent="0.2">
      <c r="A249"/>
      <c r="D249" s="1" t="str" cm="1">
        <f t="array" ref="D249">Common_InputFunctions.Utility_DisplayArrayInTable(Common_SourceData.Common_SourceData_MCFTemperatureZone_Data(),Table_SourceData_Common_MCFTemperatureZone[[#Headers],[Temperature zone]],0)</f>
        <v>Warm</v>
      </c>
      <c r="E249" s="19" cm="1">
        <f t="array" ref="E249">Common_InputFunctions.Utility_DisplayArrayInTable(Common_SourceData.Common_SourceData_MCFTemperatureZone_Data(),Table_SourceData_Common_MCFTemperatureZone[[#Headers],[Temperature zone]],0)</f>
        <v>27</v>
      </c>
      <c r="F249" s="19" cm="1">
        <f t="array" ref="F249">Common_InputFunctions.Utility_DisplayArrayInTable(Common_SourceData.Common_SourceData_MCFTemperatureZone_Data(),Table_SourceData_Common_MCFTemperatureZone[[#Headers],[Temperature zone]],0)</f>
        <v>0.8</v>
      </c>
      <c r="G249" s="19" cm="1">
        <f t="array" ref="G249">Common_InputFunctions.Utility_DisplayArrayInTable(Common_SourceData.Common_SourceData_MCFTemperatureZone_Data(),Table_SourceData_Common_MCFTemperatureZone[[#Headers],[Temperature zone]],0)</f>
        <v>0.1</v>
      </c>
      <c r="H249" s="19" cm="1">
        <f t="array" ref="H249">Common_InputFunctions.Utility_DisplayArrayInTable(Common_SourceData.Common_SourceData_MCFTemperatureZone_Data(),Table_SourceData_Common_MCFTemperatureZone[[#Headers],[Temperature zone]],0)</f>
        <v>0.48</v>
      </c>
      <c r="I249" s="19" cm="1">
        <f t="array" ref="I249">Common_InputFunctions.Utility_DisplayArrayInTable(Common_SourceData.Common_SourceData_MCFTemperatureZone_Data(),Table_SourceData_Common_MCFTemperatureZone[[#Headers],[Temperature zone]],0)</f>
        <v>0.01</v>
      </c>
      <c r="J249" s="19" cm="1">
        <f t="array" ref="J249">Common_InputFunctions.Utility_DisplayArrayInTable(Common_SourceData.Common_SourceData_MCFTemperatureZone_Data(),Table_SourceData_Common_MCFTemperatureZone[[#Headers],[Temperature zone]],0)</f>
        <v>1.4999999999999999E-2</v>
      </c>
      <c r="K249" s="19" cm="1">
        <f t="array" ref="K249">Common_InputFunctions.Utility_DisplayArrayInTable(Common_SourceData.Common_SourceData_MCFTemperatureZone_Data(),Table_SourceData_Common_MCFTemperatureZone[[#Headers],[Temperature zone]],0)</f>
        <v>0.02</v>
      </c>
      <c r="L249" s="19" cm="1">
        <f t="array" ref="L249">Common_InputFunctions.Utility_DisplayArrayInTable(Common_SourceData.Common_SourceData_MCFTemperatureZone_Data(),Table_SourceData_Common_MCFTemperatureZone[[#Headers],[Temperature zone]],0)</f>
        <v>0.03</v>
      </c>
      <c r="M249" s="19" cm="1">
        <f t="array" ref="M249">Common_InputFunctions.Utility_DisplayArrayInTable(Common_SourceData.Common_SourceData_MCFTemperatureZone_Data(),Table_SourceData_Common_MCFTemperatureZone[[#Headers],[Temperature zone]],0)</f>
        <v>0.04</v>
      </c>
      <c r="N249" s="19" cm="1">
        <f t="array" ref="N249">Common_InputFunctions.Utility_DisplayArrayInTable(Common_SourceData.Common_SourceData_MCFTemperatureZone_Data(),Table_SourceData_Common_MCFTemperatureZone[[#Headers],[Temperature zone]],0)</f>
        <v>1.4999999999999999E-2</v>
      </c>
      <c r="O249" s="19" cm="1">
        <f t="array" ref="O249">Common_InputFunctions.Utility_DisplayArrayInTable(Common_SourceData.Common_SourceData_MCFTemperatureZone_Data(),Table_SourceData_Common_MCFTemperatureZone[[#Headers],[Temperature zone]],0)</f>
        <v>1.4999999999999999E-2</v>
      </c>
      <c r="P249" s="19" cm="1">
        <f t="array" ref="P249">Common_InputFunctions.Utility_DisplayArrayInTable(Common_SourceData.Common_SourceData_MCFTemperatureZone_Data(),Table_SourceData_Common_MCFTemperatureZone[[#Headers],[Temperature zone]],0)</f>
        <v>0</v>
      </c>
      <c r="Q249" s="19" cm="1">
        <f t="array" ref="Q249">Common_InputFunctions.Utility_DisplayArrayInTable(Common_SourceData.Common_SourceData_MCFTemperatureZone_Data(),Table_SourceData_Common_MCFTemperatureZone[[#Headers],[Temperature zone]],0)</f>
        <v>0</v>
      </c>
      <c r="R249" s="19" cm="1">
        <f t="array" ref="R249">Common_InputFunctions.Utility_DisplayArrayInTable(Common_SourceData.Common_SourceData_MCFTemperatureZone_Data(),Table_SourceData_Common_MCFTemperatureZone[[#Headers],[Temperature zone]],0)</f>
        <v>4.7000000000000002E-3</v>
      </c>
      <c r="S249" s="19" cm="1">
        <f t="array" ref="S249">Common_InputFunctions.Utility_DisplayArrayInTable(Common_SourceData.Common_SourceData_MCFTemperatureZone_Data(),Table_SourceData_Common_MCFTemperatureZone[[#Headers],[Temperature zone]],0)</f>
        <v>27</v>
      </c>
    </row>
    <row r="250" spans="1:19" ht="20.100000000000001" customHeight="1" x14ac:dyDescent="0.2">
      <c r="A250"/>
      <c r="D250" s="1" t="str" cm="1">
        <f t="array" ref="D250">Common_InputFunctions.Utility_DisplayArrayInTable(Common_SourceData.Common_SourceData_MCFTemperatureZone_Data(),Table_SourceData_Common_MCFTemperatureZone[[#Headers],[Temperature zone]],0)</f>
        <v>Warm</v>
      </c>
      <c r="E250" s="19" t="str" cm="1">
        <f t="array" ref="E250">Common_InputFunctions.Utility_DisplayArrayInTable(Common_SourceData.Common_SourceData_MCFTemperatureZone_Data(),Table_SourceData_Common_MCFTemperatureZone[[#Headers],[Temperature zone]],0)</f>
        <v>≥28</v>
      </c>
      <c r="F250" s="19" cm="1">
        <f t="array" ref="F250">Common_InputFunctions.Utility_DisplayArrayInTable(Common_SourceData.Common_SourceData_MCFTemperatureZone_Data(),Table_SourceData_Common_MCFTemperatureZone[[#Headers],[Temperature zone]],0)</f>
        <v>0.8</v>
      </c>
      <c r="G250" s="19" cm="1">
        <f t="array" ref="G250">Common_InputFunctions.Utility_DisplayArrayInTable(Common_SourceData.Common_SourceData_MCFTemperatureZone_Data(),Table_SourceData_Common_MCFTemperatureZone[[#Headers],[Temperature zone]],0)</f>
        <v>0.1</v>
      </c>
      <c r="H250" s="19" cm="1">
        <f t="array" ref="H250">Common_InputFunctions.Utility_DisplayArrayInTable(Common_SourceData.Common_SourceData_MCFTemperatureZone_Data(),Table_SourceData_Common_MCFTemperatureZone[[#Headers],[Temperature zone]],0)</f>
        <v>0.5</v>
      </c>
      <c r="I250" s="19" cm="1">
        <f t="array" ref="I250">Common_InputFunctions.Utility_DisplayArrayInTable(Common_SourceData.Common_SourceData_MCFTemperatureZone_Data(),Table_SourceData_Common_MCFTemperatureZone[[#Headers],[Temperature zone]],0)</f>
        <v>0.01</v>
      </c>
      <c r="J250" s="19" cm="1">
        <f t="array" ref="J250">Common_InputFunctions.Utility_DisplayArrayInTable(Common_SourceData.Common_SourceData_MCFTemperatureZone_Data(),Table_SourceData_Common_MCFTemperatureZone[[#Headers],[Temperature zone]],0)</f>
        <v>1.4999999999999999E-2</v>
      </c>
      <c r="K250" s="19" cm="1">
        <f t="array" ref="K250">Common_InputFunctions.Utility_DisplayArrayInTable(Common_SourceData.Common_SourceData_MCFTemperatureZone_Data(),Table_SourceData_Common_MCFTemperatureZone[[#Headers],[Temperature zone]],0)</f>
        <v>0.02</v>
      </c>
      <c r="L250" s="19" cm="1">
        <f t="array" ref="L250">Common_InputFunctions.Utility_DisplayArrayInTable(Common_SourceData.Common_SourceData_MCFTemperatureZone_Data(),Table_SourceData_Common_MCFTemperatureZone[[#Headers],[Temperature zone]],0)</f>
        <v>0.03</v>
      </c>
      <c r="M250" s="19" cm="1">
        <f t="array" ref="M250">Common_InputFunctions.Utility_DisplayArrayInTable(Common_SourceData.Common_SourceData_MCFTemperatureZone_Data(),Table_SourceData_Common_MCFTemperatureZone[[#Headers],[Temperature zone]],0)</f>
        <v>0.04</v>
      </c>
      <c r="N250" s="19" cm="1">
        <f t="array" ref="N250">Common_InputFunctions.Utility_DisplayArrayInTable(Common_SourceData.Common_SourceData_MCFTemperatureZone_Data(),Table_SourceData_Common_MCFTemperatureZone[[#Headers],[Temperature zone]],0)</f>
        <v>1.4999999999999999E-2</v>
      </c>
      <c r="O250" s="19" cm="1">
        <f t="array" ref="O250">Common_InputFunctions.Utility_DisplayArrayInTable(Common_SourceData.Common_SourceData_MCFTemperatureZone_Data(),Table_SourceData_Common_MCFTemperatureZone[[#Headers],[Temperature zone]],0)</f>
        <v>1.4999999999999999E-2</v>
      </c>
      <c r="P250" s="19" cm="1">
        <f t="array" ref="P250">Common_InputFunctions.Utility_DisplayArrayInTable(Common_SourceData.Common_SourceData_MCFTemperatureZone_Data(),Table_SourceData_Common_MCFTemperatureZone[[#Headers],[Temperature zone]],0)</f>
        <v>0</v>
      </c>
      <c r="Q250" s="19" cm="1">
        <f t="array" ref="Q250">Common_InputFunctions.Utility_DisplayArrayInTable(Common_SourceData.Common_SourceData_MCFTemperatureZone_Data(),Table_SourceData_Common_MCFTemperatureZone[[#Headers],[Temperature zone]],0)</f>
        <v>0</v>
      </c>
      <c r="R250" s="19" cm="1">
        <f t="array" ref="R250">Common_InputFunctions.Utility_DisplayArrayInTable(Common_SourceData.Common_SourceData_MCFTemperatureZone_Data(),Table_SourceData_Common_MCFTemperatureZone[[#Headers],[Temperature zone]],0)</f>
        <v>4.7000000000000002E-3</v>
      </c>
      <c r="S250" s="19" cm="1">
        <f t="array" ref="S250">Common_InputFunctions.Utility_DisplayArrayInTable(Common_SourceData.Common_SourceData_MCFTemperatureZone_Data(),Table_SourceData_Common_MCFTemperatureZone[[#Headers],[Temperature zone]],0)</f>
        <v>28</v>
      </c>
    </row>
    <row r="251" spans="1:19" ht="20.100000000000001" customHeight="1" x14ac:dyDescent="0.2">
      <c r="A251"/>
    </row>
    <row r="252" spans="1:19" ht="20.100000000000001" customHeight="1" x14ac:dyDescent="0.2">
      <c r="A252"/>
    </row>
    <row r="253" spans="1:19" ht="20.100000000000001" customHeight="1" x14ac:dyDescent="0.2">
      <c r="A253"/>
      <c r="D253" s="2" t="str" cm="1">
        <f t="array" ref="D253">Common_SourceData.Common_SourceData_EFOrganicFertiliserAndCropResidues_Title()</f>
        <v>Emission factor for organic fertiliser and crop residues returned to the soil</v>
      </c>
    </row>
    <row r="254" spans="1:19" ht="20.100000000000001" customHeight="1" x14ac:dyDescent="0.2">
      <c r="A254"/>
      <c r="D254" s="17" t="str" cm="1">
        <f t="array" ref="D254">Common_SourceData.Common_SourceData_EFOrganicFertiliserAndCropResidues_Source()</f>
        <v>VEERG 2026: Table A.2.1.4</v>
      </c>
    </row>
    <row r="255" spans="1:19" ht="20.100000000000001" customHeight="1" x14ac:dyDescent="0.2">
      <c r="A255"/>
      <c r="D255" s="1" t="str" cm="1">
        <f t="array" ref="D255">Common_SourceData.Common_SourceData_EFOrganicFertiliserAndCropResidues_Variable()</f>
        <v>EFNi &amp; EFN2Oi</v>
      </c>
    </row>
    <row r="256" spans="1:19" ht="20.100000000000001" customHeight="1" x14ac:dyDescent="0.2">
      <c r="A256"/>
      <c r="D256" s="9" t="str" cm="1">
        <f t="array" ref="D256">Common_SourceData.Common_SourceData_EFOrganicFertiliserAndCropResidues_Unit()</f>
        <v>kg N2O - N / kg N</v>
      </c>
    </row>
    <row r="257" spans="1:66" ht="20.100000000000001" customHeight="1" x14ac:dyDescent="0.2">
      <c r="A257"/>
      <c r="D257" s="19" t="s">
        <v>84</v>
      </c>
      <c r="E257" s="19" t="s">
        <v>85</v>
      </c>
    </row>
    <row r="258" spans="1:66" ht="20.100000000000001" customHeight="1" x14ac:dyDescent="0.2">
      <c r="A258"/>
      <c r="D258" s="19" t="str" cm="1">
        <f t="array" ref="D258">Common_InputFunctions.Utility_DisplayArrayInTable(Common_SourceData.Common_SourceData_EFOrganicFertiliserAndCropResidues_Data(), Table_SourceData_Common_EFOrganicFertCropResidues[[#Headers],[Climate Zone]], 0)</f>
        <v>Wet climate zone</v>
      </c>
      <c r="E258" s="19" cm="1">
        <f t="array" ref="E258">Common_InputFunctions.Utility_DisplayArrayInTable(Common_SourceData.Common_SourceData_EFOrganicFertiliserAndCropResidues_Data(), Table_SourceData_Common_EFOrganicFertCropResidues[[#Headers],[Climate Zone]], 0)</f>
        <v>6.0000000000000001E-3</v>
      </c>
    </row>
    <row r="259" spans="1:66" ht="20.100000000000001" customHeight="1" x14ac:dyDescent="0.2">
      <c r="A259"/>
      <c r="D259" s="1" t="str" cm="1">
        <f t="array" ref="D259">Common_InputFunctions.Utility_DisplayArrayInTable(Common_SourceData.Common_SourceData_EFOrganicFertiliserAndCropResidues_Data(), Table_SourceData_Common_EFOrganicFertCropResidues[[#Headers],[Climate Zone]], 0)</f>
        <v>Dry climate zone</v>
      </c>
      <c r="E259" s="19" cm="1">
        <f t="array" ref="E259">Common_InputFunctions.Utility_DisplayArrayInTable(Common_SourceData.Common_SourceData_EFOrganicFertiliserAndCropResidues_Data(), Table_SourceData_Common_EFOrganicFertCropResidues[[#Headers],[Climate Zone]], 0)</f>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154</v>
      </c>
    </row>
    <row r="264" spans="1:66" ht="20.100000000000001" customHeight="1" x14ac:dyDescent="0.2">
      <c r="A264"/>
      <c r="D264" s="1" t="s">
        <v>155</v>
      </c>
    </row>
    <row r="265" spans="1:66" ht="20.100000000000001" customHeight="1" x14ac:dyDescent="0.2">
      <c r="A265"/>
      <c r="D265" s="19" t="s">
        <v>198</v>
      </c>
      <c r="E265" s="19" t="s">
        <v>156</v>
      </c>
      <c r="F265" s="19" t="s">
        <v>157</v>
      </c>
      <c r="G265" s="19" t="s">
        <v>150</v>
      </c>
      <c r="V265" s="1"/>
      <c r="BN265" s="21"/>
    </row>
    <row r="266" spans="1:66" ht="20.100000000000001" customHeight="1" x14ac:dyDescent="0.2">
      <c r="A266"/>
      <c r="D266" s="19" t="s">
        <v>199</v>
      </c>
      <c r="E266" s="19" t="s">
        <v>158</v>
      </c>
      <c r="F266" s="19" t="s">
        <v>159</v>
      </c>
      <c r="G266" s="19">
        <v>5</v>
      </c>
      <c r="V266" s="1"/>
      <c r="BN266" s="21"/>
    </row>
    <row r="267" spans="1:66" ht="20.100000000000001" customHeight="1" x14ac:dyDescent="0.2">
      <c r="A267"/>
      <c r="D267" s="19" t="s">
        <v>200</v>
      </c>
      <c r="E267" s="19" t="s">
        <v>160</v>
      </c>
      <c r="F267" s="19" t="s">
        <v>151</v>
      </c>
      <c r="G267" s="19">
        <v>4</v>
      </c>
      <c r="V267" s="1"/>
      <c r="BN267" s="21"/>
    </row>
    <row r="268" spans="1:66" ht="20.100000000000001" customHeight="1" x14ac:dyDescent="0.2">
      <c r="A268"/>
      <c r="D268" s="19" t="s">
        <v>201</v>
      </c>
      <c r="E268" s="19" t="s">
        <v>161</v>
      </c>
      <c r="F268" s="19" t="s">
        <v>162</v>
      </c>
      <c r="G268" s="19">
        <v>3</v>
      </c>
      <c r="V268" s="1"/>
      <c r="BN268" s="21"/>
    </row>
    <row r="269" spans="1:66" ht="20.100000000000001" customHeight="1" x14ac:dyDescent="0.2">
      <c r="A269"/>
      <c r="D269" s="19" t="s">
        <v>202</v>
      </c>
      <c r="E269" s="19" t="s">
        <v>163</v>
      </c>
      <c r="F269" s="19" t="s">
        <v>164</v>
      </c>
      <c r="G269" s="19">
        <v>2</v>
      </c>
      <c r="V269" s="1"/>
      <c r="BN269" s="21"/>
    </row>
    <row r="270" spans="1:66" ht="20.100000000000001" customHeight="1" x14ac:dyDescent="0.2">
      <c r="A270"/>
      <c r="D270" s="19" t="s">
        <v>203</v>
      </c>
      <c r="E270" s="19" t="s">
        <v>165</v>
      </c>
      <c r="F270" s="19" t="s">
        <v>166</v>
      </c>
      <c r="G270" s="19">
        <v>1</v>
      </c>
      <c r="V270" s="1"/>
      <c r="BN270" s="21"/>
    </row>
    <row r="271" spans="1:66" ht="20.100000000000001" customHeight="1" x14ac:dyDescent="0.2">
      <c r="A271"/>
    </row>
    <row r="272" spans="1:66" ht="20.100000000000001" customHeight="1" x14ac:dyDescent="0.2">
      <c r="A272"/>
    </row>
    <row r="273" spans="1:66" ht="20.100000000000001" customHeight="1" x14ac:dyDescent="0.2">
      <c r="A273"/>
      <c r="D273" s="1" t="s">
        <v>167</v>
      </c>
    </row>
    <row r="274" spans="1:66" ht="20.100000000000001" customHeight="1" x14ac:dyDescent="0.2">
      <c r="A274"/>
      <c r="D274" s="19" t="s">
        <v>198</v>
      </c>
      <c r="E274" s="19" t="s">
        <v>156</v>
      </c>
      <c r="F274" s="19" t="s">
        <v>157</v>
      </c>
      <c r="G274" s="19" t="s">
        <v>150</v>
      </c>
      <c r="V274" s="1"/>
      <c r="BN274" s="21"/>
    </row>
    <row r="275" spans="1:66" ht="20.100000000000001" customHeight="1" x14ac:dyDescent="0.2">
      <c r="A275"/>
      <c r="D275" s="19" t="s">
        <v>204</v>
      </c>
      <c r="E275" s="19" t="s">
        <v>168</v>
      </c>
      <c r="F275" s="19" t="s">
        <v>152</v>
      </c>
      <c r="G275" s="19">
        <v>5</v>
      </c>
      <c r="V275" s="1"/>
      <c r="BN275" s="21"/>
    </row>
    <row r="276" spans="1:66" ht="20.100000000000001" customHeight="1" x14ac:dyDescent="0.2">
      <c r="A276" s="79" t="str">
        <f>HYPERLINK("#A1", "▲ Back to top")</f>
        <v>▲ Back to top</v>
      </c>
      <c r="D276" s="19" t="s">
        <v>205</v>
      </c>
      <c r="E276" s="19" t="s">
        <v>169</v>
      </c>
      <c r="F276" s="19" t="s">
        <v>170</v>
      </c>
      <c r="G276" s="19">
        <v>4</v>
      </c>
      <c r="V276" s="1"/>
      <c r="BN276" s="21"/>
    </row>
    <row r="277" spans="1:66" ht="20.100000000000001" customHeight="1" x14ac:dyDescent="0.2">
      <c r="A277"/>
      <c r="D277" s="19" t="s">
        <v>206</v>
      </c>
      <c r="E277" s="19" t="s">
        <v>171</v>
      </c>
      <c r="F277" s="19" t="s">
        <v>172</v>
      </c>
      <c r="G277" s="19">
        <v>3</v>
      </c>
      <c r="V277" s="1"/>
      <c r="BN277" s="21"/>
    </row>
    <row r="278" spans="1:66" ht="20.100000000000001" customHeight="1" x14ac:dyDescent="0.2">
      <c r="A278"/>
      <c r="D278" s="19" t="s">
        <v>207</v>
      </c>
      <c r="E278" s="19" t="s">
        <v>173</v>
      </c>
      <c r="F278" s="19" t="s">
        <v>174</v>
      </c>
      <c r="G278" s="19">
        <v>2</v>
      </c>
      <c r="V278" s="1"/>
      <c r="BN278" s="21"/>
    </row>
    <row r="279" spans="1:66" ht="20.100000000000001" customHeight="1" x14ac:dyDescent="0.2">
      <c r="A279"/>
      <c r="D279" s="19" t="s">
        <v>208</v>
      </c>
      <c r="E279" s="19" t="s">
        <v>175</v>
      </c>
      <c r="F279" s="19" t="s">
        <v>176</v>
      </c>
      <c r="G279" s="19">
        <v>1</v>
      </c>
      <c r="V279" s="1"/>
      <c r="BN279" s="21"/>
    </row>
    <row r="280" spans="1:66" ht="20.100000000000001" customHeight="1" x14ac:dyDescent="0.2">
      <c r="A280"/>
    </row>
    <row r="281" spans="1:66" ht="20.100000000000001" customHeight="1" x14ac:dyDescent="0.2">
      <c r="A281"/>
    </row>
    <row r="282" spans="1:66" ht="20.100000000000001" customHeight="1" x14ac:dyDescent="0.2">
      <c r="A282"/>
      <c r="D282" s="1" t="s">
        <v>177</v>
      </c>
    </row>
    <row r="283" spans="1:66" ht="20.100000000000001" customHeight="1" x14ac:dyDescent="0.2">
      <c r="A283"/>
      <c r="D283" s="19" t="s">
        <v>198</v>
      </c>
      <c r="E283" s="19" t="s">
        <v>156</v>
      </c>
      <c r="F283" s="19" t="s">
        <v>157</v>
      </c>
      <c r="G283" s="19" t="s">
        <v>150</v>
      </c>
      <c r="V283" s="1"/>
      <c r="BN283" s="21"/>
    </row>
    <row r="284" spans="1:66" ht="20.100000000000001" customHeight="1" x14ac:dyDescent="0.2">
      <c r="A284"/>
      <c r="D284" s="19" t="s">
        <v>209</v>
      </c>
      <c r="E284" s="19" t="s">
        <v>178</v>
      </c>
      <c r="F284" s="19" t="s">
        <v>179</v>
      </c>
      <c r="G284" s="19">
        <v>5</v>
      </c>
      <c r="V284" s="1"/>
      <c r="BN284" s="21"/>
    </row>
    <row r="285" spans="1:66" ht="20.100000000000001" customHeight="1" x14ac:dyDescent="0.2">
      <c r="A285"/>
      <c r="D285" s="19" t="s">
        <v>210</v>
      </c>
      <c r="E285" s="19" t="s">
        <v>180</v>
      </c>
      <c r="F285" s="19" t="s">
        <v>181</v>
      </c>
      <c r="G285" s="19">
        <v>4</v>
      </c>
      <c r="V285" s="1"/>
      <c r="BN285" s="21"/>
    </row>
    <row r="286" spans="1:66" ht="20.100000000000001" customHeight="1" x14ac:dyDescent="0.2">
      <c r="A286"/>
      <c r="D286" s="19" t="s">
        <v>211</v>
      </c>
      <c r="E286" s="19" t="s">
        <v>182</v>
      </c>
      <c r="F286" s="19" t="s">
        <v>153</v>
      </c>
      <c r="G286" s="19">
        <v>3</v>
      </c>
      <c r="V286" s="1"/>
      <c r="BN286" s="21"/>
    </row>
    <row r="287" spans="1:66" ht="20.100000000000001" customHeight="1" x14ac:dyDescent="0.2">
      <c r="A287"/>
      <c r="D287" s="19" t="s">
        <v>212</v>
      </c>
      <c r="E287" s="19" t="s">
        <v>183</v>
      </c>
      <c r="F287" s="19" t="s">
        <v>184</v>
      </c>
      <c r="G287" s="19">
        <v>2</v>
      </c>
      <c r="V287" s="1"/>
      <c r="BN287" s="21"/>
    </row>
    <row r="288" spans="1:66" ht="20.100000000000001" customHeight="1" x14ac:dyDescent="0.2">
      <c r="A288"/>
      <c r="D288" s="19" t="s">
        <v>213</v>
      </c>
      <c r="E288" s="19" t="s">
        <v>185</v>
      </c>
      <c r="F288" s="19" t="s">
        <v>186</v>
      </c>
      <c r="G288" s="19">
        <v>1</v>
      </c>
      <c r="V288" s="1"/>
      <c r="BN288" s="21"/>
    </row>
    <row r="289" spans="1:66" ht="20.100000000000001" customHeight="1" x14ac:dyDescent="0.2">
      <c r="A289"/>
    </row>
    <row r="290" spans="1:66" ht="20.100000000000001" customHeight="1" x14ac:dyDescent="0.2">
      <c r="A290"/>
    </row>
    <row r="291" spans="1:66" ht="20.100000000000001" customHeight="1" x14ac:dyDescent="0.2">
      <c r="A291"/>
      <c r="D291" s="1" t="s">
        <v>187</v>
      </c>
    </row>
    <row r="292" spans="1:66" ht="20.100000000000001" customHeight="1" x14ac:dyDescent="0.2">
      <c r="A292"/>
      <c r="D292" s="19" t="s">
        <v>198</v>
      </c>
      <c r="E292" s="19" t="s">
        <v>156</v>
      </c>
      <c r="F292" s="19" t="s">
        <v>157</v>
      </c>
      <c r="G292" s="19" t="s">
        <v>150</v>
      </c>
      <c r="V292" s="1"/>
      <c r="BN292" s="21"/>
    </row>
    <row r="293" spans="1:66" ht="20.100000000000001" customHeight="1" x14ac:dyDescent="0.2">
      <c r="A293"/>
      <c r="D293" s="19" t="s">
        <v>214</v>
      </c>
      <c r="E293" s="19" t="s">
        <v>188</v>
      </c>
      <c r="F293" s="19" t="s">
        <v>189</v>
      </c>
      <c r="G293" s="19">
        <v>5</v>
      </c>
      <c r="V293" s="1"/>
      <c r="BN293" s="21"/>
    </row>
    <row r="294" spans="1:66" ht="20.100000000000001" customHeight="1" x14ac:dyDescent="0.2">
      <c r="A294"/>
      <c r="D294" s="19" t="s">
        <v>215</v>
      </c>
      <c r="E294" s="19" t="s">
        <v>190</v>
      </c>
      <c r="F294" s="19" t="s">
        <v>191</v>
      </c>
      <c r="G294" s="19">
        <v>4</v>
      </c>
      <c r="V294" s="1"/>
      <c r="BN294" s="21"/>
    </row>
    <row r="295" spans="1:66" ht="20.100000000000001" customHeight="1" x14ac:dyDescent="0.2">
      <c r="A295"/>
      <c r="D295" s="19" t="s">
        <v>216</v>
      </c>
      <c r="E295" s="19" t="s">
        <v>192</v>
      </c>
      <c r="F295" s="19" t="s">
        <v>193</v>
      </c>
      <c r="G295" s="19">
        <v>3</v>
      </c>
      <c r="V295" s="1"/>
      <c r="BN295" s="21"/>
    </row>
    <row r="296" spans="1:66" ht="20.100000000000001" customHeight="1" x14ac:dyDescent="0.2">
      <c r="A296"/>
      <c r="D296" s="19" t="s">
        <v>217</v>
      </c>
      <c r="E296" s="19" t="s">
        <v>194</v>
      </c>
      <c r="F296" s="19" t="s">
        <v>195</v>
      </c>
      <c r="G296" s="19">
        <v>2</v>
      </c>
      <c r="V296" s="1"/>
      <c r="BN296" s="21"/>
    </row>
    <row r="297" spans="1:66" ht="20.100000000000001" customHeight="1" x14ac:dyDescent="0.2">
      <c r="A297"/>
      <c r="D297" s="19" t="s">
        <v>218</v>
      </c>
      <c r="E297" s="19" t="s">
        <v>196</v>
      </c>
      <c r="F297" s="19" t="s">
        <v>197</v>
      </c>
      <c r="G297" s="19">
        <v>1</v>
      </c>
      <c r="V297" s="1"/>
      <c r="BN297" s="21"/>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9325-DEFB-4E30-82C8-8F24474E3BDE}">
  <sheetPr>
    <tabColor theme="5" tint="-0.249977111117893"/>
  </sheetPr>
  <dimension ref="A1:K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671</v>
      </c>
    </row>
    <row r="2" spans="1:11" s="3" customFormat="1" ht="20.100000000000001" customHeight="1" x14ac:dyDescent="0.2">
      <c r="A2"/>
    </row>
    <row r="3" spans="1:11" ht="20.100000000000001" customHeight="1" x14ac:dyDescent="0.2">
      <c r="A3" s="5" t="str">
        <f>HYPERLINK("#'Home'!A1", "Home")</f>
        <v>Home</v>
      </c>
      <c r="C3" s="28"/>
      <c r="D3" s="28"/>
      <c r="E3" s="28"/>
      <c r="F3" s="28"/>
      <c r="G3" s="28"/>
      <c r="H3" s="28"/>
      <c r="I3" s="28"/>
      <c r="J3" s="28"/>
      <c r="K3" s="28"/>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1" t="s">
        <v>480</v>
      </c>
      <c r="E5" s="13" t="s">
        <v>672</v>
      </c>
      <c r="F5" s="16" t="s">
        <v>100</v>
      </c>
    </row>
    <row r="6" spans="1:11" ht="20.100000000000001" customHeight="1" x14ac:dyDescent="0.2">
      <c r="D6" s="1" t="s">
        <v>673</v>
      </c>
      <c r="E6" s="13" t="s">
        <v>674</v>
      </c>
      <c r="F6" s="16" t="s">
        <v>100</v>
      </c>
    </row>
    <row r="7" spans="1:11" ht="20.100000000000001" customHeight="1" x14ac:dyDescent="0.2">
      <c r="D7" s="1" t="s">
        <v>63</v>
      </c>
      <c r="E7" s="13" t="s">
        <v>482</v>
      </c>
      <c r="F7" s="16" t="s">
        <v>100</v>
      </c>
    </row>
    <row r="8" spans="1:11" ht="20.100000000000001" customHeight="1" x14ac:dyDescent="0.2">
      <c r="A8" s="7" t="s">
        <v>0</v>
      </c>
      <c r="D8" s="1" t="s">
        <v>675</v>
      </c>
      <c r="E8" s="74">
        <v>100</v>
      </c>
      <c r="F8" s="16" t="s">
        <v>676</v>
      </c>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Feedlot'!A1", "Feedlot")</f>
        <v>Feedlot</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row>
    <row r="14" spans="1:11" ht="20.100000000000001" customHeight="1" x14ac:dyDescent="0.2">
      <c r="A14" s="5" t="str">
        <f>HYPERLINK("#'Input - Fuel'!A1", "Fuel")</f>
        <v>Fuel</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101"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HYPERLINK("#'3.1.1.1-2 Enteric Methane'!A1", "3.1.1.1-2 Enteric Methane")</f>
        <v>3.1.1.1-2 Enteric Methane</v>
      </c>
    </row>
    <row r="28" spans="1:1" ht="20.100000000000001" customHeight="1" x14ac:dyDescent="0.2">
      <c r="A28" s="5" t="str">
        <f>HYPERLINK("#'4.1.1.1-2 Methane'!A1", "4.1.1.1-2 Manure Methane")</f>
        <v>4.1.1.1-2 Manure Methane</v>
      </c>
    </row>
    <row r="29" spans="1:1" ht="20.100000000000001" customHeight="1" x14ac:dyDescent="0.2">
      <c r="A29" s="5" t="str">
        <f>HYPERLINK("#'4.1.1.3-4 Direct N20'!A1", "4.1.1.3-4 Manure Direct N2O")</f>
        <v>4.1.1.3-4 Manure Direct N2O</v>
      </c>
    </row>
    <row r="30" spans="1:1" ht="20.100000000000001" customHeight="1" x14ac:dyDescent="0.2">
      <c r="A30" s="5" t="str">
        <f>HYPERLINK("#'4.1.1.5-6 Atmos Deposition'!A1", "4.1.1.5-6 Manure Atmos Dep")</f>
        <v>4.1.1.5-6 Manure Atmos Dep</v>
      </c>
    </row>
    <row r="31" spans="1:1" ht="20.100000000000001" customHeight="1" x14ac:dyDescent="0.2">
      <c r="A31" s="5" t="str">
        <f>HYPERLINK("#'4.1.1.9 Manure applied to soils'!A1", "4.1.1.9 Manure applied to soils")</f>
        <v>4.1.1.9 Manure applied to soils</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dataValidations count="3">
    <dataValidation type="list" allowBlank="1" showInputMessage="1" showErrorMessage="1" sqref="E5" xr:uid="{B99F4CFD-93F7-41A4-81B6-FDB8EDF7656B}">
      <formula1>INDIRECT("Table_SourceData_Fertiliser_CropProdSystems[Production system]")</formula1>
    </dataValidation>
    <dataValidation type="list" allowBlank="1" showInputMessage="1" showErrorMessage="1" sqref="E7" xr:uid="{E8DD7A27-5048-4EE9-A13E-FBD32DDCE5B5}">
      <formula1>INDIRECT("Table_SourceData_Fertiliser_IrrigationMethods[Irrigation method]")</formula1>
    </dataValidation>
    <dataValidation type="list" allowBlank="1" showInputMessage="1" showErrorMessage="1" sqref="E6" xr:uid="{C1FC54C9-C032-45B8-9F2F-2194701A2696}">
      <formula1>INDIRECT("Table_SourceData_Fertiliser_CropTypes[Production system]")</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D8A6A-8F32-4554-AB8B-0DB800F94E2D}">
  <sheetPr>
    <tabColor theme="5" tint="-0.249977111117893"/>
  </sheetPr>
  <dimension ref="A1:AA378"/>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677</v>
      </c>
    </row>
    <row r="2" spans="1:27" s="3" customFormat="1" ht="20.100000000000001" customHeight="1" x14ac:dyDescent="0.2">
      <c r="A2"/>
    </row>
    <row r="3" spans="1:27" ht="20.100000000000001" customHeight="1" x14ac:dyDescent="0.2">
      <c r="A3" s="5" t="str">
        <f>HYPERLINK("#'Home'!A1", "Home")</f>
        <v>Home</v>
      </c>
      <c r="C3" s="28"/>
      <c r="D3" s="28"/>
      <c r="E3" s="28"/>
      <c r="F3" s="28"/>
      <c r="G3" s="28"/>
      <c r="H3" s="28"/>
      <c r="I3" s="28"/>
      <c r="J3" s="28"/>
      <c r="K3" s="28"/>
      <c r="L3" s="28"/>
      <c r="M3" s="28"/>
      <c r="N3" s="28"/>
      <c r="O3" s="28"/>
      <c r="P3" s="28"/>
      <c r="Q3" s="28"/>
      <c r="R3" s="28"/>
      <c r="S3" s="28"/>
      <c r="T3" s="28"/>
      <c r="U3" s="28"/>
      <c r="V3" s="28"/>
      <c r="W3" s="28"/>
      <c r="X3" s="28"/>
      <c r="Y3" s="28"/>
      <c r="Z3" s="28"/>
      <c r="AA3" s="28"/>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Emissions Intensity")</f>
        <v>Results - Product Emissions Intensity</v>
      </c>
      <c r="D5" s="2" t="s">
        <v>678</v>
      </c>
      <c r="E5" s="24"/>
      <c r="F5" s="24"/>
      <c r="G5" s="24"/>
      <c r="H5" s="24"/>
      <c r="I5" s="24"/>
      <c r="J5" s="24"/>
      <c r="K5" s="24"/>
      <c r="L5" s="24"/>
      <c r="M5" s="24"/>
    </row>
    <row r="6" spans="1:27" ht="20.100000000000001" customHeight="1" x14ac:dyDescent="0.2">
      <c r="D6" s="8"/>
      <c r="E6" s="8"/>
      <c r="F6" s="8"/>
      <c r="G6" s="8"/>
      <c r="H6" s="8"/>
      <c r="I6" s="8"/>
      <c r="J6" s="8"/>
      <c r="K6" s="8"/>
      <c r="L6" s="8"/>
      <c r="M6" s="8"/>
    </row>
    <row r="7" spans="1:27" ht="20.100000000000001" customHeight="1" x14ac:dyDescent="0.2">
      <c r="D7" s="129" t="s">
        <v>679</v>
      </c>
      <c r="E7" s="43"/>
      <c r="F7" s="43"/>
      <c r="G7" s="43"/>
      <c r="H7" s="44"/>
      <c r="I7" s="191"/>
      <c r="J7" s="192"/>
      <c r="K7" s="192"/>
      <c r="L7" s="192"/>
      <c r="M7" s="192"/>
    </row>
    <row r="8" spans="1:27" ht="20.100000000000001" customHeight="1" x14ac:dyDescent="0.2">
      <c r="A8" s="7" t="s">
        <v>0</v>
      </c>
      <c r="D8" s="45" t="s">
        <v>680</v>
      </c>
      <c r="E8" s="46"/>
      <c r="F8" s="46"/>
      <c r="G8" s="46"/>
      <c r="H8" s="47"/>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7" t="s">
        <v>681</v>
      </c>
      <c r="E10" s="8"/>
      <c r="F10" s="8"/>
      <c r="G10" s="8"/>
      <c r="H10" s="8"/>
      <c r="I10" s="8"/>
      <c r="J10" s="8"/>
      <c r="K10" s="8"/>
      <c r="L10" s="8"/>
      <c r="M10" s="8"/>
    </row>
    <row r="11" spans="1:27" ht="20.100000000000001" customHeight="1" x14ac:dyDescent="0.2">
      <c r="A11" s="5" t="str">
        <f>HYPERLINK("#'Input - Feedlot'!A1", "Feedlot")</f>
        <v>Feedlot</v>
      </c>
      <c r="D11" s="193" t="s">
        <v>682</v>
      </c>
      <c r="E11" s="194" t="s">
        <v>683</v>
      </c>
      <c r="F11" s="195" t="s">
        <v>684</v>
      </c>
      <c r="G11" s="194" t="s">
        <v>685</v>
      </c>
      <c r="H11" s="195" t="s">
        <v>686</v>
      </c>
      <c r="I11" s="194" t="s">
        <v>687</v>
      </c>
      <c r="J11" s="193" t="s">
        <v>688</v>
      </c>
      <c r="K11" s="193" t="s">
        <v>689</v>
      </c>
      <c r="L11" s="193" t="s">
        <v>690</v>
      </c>
      <c r="M11" s="193" t="s">
        <v>691</v>
      </c>
      <c r="N11" s="193" t="s">
        <v>692</v>
      </c>
      <c r="O11" s="193" t="s">
        <v>693</v>
      </c>
      <c r="P11" s="193" t="s">
        <v>694</v>
      </c>
      <c r="Q11" s="193" t="s">
        <v>695</v>
      </c>
      <c r="R11" s="193" t="s">
        <v>696</v>
      </c>
      <c r="S11" s="193" t="s">
        <v>697</v>
      </c>
      <c r="T11" s="193" t="s">
        <v>698</v>
      </c>
      <c r="U11" s="193" t="s">
        <v>699</v>
      </c>
      <c r="V11" s="193" t="s">
        <v>700</v>
      </c>
      <c r="W11" s="193" t="s">
        <v>701</v>
      </c>
      <c r="X11" s="193" t="s">
        <v>702</v>
      </c>
      <c r="Y11" s="193" t="s">
        <v>703</v>
      </c>
      <c r="Z11" s="193" t="s">
        <v>704</v>
      </c>
    </row>
    <row r="12" spans="1:27" ht="20.100000000000001" customHeight="1" x14ac:dyDescent="0.2">
      <c r="A12" s="5" t="str">
        <f>HYPERLINK("#'Input - Livestock sales'!A1", "Livestock sales")</f>
        <v>Livestock sales</v>
      </c>
      <c r="D12" s="196" t="s">
        <v>705</v>
      </c>
      <c r="E12" s="197">
        <v>100</v>
      </c>
      <c r="F12" s="15" t="str">
        <f>IFERROR(_xlfn.XLOOKUP(Table_Input_InorganicFertiliser_Brands[[#This Row],[Product (select)]],FertiliserProducts[Product],FertiliserProducts[Unit]), "kg")</f>
        <v>kg</v>
      </c>
      <c r="G12" s="197">
        <f t="shared" ref="G12" si="0">X_Cell_Fertiliser_AreaUnderCropping</f>
        <v>100</v>
      </c>
      <c r="H12" s="198">
        <f>IFERROR(_xlfn.XLOOKUP(Table_Input_InorganicFertiliser_Brands[[#This Row],[Product (select)]],FertiliserProducts[Product],FertiliserProducts[Density]), 1)</f>
        <v>1</v>
      </c>
      <c r="I12" s="199">
        <f>(Table_Input_InorganicFertiliser_Brands[[#This Row],[Amount applied per hectare]]*Table_Input_InorganicFertiliser_Brands[[#This Row],[Density]])*Table_Input_InorganicFertiliser_Brands[[#This Row],[Application area (ha)]]</f>
        <v>10000</v>
      </c>
      <c r="J12" s="199"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99"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99"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199"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199"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99"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99"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199"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199"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199"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199"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199"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99" cm="1">
        <f t="array" ref="W12">IFERROR(Fertiliser_InputFunctions.Fertiliser_FertiliserProductLookup(Table_Input_InorganicFertiliser_Brands[[#This Row],[Product (select)]], "N declared", FertiliserProducts[#Data], FertiliserProducts[Product], FertiliserProducts[#Headers])*0.01, 0)</f>
        <v>0.46</v>
      </c>
      <c r="X12"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99" t="str">
        <f>IFERROR(_xlfn.XLOOKUP(Table_Input_InorganicFertiliser_Brands[[#This Row],[Product (select)]],FertiliserProducts[Product],FertiliserProducts[Urea source]), "")</f>
        <v/>
      </c>
      <c r="Z12" s="199" t="str">
        <f>IFERROR(_xlfn.XLOOKUP(Table_Input_InorganicFertiliser_Brands[[#This Row],[Product (select)]],FertiliserProducts[Product],FertiliserProducts[Ammonia source]), "")</f>
        <v/>
      </c>
    </row>
    <row r="13" spans="1:27" ht="20.100000000000001" customHeight="1" x14ac:dyDescent="0.2">
      <c r="A13" s="5" t="str">
        <f>HYPERLINK("#'Input - Beef cattle purchases'!A1", "Beef cattle purchases")</f>
        <v>Beef cattle purchases</v>
      </c>
      <c r="D13" s="196" t="s">
        <v>706</v>
      </c>
      <c r="E13" s="197">
        <v>100</v>
      </c>
      <c r="F13" s="15" t="str">
        <f>IFERROR(_xlfn.XLOOKUP(Table_Input_InorganicFertiliser_Brands[[#This Row],[Product (select)]],FertiliserProducts[Product],FertiliserProducts[Unit]), "kg")</f>
        <v>kg</v>
      </c>
      <c r="G13" s="197">
        <f t="shared" ref="G13" si="1">X_Cell_Fertiliser_AreaUnderCropping</f>
        <v>100</v>
      </c>
      <c r="H13" s="198">
        <f>IFERROR(_xlfn.XLOOKUP(Table_Input_InorganicFertiliser_Brands[[#This Row],[Product (select)]],FertiliserProducts[Product],FertiliserProducts[Density]), 1)</f>
        <v>1</v>
      </c>
      <c r="I13" s="199">
        <f>(Table_Input_InorganicFertiliser_Brands[[#This Row],[Amount applied per hectare]]*Table_Input_InorganicFertiliser_Brands[[#This Row],[Density]])*Table_Input_InorganicFertiliser_Brands[[#This Row],[Application area (ha)]]</f>
        <v>10000</v>
      </c>
      <c r="J13" s="199"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99"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99"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99"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99"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99"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99"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99"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99"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99"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99"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99"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200" cm="1">
        <f t="array" ref="W13">IFERROR(Fertiliser_InputFunctions.Fertiliser_FertiliserProductLookup(Table_Input_InorganicFertiliser_Brands[[#This Row],[Product (select)]], "N declared", FertiliserProducts[#Data], FertiliserProducts[Product], FertiliserProducts[#Headers])*0.01, 0)</f>
        <v>0.24</v>
      </c>
      <c r="X13"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99" t="str">
        <f>IFERROR(_xlfn.XLOOKUP(Table_Input_InorganicFertiliser_Brands[[#This Row],[Product (select)]],FertiliserProducts[Product],FertiliserProducts[Urea source]), "")</f>
        <v/>
      </c>
      <c r="Z13" s="199" t="str">
        <f>IFERROR(_xlfn.XLOOKUP(Table_Input_InorganicFertiliser_Brands[[#This Row],[Product (select)]],FertiliserProducts[Product],FertiliserProducts[Ammonia source]), "")</f>
        <v/>
      </c>
    </row>
    <row r="14" spans="1:27" ht="20.100000000000001" customHeight="1" x14ac:dyDescent="0.2">
      <c r="A14" s="5" t="str">
        <f>HYPERLINK("#'Input - Fuel'!A1", "Fuel")</f>
        <v>Fuel</v>
      </c>
      <c r="D14" s="196" t="s">
        <v>707</v>
      </c>
      <c r="E14" s="197">
        <v>100</v>
      </c>
      <c r="F14" s="15" t="str">
        <f>IFERROR(_xlfn.XLOOKUP(Table_Input_InorganicFertiliser_Brands[[#This Row],[Product (select)]],FertiliserProducts[Product],FertiliserProducts[Unit]), "kg")</f>
        <v>kg</v>
      </c>
      <c r="G14" s="197">
        <f t="shared" ref="G14" si="2">X_Cell_Fertiliser_AreaUnderCropping</f>
        <v>100</v>
      </c>
      <c r="H14" s="198">
        <f>IFERROR(_xlfn.XLOOKUP(Table_Input_InorganicFertiliser_Brands[[#This Row],[Product (select)]],FertiliserProducts[Product],FertiliserProducts[Density]), 1)</f>
        <v>1</v>
      </c>
      <c r="I14" s="199">
        <f>(Table_Input_InorganicFertiliser_Brands[[#This Row],[Amount applied per hectare]]*Table_Input_InorganicFertiliser_Brands[[#This Row],[Density]])*Table_Input_InorganicFertiliser_Brands[[#This Row],[Application area (ha)]]</f>
        <v>10000</v>
      </c>
      <c r="J14" s="199"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99"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99"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99"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99"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99"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99"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99"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99"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99"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99"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199"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200" cm="1">
        <f t="array" ref="W14">IFERROR(Fertiliser_InputFunctions.Fertiliser_FertiliserProductLookup(Table_Input_InorganicFertiliser_Brands[[#This Row],[Product (select)]], "N declared", FertiliserProducts[#Data], FertiliserProducts[Product], FertiliserProducts[#Headers])*0.01, 0)</f>
        <v>0.17899999999999999</v>
      </c>
      <c r="X14"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99" t="str">
        <f>IFERROR(_xlfn.XLOOKUP(Table_Input_InorganicFertiliser_Brands[[#This Row],[Product (select)]],FertiliserProducts[Product],FertiliserProducts[Urea source]), "")</f>
        <v/>
      </c>
      <c r="Z14" s="199" t="str">
        <f>IFERROR(_xlfn.XLOOKUP(Table_Input_InorganicFertiliser_Brands[[#This Row],[Product (select)]],FertiliserProducts[Product],FertiliserProducts[Ammonia source]), "")</f>
        <v/>
      </c>
    </row>
    <row r="15" spans="1:27" ht="20.100000000000001" customHeight="1" x14ac:dyDescent="0.2">
      <c r="A15" s="5" t="str">
        <f>HYPERLINK("#'Input - Electricity'!A1", "Electricity")</f>
        <v>Electricity</v>
      </c>
      <c r="D15" s="196"/>
      <c r="E15" s="197"/>
      <c r="F15" s="15" t="str">
        <f>IFERROR(_xlfn.XLOOKUP(Table_Input_InorganicFertiliser_Brands[[#This Row],[Product (select)]],FertiliserProducts[Product],FertiliserProducts[Unit]), "kg")</f>
        <v>kg</v>
      </c>
      <c r="G15" s="197">
        <f t="shared" ref="G15" si="3">X_Cell_Fertiliser_AreaUnderCropping</f>
        <v>100</v>
      </c>
      <c r="H15" s="198">
        <f>IFERROR(_xlfn.XLOOKUP(Table_Input_InorganicFertiliser_Brands[[#This Row],[Product (select)]],FertiliserProducts[Product],FertiliserProducts[Density]), 1)</f>
        <v>1</v>
      </c>
      <c r="I15" s="199">
        <f>(Table_Input_InorganicFertiliser_Brands[[#This Row],[Amount applied per hectare]]*Table_Input_InorganicFertiliser_Brands[[#This Row],[Density]])*Table_Input_InorganicFertiliser_Brands[[#This Row],[Application area (ha)]]</f>
        <v>0</v>
      </c>
      <c r="J15" s="199"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99"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99"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99"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99"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99"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99"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99"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99"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99"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99"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99"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200" cm="1">
        <f t="array" ref="W15">IFERROR(Fertiliser_InputFunctions.Fertiliser_FertiliserProductLookup(Table_Input_InorganicFertiliser_Brands[[#This Row],[Product (select)]], "N declared", FertiliserProducts[#Data], FertiliserProducts[Product], FertiliserProducts[#Headers])*0.01, 0)</f>
        <v>0</v>
      </c>
      <c r="X15"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99" t="str">
        <f>IFERROR(_xlfn.XLOOKUP(Table_Input_InorganicFertiliser_Brands[[#This Row],[Product (select)]],FertiliserProducts[Product],FertiliserProducts[Urea source]), "")</f>
        <v/>
      </c>
      <c r="Z15" s="199" t="str">
        <f>IFERROR(_xlfn.XLOOKUP(Table_Input_InorganicFertiliser_Brands[[#This Row],[Product (select)]],FertiliserProducts[Product],FertiliserProducts[Ammonia source]), "")</f>
        <v/>
      </c>
    </row>
    <row r="16" spans="1:27" ht="20.100000000000001" customHeight="1" x14ac:dyDescent="0.2">
      <c r="A16" s="5" t="str">
        <f>HYPERLINK("#'Input - Common farm inputs'!A1", "Common farm inputs")</f>
        <v>Common farm inputs</v>
      </c>
      <c r="D16" s="196"/>
      <c r="E16" s="197"/>
      <c r="F16" s="15" t="str">
        <f>IFERROR(_xlfn.XLOOKUP(Table_Input_InorganicFertiliser_Brands[[#This Row],[Product (select)]],FertiliserProducts[Product],FertiliserProducts[Unit]), "kg")</f>
        <v>kg</v>
      </c>
      <c r="G16" s="197">
        <f t="shared" ref="G16" si="4">X_Cell_Fertiliser_AreaUnderCropping</f>
        <v>100</v>
      </c>
      <c r="H16" s="198">
        <f>IFERROR(_xlfn.XLOOKUP(Table_Input_InorganicFertiliser_Brands[[#This Row],[Product (select)]],FertiliserProducts[Product],FertiliserProducts[Density]), 1)</f>
        <v>1</v>
      </c>
      <c r="I16" s="199">
        <f>(Table_Input_InorganicFertiliser_Brands[[#This Row],[Amount applied per hectare]]*Table_Input_InorganicFertiliser_Brands[[#This Row],[Density]])*Table_Input_InorganicFertiliser_Brands[[#This Row],[Application area (ha)]]</f>
        <v>0</v>
      </c>
      <c r="J16" s="199"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99"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99"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99"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99"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99"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99"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99"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99"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99"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99"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99"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200" cm="1">
        <f t="array" ref="W16">IFERROR(Fertiliser_InputFunctions.Fertiliser_FertiliserProductLookup(Table_Input_InorganicFertiliser_Brands[[#This Row],[Product (select)]], "N declared", FertiliserProducts[#Data], FertiliserProducts[Product], FertiliserProducts[#Headers])*0.01, 0)</f>
        <v>0</v>
      </c>
      <c r="X16"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99" t="str">
        <f>IFERROR(_xlfn.XLOOKUP(Table_Input_InorganicFertiliser_Brands[[#This Row],[Product (select)]],FertiliserProducts[Product],FertiliserProducts[Urea source]), "")</f>
        <v/>
      </c>
      <c r="Z16" s="199" t="str">
        <f>IFERROR(_xlfn.XLOOKUP(Table_Input_InorganicFertiliser_Brands[[#This Row],[Product (select)]],FertiliserProducts[Product],FertiliserProducts[Ammonia source]), "")</f>
        <v/>
      </c>
    </row>
    <row r="17" spans="1:26" ht="20.100000000000001" customHeight="1" x14ac:dyDescent="0.2">
      <c r="A17" s="5" t="str">
        <f>HYPERLINK("#'Input - Livestock farm Inputs'!A1", "Livestock farm Inputs")</f>
        <v>Livestock farm Inputs</v>
      </c>
      <c r="D17" s="196"/>
      <c r="E17" s="197"/>
      <c r="F17" s="15" t="str">
        <f>IFERROR(_xlfn.XLOOKUP(Table_Input_InorganicFertiliser_Brands[[#This Row],[Product (select)]],FertiliserProducts[Product],FertiliserProducts[Unit]), "kg")</f>
        <v>kg</v>
      </c>
      <c r="G17" s="197">
        <f t="shared" ref="G17" si="5">X_Cell_Fertiliser_AreaUnderCropping</f>
        <v>100</v>
      </c>
      <c r="H17" s="198">
        <f>IFERROR(_xlfn.XLOOKUP(Table_Input_InorganicFertiliser_Brands[[#This Row],[Product (select)]],FertiliserProducts[Product],FertiliserProducts[Density]), 1)</f>
        <v>1</v>
      </c>
      <c r="I17" s="199">
        <f>(Table_Input_InorganicFertiliser_Brands[[#This Row],[Amount applied per hectare]]*Table_Input_InorganicFertiliser_Brands[[#This Row],[Density]])*Table_Input_InorganicFertiliser_Brands[[#This Row],[Application area (ha)]]</f>
        <v>0</v>
      </c>
      <c r="J17" s="199"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99"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99"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99"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99"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99"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99"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99"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99"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99"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99"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99"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200" cm="1">
        <f t="array" ref="W17">IFERROR(Fertiliser_InputFunctions.Fertiliser_FertiliserProductLookup(Table_Input_InorganicFertiliser_Brands[[#This Row],[Product (select)]], "N declared", FertiliserProducts[#Data], FertiliserProducts[Product], FertiliserProducts[#Headers])*0.01, 0)</f>
        <v>0</v>
      </c>
      <c r="X17"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99" t="str">
        <f>IFERROR(_xlfn.XLOOKUP(Table_Input_InorganicFertiliser_Brands[[#This Row],[Product (select)]],FertiliserProducts[Product],FertiliserProducts[Urea source]), "")</f>
        <v/>
      </c>
      <c r="Z17" s="199" t="str">
        <f>IFERROR(_xlfn.XLOOKUP(Table_Input_InorganicFertiliser_Brands[[#This Row],[Product (select)]],FertiliserProducts[Product],FertiliserProducts[Ammonia source]), "")</f>
        <v/>
      </c>
    </row>
    <row r="18" spans="1:26" ht="20.100000000000001" customHeight="1" x14ac:dyDescent="0.2">
      <c r="A18" s="5" t="str">
        <f>HYPERLINK("#'Input - Freight'!A1", "Freight")</f>
        <v>Freight</v>
      </c>
      <c r="D18" s="196"/>
      <c r="E18" s="197"/>
      <c r="F18" s="15" t="str">
        <f>IFERROR(_xlfn.XLOOKUP(Table_Input_InorganicFertiliser_Brands[[#This Row],[Product (select)]],FertiliserProducts[Product],FertiliserProducts[Unit]), "kg")</f>
        <v>kg</v>
      </c>
      <c r="G18" s="197">
        <f t="shared" ref="G18" si="6">X_Cell_Fertiliser_AreaUnderCropping</f>
        <v>100</v>
      </c>
      <c r="H18" s="198">
        <f>IFERROR(_xlfn.XLOOKUP(Table_Input_InorganicFertiliser_Brands[[#This Row],[Product (select)]],FertiliserProducts[Product],FertiliserProducts[Density]), 1)</f>
        <v>1</v>
      </c>
      <c r="I18" s="199">
        <f>(Table_Input_InorganicFertiliser_Brands[[#This Row],[Amount applied per hectare]]*Table_Input_InorganicFertiliser_Brands[[#This Row],[Density]])*Table_Input_InorganicFertiliser_Brands[[#This Row],[Application area (ha)]]</f>
        <v>0</v>
      </c>
      <c r="J18" s="199"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99"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99"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99"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99"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99"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99"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99"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99"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99"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99"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99"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200" cm="1">
        <f t="array" ref="W18">IFERROR(Fertiliser_InputFunctions.Fertiliser_FertiliserProductLookup(Table_Input_InorganicFertiliser_Brands[[#This Row],[Product (select)]], "N declared", FertiliserProducts[#Data], FertiliserProducts[Product], FertiliserProducts[#Headers])*0.01, 0)</f>
        <v>0</v>
      </c>
      <c r="X18"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99" t="str">
        <f>IFERROR(_xlfn.XLOOKUP(Table_Input_InorganicFertiliser_Brands[[#This Row],[Product (select)]],FertiliserProducts[Product],FertiliserProducts[Urea source]), "")</f>
        <v/>
      </c>
      <c r="Z18" s="199" t="str">
        <f>IFERROR(_xlfn.XLOOKUP(Table_Input_InorganicFertiliser_Brands[[#This Row],[Product (select)]],FertiliserProducts[Product],FertiliserProducts[Ammonia source]), "")</f>
        <v/>
      </c>
    </row>
    <row r="19" spans="1:26" ht="20.100000000000001" customHeight="1" x14ac:dyDescent="0.2">
      <c r="A19" s="5" t="str">
        <f>HYPERLINK("#'Input - Solid waste'!A1", "Solid waste")</f>
        <v>Solid waste</v>
      </c>
      <c r="D19" s="196"/>
      <c r="E19" s="197"/>
      <c r="F19" s="15" t="str">
        <f>IFERROR(_xlfn.XLOOKUP(Table_Input_InorganicFertiliser_Brands[[#This Row],[Product (select)]],FertiliserProducts[Product],FertiliserProducts[Unit]), "kg")</f>
        <v>kg</v>
      </c>
      <c r="G19" s="197">
        <f t="shared" ref="G19" si="7">X_Cell_Fertiliser_AreaUnderCropping</f>
        <v>100</v>
      </c>
      <c r="H19" s="198">
        <f>IFERROR(_xlfn.XLOOKUP(Table_Input_InorganicFertiliser_Brands[[#This Row],[Product (select)]],FertiliserProducts[Product],FertiliserProducts[Density]), 1)</f>
        <v>1</v>
      </c>
      <c r="I19" s="199">
        <f>(Table_Input_InorganicFertiliser_Brands[[#This Row],[Amount applied per hectare]]*Table_Input_InorganicFertiliser_Brands[[#This Row],[Density]])*Table_Input_InorganicFertiliser_Brands[[#This Row],[Application area (ha)]]</f>
        <v>0</v>
      </c>
      <c r="J19" s="199"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99"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99"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99"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99"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99"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99"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99"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99"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99"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99"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99"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200" cm="1">
        <f t="array" ref="W19">IFERROR(Fertiliser_InputFunctions.Fertiliser_FertiliserProductLookup(Table_Input_InorganicFertiliser_Brands[[#This Row],[Product (select)]], "N declared", FertiliserProducts[#Data], FertiliserProducts[Product], FertiliserProducts[#Headers])*0.01, 0)</f>
        <v>0</v>
      </c>
      <c r="X19"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99" t="str">
        <f>IFERROR(_xlfn.XLOOKUP(Table_Input_InorganicFertiliser_Brands[[#This Row],[Product (select)]],FertiliserProducts[Product],FertiliserProducts[Urea source]), "")</f>
        <v/>
      </c>
      <c r="Z19" s="199" t="str">
        <f>IFERROR(_xlfn.XLOOKUP(Table_Input_InorganicFertiliser_Brands[[#This Row],[Product (select)]],FertiliserProducts[Product],FertiliserProducts[Ammonia source]), "")</f>
        <v/>
      </c>
    </row>
    <row r="20" spans="1:26" ht="20.100000000000001" customHeight="1" x14ac:dyDescent="0.2">
      <c r="A20" s="5" t="str">
        <f>HYPERLINK("#'Input - Manure sent off-site'!A1", "Manure sent off-site")</f>
        <v>Manure sent off-site</v>
      </c>
      <c r="D20" s="196"/>
      <c r="E20" s="197"/>
      <c r="F20" s="15" t="str">
        <f>IFERROR(_xlfn.XLOOKUP(Table_Input_InorganicFertiliser_Brands[[#This Row],[Product (select)]],FertiliserProducts[Product],FertiliserProducts[Unit]), "kg")</f>
        <v>kg</v>
      </c>
      <c r="G20" s="197">
        <f t="shared" ref="G20" si="8">X_Cell_Fertiliser_AreaUnderCropping</f>
        <v>100</v>
      </c>
      <c r="H20" s="198">
        <f>IFERROR(_xlfn.XLOOKUP(Table_Input_InorganicFertiliser_Brands[[#This Row],[Product (select)]],FertiliserProducts[Product],FertiliserProducts[Density]), 1)</f>
        <v>1</v>
      </c>
      <c r="I20" s="199">
        <f>(Table_Input_InorganicFertiliser_Brands[[#This Row],[Amount applied per hectare]]*Table_Input_InorganicFertiliser_Brands[[#This Row],[Density]])*Table_Input_InorganicFertiliser_Brands[[#This Row],[Application area (ha)]]</f>
        <v>0</v>
      </c>
      <c r="J20" s="199"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99"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99"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99"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99"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99"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99"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99"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99"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99"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99"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99"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200" cm="1">
        <f t="array" ref="W20">IFERROR(Fertiliser_InputFunctions.Fertiliser_FertiliserProductLookup(Table_Input_InorganicFertiliser_Brands[[#This Row],[Product (select)]], "N declared", FertiliserProducts[#Data], FertiliserProducts[Product], FertiliserProducts[#Headers])*0.01, 0)</f>
        <v>0</v>
      </c>
      <c r="X20"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99" t="str">
        <f>IFERROR(_xlfn.XLOOKUP(Table_Input_InorganicFertiliser_Brands[[#This Row],[Product (select)]],FertiliserProducts[Product],FertiliserProducts[Urea source]), "")</f>
        <v/>
      </c>
      <c r="Z20" s="199" t="str">
        <f>IFERROR(_xlfn.XLOOKUP(Table_Input_InorganicFertiliser_Brands[[#This Row],[Product (select)]],FertiliserProducts[Product],FertiliserProducts[Ammonia source]), "")</f>
        <v/>
      </c>
    </row>
    <row r="21" spans="1:26" ht="20.100000000000001" customHeight="1" x14ac:dyDescent="0.2">
      <c r="A21" s="5" t="str">
        <f>HYPERLINK("#'Input - Data quality'!A1", "Data quality")</f>
        <v>Data quality</v>
      </c>
      <c r="D21" s="196"/>
      <c r="E21" s="197"/>
      <c r="F21" s="15" t="str">
        <f>IFERROR(_xlfn.XLOOKUP(Table_Input_InorganicFertiliser_Brands[[#This Row],[Product (select)]],FertiliserProducts[Product],FertiliserProducts[Unit]), "kg")</f>
        <v>kg</v>
      </c>
      <c r="G21" s="197">
        <f t="shared" ref="G21" si="9">X_Cell_Fertiliser_AreaUnderCropping</f>
        <v>100</v>
      </c>
      <c r="H21" s="198">
        <f>IFERROR(_xlfn.XLOOKUP(Table_Input_InorganicFertiliser_Brands[[#This Row],[Product (select)]],FertiliserProducts[Product],FertiliserProducts[Density]), 1)</f>
        <v>1</v>
      </c>
      <c r="I21" s="199">
        <f>(Table_Input_InorganicFertiliser_Brands[[#This Row],[Amount applied per hectare]]*Table_Input_InorganicFertiliser_Brands[[#This Row],[Density]])*Table_Input_InorganicFertiliser_Brands[[#This Row],[Application area (ha)]]</f>
        <v>0</v>
      </c>
      <c r="J21" s="199"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99"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99"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99"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99"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99"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99"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99"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99"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99"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99"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99"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9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200" cm="1">
        <f t="array" ref="W21">IFERROR(Fertiliser_InputFunctions.Fertiliser_FertiliserProductLookup(Table_Input_InorganicFertiliser_Brands[[#This Row],[Product (select)]], "N declared", FertiliserProducts[#Data], FertiliserProducts[Product], FertiliserProducts[#Headers])*0.01, 0)</f>
        <v>0</v>
      </c>
      <c r="X21" s="19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99" t="str">
        <f>IFERROR(_xlfn.XLOOKUP(Table_Input_InorganicFertiliser_Brands[[#This Row],[Product (select)]],FertiliserProducts[Product],FertiliserProducts[Urea source]), "")</f>
        <v/>
      </c>
      <c r="Z21" s="199" t="str">
        <f>IFERROR(_xlfn.XLOOKUP(Table_Input_InorganicFertiliser_Brands[[#This Row],[Product (select)]],FertiliserProducts[Product],FertiliserProducts[Ammonia source]), "")</f>
        <v/>
      </c>
    </row>
    <row r="22" spans="1:26" ht="20.100000000000001" customHeight="1" x14ac:dyDescent="0.2">
      <c r="A22" s="5" t="str">
        <f>HYPERLINK("#'Input - Fert Prod System'!A1", "Fert Prod System")</f>
        <v>Fert Prod System</v>
      </c>
      <c r="D22" s="201"/>
      <c r="E22" s="202"/>
      <c r="F22" s="203"/>
      <c r="G22" s="203"/>
      <c r="H22" s="203"/>
      <c r="I22" s="203"/>
      <c r="J22" s="204"/>
      <c r="K22" s="204"/>
      <c r="L22" s="205"/>
      <c r="M22" s="205"/>
      <c r="N22" s="140"/>
      <c r="O22" s="140"/>
      <c r="P22" s="140"/>
      <c r="Q22" s="140"/>
      <c r="R22" s="140"/>
      <c r="S22" s="140"/>
      <c r="T22" s="140"/>
      <c r="U22" s="140"/>
      <c r="V22" s="140"/>
      <c r="W22" s="140"/>
      <c r="X22" s="140"/>
    </row>
    <row r="23" spans="1:26" ht="20.100000000000001" customHeight="1" x14ac:dyDescent="0.2">
      <c r="A23" s="101" t="str">
        <f>HYPERLINK("#'Input - Fertiliser'!A1", "Fertiliser")</f>
        <v>Fertiliser</v>
      </c>
      <c r="D23" s="206" t="s">
        <v>708</v>
      </c>
      <c r="E23" s="207"/>
      <c r="F23" s="207"/>
      <c r="G23" s="207"/>
      <c r="H23" s="207"/>
      <c r="I23" s="207"/>
      <c r="J23" s="207"/>
      <c r="K23" s="207"/>
      <c r="L23" s="207"/>
      <c r="M23" s="207"/>
      <c r="N23" s="140"/>
      <c r="O23" s="140"/>
      <c r="P23" s="140"/>
      <c r="Q23" s="140"/>
      <c r="R23" s="140"/>
      <c r="S23" s="140"/>
      <c r="T23" s="140"/>
      <c r="V23" s="140"/>
      <c r="W23" s="140"/>
      <c r="X23" s="140"/>
    </row>
    <row r="24" spans="1:26" ht="20.100000000000001" customHeight="1" x14ac:dyDescent="0.2">
      <c r="D24" s="194" t="s">
        <v>709</v>
      </c>
      <c r="E24" s="194" t="s">
        <v>710</v>
      </c>
      <c r="F24" s="194" t="s">
        <v>685</v>
      </c>
      <c r="G24" s="194" t="s">
        <v>687</v>
      </c>
      <c r="H24" s="194" t="s">
        <v>711</v>
      </c>
      <c r="I24" s="194" t="s">
        <v>689</v>
      </c>
      <c r="J24" s="194" t="s">
        <v>690</v>
      </c>
      <c r="K24" s="194" t="s">
        <v>691</v>
      </c>
      <c r="L24" s="194" t="s">
        <v>692</v>
      </c>
      <c r="M24" s="194" t="s">
        <v>693</v>
      </c>
      <c r="N24" s="194" t="s">
        <v>694</v>
      </c>
      <c r="O24" s="194" t="s">
        <v>695</v>
      </c>
      <c r="P24" s="194" t="s">
        <v>702</v>
      </c>
      <c r="Q24" s="208" t="s">
        <v>712</v>
      </c>
      <c r="R24" s="208" t="s">
        <v>713</v>
      </c>
      <c r="S24" s="140"/>
      <c r="T24" s="140"/>
      <c r="V24" s="140"/>
      <c r="W24" s="140"/>
      <c r="X24" s="140"/>
    </row>
    <row r="25" spans="1:26" ht="20.100000000000001" customHeight="1" x14ac:dyDescent="0.2">
      <c r="D25" s="33" t="s">
        <v>714</v>
      </c>
      <c r="E25" s="194">
        <v>100</v>
      </c>
      <c r="F25" s="197">
        <f t="shared" ref="F25:F34" si="10">X_Cell_Fertiliser_AreaUnderCropping</f>
        <v>100</v>
      </c>
      <c r="G25" s="199">
        <f>Table_Input_InorganicFertiliser_Custom[[#This Row],[Amount applied (kg / ha)]]*Table_Input_InorganicFertiliser_Custom[[#This Row],[Application area (ha)]]</f>
        <v>10000</v>
      </c>
      <c r="H25" s="209" t="s">
        <v>715</v>
      </c>
      <c r="I25" s="210">
        <v>0.5</v>
      </c>
      <c r="J25" s="209" t="s">
        <v>716</v>
      </c>
      <c r="K25" s="210">
        <v>0.2</v>
      </c>
      <c r="L25" s="209" t="s">
        <v>717</v>
      </c>
      <c r="M25" s="210">
        <v>0.2</v>
      </c>
      <c r="N25" s="211" t="s">
        <v>718</v>
      </c>
      <c r="O25" s="18">
        <v>0.1</v>
      </c>
      <c r="P25"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5"/>
      <c r="V25" s="140"/>
    </row>
    <row r="26" spans="1:26" ht="20.100000000000001" customHeight="1" x14ac:dyDescent="0.2">
      <c r="A26" s="6" t="s">
        <v>2</v>
      </c>
      <c r="D26" s="33" t="s">
        <v>719</v>
      </c>
      <c r="E26" s="194">
        <v>100</v>
      </c>
      <c r="F26" s="197">
        <f t="shared" si="10"/>
        <v>100</v>
      </c>
      <c r="G26" s="199">
        <f>Table_Input_InorganicFertiliser_Custom[[#This Row],[Amount applied (kg / ha)]]*Table_Input_InorganicFertiliser_Custom[[#This Row],[Application area (ha)]]</f>
        <v>10000</v>
      </c>
      <c r="H26" s="209" t="s">
        <v>705</v>
      </c>
      <c r="I26" s="212">
        <v>1</v>
      </c>
      <c r="J26" s="209"/>
      <c r="K26" s="212"/>
      <c r="L26" s="209"/>
      <c r="M26" s="212"/>
      <c r="N26" s="211"/>
      <c r="O26" s="18"/>
      <c r="P26"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40"/>
      <c r="W26" s="75"/>
    </row>
    <row r="27" spans="1:26" ht="20.100000000000001" customHeight="1" x14ac:dyDescent="0.2">
      <c r="A27" s="5" t="str">
        <f>HYPERLINK("#'3.1.1.1-2 Enteric Methane'!A1", "3.1.1.1-2 Enteric Methane")</f>
        <v>3.1.1.1-2 Enteric Methane</v>
      </c>
      <c r="D27" s="33" t="s">
        <v>720</v>
      </c>
      <c r="E27" s="194">
        <v>100</v>
      </c>
      <c r="F27" s="197">
        <f t="shared" si="10"/>
        <v>100</v>
      </c>
      <c r="G27" s="199">
        <f>Table_Input_InorganicFertiliser_Custom[[#This Row],[Amount applied (kg / ha)]]*Table_Input_InorganicFertiliser_Custom[[#This Row],[Application area (ha)]]</f>
        <v>10000</v>
      </c>
      <c r="H27" s="209" t="s">
        <v>721</v>
      </c>
      <c r="I27" s="212">
        <v>0.5</v>
      </c>
      <c r="J27" s="209"/>
      <c r="K27" s="212"/>
      <c r="L27" s="209"/>
      <c r="M27" s="212"/>
      <c r="N27" s="211"/>
      <c r="O27" s="18"/>
      <c r="P27"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40"/>
    </row>
    <row r="28" spans="1:26" ht="20.100000000000001" customHeight="1" x14ac:dyDescent="0.2">
      <c r="A28" s="5" t="str">
        <f>HYPERLINK("#'4.1.1.1-2 Methane'!A1", "4.1.1.1-2 Manure Methane")</f>
        <v>4.1.1.1-2 Manure Methane</v>
      </c>
      <c r="D28" s="33"/>
      <c r="E28" s="194"/>
      <c r="F28" s="213">
        <f t="shared" si="10"/>
        <v>100</v>
      </c>
      <c r="G28" s="199">
        <f>Table_Input_InorganicFertiliser_Custom[[#This Row],[Amount applied (kg / ha)]]*Table_Input_InorganicFertiliser_Custom[[#This Row],[Application area (ha)]]</f>
        <v>0</v>
      </c>
      <c r="H28" s="209"/>
      <c r="I28" s="212"/>
      <c r="J28" s="209"/>
      <c r="K28" s="212"/>
      <c r="L28" s="209"/>
      <c r="M28" s="212"/>
      <c r="N28" s="211"/>
      <c r="O28" s="18"/>
      <c r="P28"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5"/>
    </row>
    <row r="29" spans="1:26" ht="20.100000000000001" customHeight="1" x14ac:dyDescent="0.2">
      <c r="A29" s="5" t="str">
        <f>HYPERLINK("#'4.1.1.3-4 Direct N20'!A1", "4.1.1.3-4 Manure Direct N2O")</f>
        <v>4.1.1.3-4 Manure Direct N2O</v>
      </c>
      <c r="D29" s="33"/>
      <c r="E29" s="194"/>
      <c r="F29" s="213">
        <f t="shared" si="10"/>
        <v>100</v>
      </c>
      <c r="G29" s="199">
        <f>Table_Input_InorganicFertiliser_Custom[[#This Row],[Amount applied (kg / ha)]]*Table_Input_InorganicFertiliser_Custom[[#This Row],[Application area (ha)]]</f>
        <v>0</v>
      </c>
      <c r="H29" s="209"/>
      <c r="I29" s="212"/>
      <c r="J29" s="209"/>
      <c r="K29" s="212"/>
      <c r="L29" s="209"/>
      <c r="M29" s="212"/>
      <c r="N29" s="211"/>
      <c r="O29" s="18"/>
      <c r="P29"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HYPERLINK("#'4.1.1.5-6 Atmos Deposition'!A1", "4.1.1.5-6 Manure Atmos Dep")</f>
        <v>4.1.1.5-6 Manure Atmos Dep</v>
      </c>
      <c r="D30" s="33"/>
      <c r="E30" s="194"/>
      <c r="F30" s="213">
        <f t="shared" si="10"/>
        <v>100</v>
      </c>
      <c r="G30" s="199">
        <f>Table_Input_InorganicFertiliser_Custom[[#This Row],[Amount applied (kg / ha)]]*Table_Input_InorganicFertiliser_Custom[[#This Row],[Application area (ha)]]</f>
        <v>0</v>
      </c>
      <c r="H30" s="209"/>
      <c r="I30" s="212"/>
      <c r="J30" s="209"/>
      <c r="K30" s="212"/>
      <c r="L30" s="209"/>
      <c r="M30" s="212"/>
      <c r="N30" s="211"/>
      <c r="O30" s="18"/>
      <c r="P30"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HYPERLINK("#'4.1.1.9 Manure applied to soils'!A1", "4.1.1.9 Manure applied to soils")</f>
        <v>4.1.1.9 Manure applied to soils</v>
      </c>
      <c r="D31" s="33"/>
      <c r="E31" s="194"/>
      <c r="F31" s="213">
        <f t="shared" si="10"/>
        <v>100</v>
      </c>
      <c r="G31" s="199">
        <f>Table_Input_InorganicFertiliser_Custom[[#This Row],[Amount applied (kg / ha)]]*Table_Input_InorganicFertiliser_Custom[[#This Row],[Application area (ha)]]</f>
        <v>0</v>
      </c>
      <c r="H31" s="209"/>
      <c r="I31" s="212"/>
      <c r="J31" s="209"/>
      <c r="K31" s="212"/>
      <c r="L31" s="209"/>
      <c r="M31" s="212"/>
      <c r="N31" s="211"/>
      <c r="O31" s="18"/>
      <c r="P31"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HYPERLINK("#'8.1.1.1-2 Transport fuel'!A1", "8.1.1.1-2 Transport fuel")</f>
        <v>8.1.1.1-2 Transport fuel</v>
      </c>
      <c r="D32" s="33"/>
      <c r="E32" s="194"/>
      <c r="F32" s="213">
        <f t="shared" si="10"/>
        <v>100</v>
      </c>
      <c r="G32" s="199">
        <f>Table_Input_InorganicFertiliser_Custom[[#This Row],[Amount applied (kg / ha)]]*Table_Input_InorganicFertiliser_Custom[[#This Row],[Application area (ha)]]</f>
        <v>0</v>
      </c>
      <c r="H32" s="209"/>
      <c r="I32" s="212"/>
      <c r="J32" s="209"/>
      <c r="K32" s="212"/>
      <c r="L32" s="209"/>
      <c r="M32" s="212"/>
      <c r="N32" s="211"/>
      <c r="O32" s="18"/>
      <c r="P32"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HYPERLINK("#'8.2.1.1-2 Stationary fuel'!A1", "8.2.1.1-2 Stationary fuel")</f>
        <v>8.2.1.1-2 Stationary fuel</v>
      </c>
      <c r="D33" s="33"/>
      <c r="E33" s="194"/>
      <c r="F33" s="213">
        <f t="shared" si="10"/>
        <v>100</v>
      </c>
      <c r="G33" s="199">
        <f>Table_Input_InorganicFertiliser_Custom[[#This Row],[Amount applied (kg / ha)]]*Table_Input_InorganicFertiliser_Custom[[#This Row],[Application area (ha)]]</f>
        <v>0</v>
      </c>
      <c r="H33" s="209"/>
      <c r="I33" s="212"/>
      <c r="J33" s="209"/>
      <c r="K33" s="212"/>
      <c r="L33" s="209"/>
      <c r="M33" s="212"/>
      <c r="N33" s="211"/>
      <c r="O33" s="18"/>
      <c r="P33"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HYPERLINK("#'10.1.1-2 Solid waste treatment'!A1", "10.1.1.1-2 Solid waste")</f>
        <v>10.1.1.1-2 Solid waste</v>
      </c>
      <c r="D34" s="33"/>
      <c r="E34" s="194"/>
      <c r="F34" s="213">
        <f t="shared" si="10"/>
        <v>100</v>
      </c>
      <c r="G34" s="199">
        <f>Table_Input_InorganicFertiliser_Custom[[#This Row],[Amount applied (kg / ha)]]*Table_Input_InorganicFertiliser_Custom[[#This Row],[Application area (ha)]]</f>
        <v>0</v>
      </c>
      <c r="H34" s="209"/>
      <c r="I34" s="212"/>
      <c r="J34" s="209"/>
      <c r="K34" s="212"/>
      <c r="L34" s="209"/>
      <c r="M34" s="212"/>
      <c r="N34" s="211"/>
      <c r="O34" s="18"/>
      <c r="P34" s="19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HYPERLINK("#'14.1.1-2 Purchased electricity'!A1", "14.1.1-2 Purchased electricity")</f>
        <v>14.1.1-2 Purchased electricity</v>
      </c>
    </row>
    <row r="36" spans="1:27" ht="20.100000000000001" customHeight="1" x14ac:dyDescent="0.2">
      <c r="A36" s="5" t="str">
        <f>HYPERLINK("#'15 Scope 3'!A1", "15 Scope 3")</f>
        <v>15 Scope 3</v>
      </c>
      <c r="D36" s="2" t="s">
        <v>722</v>
      </c>
      <c r="E36" s="24"/>
      <c r="F36" s="24"/>
      <c r="G36" s="24"/>
      <c r="H36" s="24"/>
      <c r="I36" s="24"/>
      <c r="J36" s="24"/>
      <c r="K36" s="8"/>
      <c r="L36" s="8"/>
      <c r="M36" s="8"/>
    </row>
    <row r="37" spans="1:27" ht="20.100000000000001" customHeight="1" x14ac:dyDescent="0.2">
      <c r="A37" s="5" t="str">
        <f>HYPERLINK("#'Calcs - Manure sent off-site'!A1", "Calcs - Manure sent off-site")</f>
        <v>Calcs - Manure sent off-site</v>
      </c>
      <c r="D37" s="129" t="s">
        <v>723</v>
      </c>
      <c r="E37" s="43"/>
      <c r="F37" s="44"/>
      <c r="G37" s="129"/>
      <c r="H37" s="44"/>
      <c r="I37" s="24"/>
      <c r="J37" s="24"/>
      <c r="K37" s="8"/>
      <c r="L37" s="8"/>
      <c r="M37" s="24"/>
    </row>
    <row r="38" spans="1:27" ht="20.100000000000001" customHeight="1" x14ac:dyDescent="0.2">
      <c r="A38" s="5" t="str">
        <f>HYPERLINK("#'5.1.1.1-2 Inorganic fert N2O'!A1", "5.1.1.1-2 Inorganic fert N2O")</f>
        <v>5.1.1.1-2 Inorganic fert N2O</v>
      </c>
      <c r="C38" s="140"/>
      <c r="D38" s="214" t="s">
        <v>724</v>
      </c>
      <c r="E38" s="215"/>
      <c r="F38" s="216"/>
      <c r="G38" s="214"/>
      <c r="H38" s="216"/>
      <c r="I38" s="8"/>
      <c r="J38" s="8"/>
      <c r="K38" s="8"/>
      <c r="L38" s="8"/>
      <c r="M38" s="8"/>
    </row>
    <row r="39" spans="1:27" ht="20.100000000000001" customHeight="1" x14ac:dyDescent="0.2">
      <c r="A39" s="5" t="str">
        <f>HYPERLINK("#'5.1.1.3-4 Inorganic fert CO2'!A1", "5.1.1.3-4 Inorganic fert CO2")</f>
        <v>5.1.1.3-4 Inorganic fert CO2</v>
      </c>
      <c r="C39" s="140"/>
      <c r="D39" s="45" t="s">
        <v>680</v>
      </c>
      <c r="E39" s="46"/>
      <c r="F39" s="46"/>
      <c r="G39" s="46"/>
      <c r="H39" s="47"/>
      <c r="I39" s="8"/>
      <c r="J39" s="8"/>
      <c r="K39" s="8"/>
      <c r="L39" s="8"/>
      <c r="M39" s="24"/>
    </row>
    <row r="40" spans="1:27" s="138" customFormat="1" ht="20.100000000000001" customHeight="1" x14ac:dyDescent="0.2">
      <c r="A40" s="5" t="str">
        <f>HYPERLINK("#'5.2.1.1-2 Organic Fert N2O'!A1", "5.2.1.1-2 Organic Fert N2O")</f>
        <v>5.2.1.1-2 Organic Fert N2O</v>
      </c>
      <c r="C40" s="1"/>
      <c r="D40" s="87" t="str">
        <f>IF(MAX(Table_Input_Lime[Total]) &gt; 1, "There can not be more than 100% ingredients in a product. Check the table below.", "")</f>
        <v/>
      </c>
      <c r="E40" s="1"/>
      <c r="F40" s="1"/>
      <c r="G40" s="1"/>
      <c r="H40" s="1"/>
      <c r="I40" s="1"/>
      <c r="J40" s="1"/>
      <c r="K40" s="1"/>
      <c r="L40" s="8"/>
      <c r="M40" s="24"/>
      <c r="N40" s="1"/>
      <c r="O40" s="1"/>
      <c r="P40" s="1"/>
      <c r="Q40" s="1"/>
      <c r="R40" s="1"/>
      <c r="S40" s="1"/>
      <c r="T40" s="1"/>
      <c r="U40" s="1"/>
      <c r="V40" s="1"/>
      <c r="W40" s="1"/>
      <c r="X40" s="1"/>
      <c r="Y40" s="1"/>
      <c r="Z40" s="1"/>
      <c r="AA40" s="1"/>
    </row>
    <row r="41" spans="1:27" s="138" customFormat="1" ht="20.100000000000001" customHeight="1" x14ac:dyDescent="0.2">
      <c r="A41" s="5" t="str">
        <f>HYPERLINK("#'5.3.1.1-2 Lime CO2'!A1", "5.3.1.1-2 Lime CO2")</f>
        <v>5.3.1.1-2 Lime CO2</v>
      </c>
      <c r="C41" s="1"/>
      <c r="D41" s="217" t="s">
        <v>132</v>
      </c>
      <c r="E41" s="217" t="s">
        <v>725</v>
      </c>
      <c r="F41" s="217" t="s">
        <v>685</v>
      </c>
      <c r="G41" s="217" t="s">
        <v>726</v>
      </c>
      <c r="H41" s="217" t="s">
        <v>727</v>
      </c>
      <c r="I41" s="217" t="s">
        <v>728</v>
      </c>
      <c r="J41" s="217" t="s">
        <v>729</v>
      </c>
      <c r="K41" s="217" t="s">
        <v>4</v>
      </c>
      <c r="L41" s="1"/>
      <c r="M41" s="1"/>
      <c r="N41" s="1"/>
      <c r="O41" s="1"/>
      <c r="P41" s="1"/>
      <c r="Q41" s="1"/>
      <c r="R41" s="1"/>
      <c r="S41" s="140"/>
      <c r="T41" s="1"/>
      <c r="U41" s="1"/>
      <c r="V41" s="1"/>
      <c r="W41" s="1"/>
      <c r="X41" s="1"/>
      <c r="Y41" s="1"/>
      <c r="Z41" s="1"/>
      <c r="AA41" s="1"/>
    </row>
    <row r="42" spans="1:27" ht="20.100000000000001" customHeight="1" x14ac:dyDescent="0.2">
      <c r="A42" s="5" t="str">
        <f>HYPERLINK("#'5.4.1.1-4 Atmos deposition'!A1", "5.4.1.1-4 Atmos deposition")</f>
        <v>5.4.1.1-4 Atmos deposition</v>
      </c>
      <c r="D42" s="218" t="s">
        <v>730</v>
      </c>
      <c r="E42" s="197">
        <v>1</v>
      </c>
      <c r="F42" s="197">
        <f>X_Cell_Fertiliser_AreaUnderCropping</f>
        <v>100</v>
      </c>
      <c r="G42" s="199">
        <f>IFERROR(Table_Input_Lime[[#This Row],[Amount applied (t/hectare)]]*Table_Input_Lime[[#This Row],[Application area (ha)]], 0)</f>
        <v>100</v>
      </c>
      <c r="H42" s="219">
        <v>0.8</v>
      </c>
      <c r="I42" s="219">
        <v>0.1</v>
      </c>
      <c r="J42" s="219">
        <v>0.1</v>
      </c>
      <c r="K42" s="220">
        <f>SUM(Table_Input_Lime[[#This Row],[Percent Lime CaCO3]:[Percent Gypsum]])</f>
        <v>1</v>
      </c>
      <c r="S42" s="140"/>
    </row>
    <row r="43" spans="1:27" ht="20.100000000000001" customHeight="1" x14ac:dyDescent="0.2">
      <c r="A43" s="5" t="str">
        <f>HYPERLINK("#'5.5.1.1-2 Leaching and runoff'!A1", "5.5.1.1-2 Leaching and runoff")</f>
        <v>5.5.1.1-2 Leaching and runoff</v>
      </c>
      <c r="D43" s="218" t="s">
        <v>731</v>
      </c>
      <c r="E43" s="197">
        <v>1</v>
      </c>
      <c r="F43" s="197">
        <f>X_Cell_Fertiliser_AreaUnderCropping</f>
        <v>100</v>
      </c>
      <c r="G43" s="199">
        <f>IFERROR(Table_Input_Lime[[#This Row],[Amount applied (t/hectare)]]*Table_Input_Lime[[#This Row],[Application area (ha)]], 0)</f>
        <v>100</v>
      </c>
      <c r="H43" s="219">
        <v>1</v>
      </c>
      <c r="I43" s="219"/>
      <c r="J43" s="219"/>
      <c r="K43" s="220">
        <f>SUM(Table_Input_Lime[[#This Row],[Percent Lime CaCO3]:[Percent Gypsum]])</f>
        <v>1</v>
      </c>
    </row>
    <row r="44" spans="1:27" ht="20.100000000000001" customHeight="1" x14ac:dyDescent="0.2">
      <c r="D44" s="218" t="s">
        <v>732</v>
      </c>
      <c r="E44" s="197">
        <v>1</v>
      </c>
      <c r="F44" s="197">
        <f>X_Cell_Fertiliser_AreaUnderCropping</f>
        <v>100</v>
      </c>
      <c r="G44" s="199">
        <f>IFERROR(Table_Input_Lime[[#This Row],[Amount applied (t/hectare)]]*Table_Input_Lime[[#This Row],[Application area (ha)]], 0)</f>
        <v>100</v>
      </c>
      <c r="H44" s="219">
        <v>0</v>
      </c>
      <c r="I44" s="219"/>
      <c r="J44" s="219">
        <v>1</v>
      </c>
      <c r="K44" s="220">
        <f>SUM(Table_Input_Lime[[#This Row],[Percent Lime CaCO3]:[Percent Gypsum]])</f>
        <v>1</v>
      </c>
      <c r="L44" s="24"/>
    </row>
    <row r="45" spans="1:27" ht="20.100000000000001" customHeight="1" x14ac:dyDescent="0.2">
      <c r="L45" s="24"/>
      <c r="M45" s="24"/>
    </row>
    <row r="46" spans="1:27" ht="20.100000000000001" customHeight="1" x14ac:dyDescent="0.2">
      <c r="A46" s="80" t="s">
        <v>1</v>
      </c>
      <c r="D46" s="8"/>
      <c r="E46" s="8"/>
      <c r="F46" s="8"/>
      <c r="G46" s="8"/>
      <c r="H46" s="8"/>
      <c r="I46" s="8"/>
      <c r="J46" s="8"/>
      <c r="L46" s="8"/>
      <c r="M46" s="24"/>
    </row>
    <row r="47" spans="1:27" ht="20.100000000000001" customHeight="1" x14ac:dyDescent="0.2">
      <c r="A47" s="5" t="str">
        <f>HYPERLINK("#'Constants - Feedlot'!A1", "Constants - Feedlot")</f>
        <v>Constants - Feedlot</v>
      </c>
      <c r="D47" s="8"/>
      <c r="E47" s="8"/>
      <c r="F47" s="8"/>
      <c r="G47" s="8"/>
      <c r="H47" s="8"/>
      <c r="I47" s="8"/>
      <c r="J47" s="221"/>
      <c r="K47" s="24"/>
      <c r="L47" s="8"/>
      <c r="M47" s="8"/>
    </row>
    <row r="48" spans="1:27" ht="20.100000000000001" customHeight="1" x14ac:dyDescent="0.2">
      <c r="A48" s="5" t="str">
        <f>HYPERLINK("#'Constants - Common livestock'!A1", "Constants - Common Livestock")</f>
        <v>Constants - Common Livestock</v>
      </c>
      <c r="D48" s="2" t="s">
        <v>733</v>
      </c>
      <c r="E48" s="24"/>
      <c r="F48" s="24"/>
      <c r="G48" s="24"/>
      <c r="H48" s="8"/>
      <c r="I48" s="8"/>
      <c r="J48" s="8"/>
      <c r="K48" s="8"/>
      <c r="L48" s="8"/>
      <c r="M48" s="8"/>
    </row>
    <row r="49" spans="1:18" ht="20.100000000000001" customHeight="1" x14ac:dyDescent="0.2">
      <c r="A49" s="5" t="str">
        <f>HYPERLINK("#'Constants - Electricity'!A1", "Constants - Electricity")</f>
        <v>Constants - Electricity</v>
      </c>
      <c r="D49" s="8"/>
      <c r="E49" s="8"/>
      <c r="F49" s="8"/>
      <c r="G49" s="8"/>
      <c r="H49" s="8"/>
      <c r="I49" s="8"/>
      <c r="J49" s="8"/>
      <c r="K49" s="8"/>
      <c r="L49" s="8"/>
      <c r="M49" s="8"/>
      <c r="Q49" s="140"/>
      <c r="R49" s="140"/>
    </row>
    <row r="50" spans="1:18" ht="20.100000000000001" customHeight="1" x14ac:dyDescent="0.2">
      <c r="A50" s="5" t="str">
        <f>HYPERLINK("#'Constants - Fertiliser'!A1", "Constants - Fertiliser")</f>
        <v>Constants - Fertiliser</v>
      </c>
      <c r="D50" s="129" t="s">
        <v>723</v>
      </c>
      <c r="E50" s="43"/>
      <c r="F50" s="43"/>
      <c r="G50" s="43"/>
      <c r="H50" s="44"/>
      <c r="I50" s="8"/>
      <c r="J50" s="8"/>
      <c r="K50" s="8"/>
      <c r="L50" s="8"/>
      <c r="M50" s="8"/>
      <c r="O50" s="140"/>
      <c r="P50" s="140"/>
      <c r="Q50" s="140"/>
      <c r="R50" s="140"/>
    </row>
    <row r="51" spans="1:18" ht="20.100000000000001" customHeight="1" x14ac:dyDescent="0.2">
      <c r="A51" s="5" t="str">
        <f>HYPERLINK("#'Constants - Fuel'!A1", "Constants - Fuel")</f>
        <v>Constants - Fuel</v>
      </c>
      <c r="D51" s="45" t="s">
        <v>680</v>
      </c>
      <c r="E51" s="46"/>
      <c r="F51" s="46"/>
      <c r="G51" s="46"/>
      <c r="H51" s="47"/>
      <c r="I51" s="8"/>
      <c r="J51" s="8"/>
      <c r="K51" s="8"/>
      <c r="L51" s="207"/>
      <c r="M51" s="140"/>
      <c r="N51" s="140"/>
      <c r="O51" s="140"/>
      <c r="P51" s="140"/>
    </row>
    <row r="52" spans="1:18" ht="20.100000000000001" customHeight="1" x14ac:dyDescent="0.2">
      <c r="A52" s="5" t="str">
        <f>HYPERLINK("#'Constants - Scope 3'!A1", "Constants - Scope 3")</f>
        <v>Constants - Scope 3</v>
      </c>
      <c r="D52" s="8"/>
      <c r="E52" s="8"/>
      <c r="F52" s="8"/>
      <c r="G52" s="8"/>
      <c r="H52" s="8"/>
      <c r="I52" s="8"/>
      <c r="J52" s="8"/>
      <c r="K52" s="8"/>
      <c r="L52" s="207"/>
      <c r="M52" s="140"/>
      <c r="N52" s="140"/>
    </row>
    <row r="53" spans="1:18" ht="20.100000000000001" customHeight="1" x14ac:dyDescent="0.2">
      <c r="A53" s="5" t="str">
        <f>HYPERLINK("#'Constants - Solid Waste'!A1", "Constants - Solid Waste")</f>
        <v>Constants - Solid Waste</v>
      </c>
      <c r="D53" s="217" t="s">
        <v>734</v>
      </c>
      <c r="E53" s="217" t="s">
        <v>735</v>
      </c>
      <c r="F53" s="217" t="s">
        <v>736</v>
      </c>
      <c r="G53" s="217" t="s">
        <v>737</v>
      </c>
      <c r="H53" s="217" t="s">
        <v>685</v>
      </c>
      <c r="I53" s="217" t="s">
        <v>738</v>
      </c>
      <c r="J53" s="217" t="s">
        <v>739</v>
      </c>
      <c r="K53" s="207"/>
    </row>
    <row r="54" spans="1:18" ht="20.100000000000001" customHeight="1" x14ac:dyDescent="0.2">
      <c r="A54" s="5" t="str">
        <f>HYPERLINK("#'Constants - Common'!A1", "Constants - Common")</f>
        <v>Constants - Common</v>
      </c>
      <c r="D54" s="196" t="s">
        <v>740</v>
      </c>
      <c r="E54" s="219">
        <v>0.3</v>
      </c>
      <c r="F54" s="197">
        <v>10</v>
      </c>
      <c r="G54" s="199">
        <f>Table_Input_OrganicFertiliser[[#This Row],[Amount applied (kg/hectare)]]*Table_Input_OrganicFertiliser[[#This Row],[Percentage of N in fertiliser]]</f>
        <v>3</v>
      </c>
      <c r="H54" s="197">
        <f>X_Cell_Fertiliser_AreaUnderCropping</f>
        <v>100</v>
      </c>
      <c r="I54" s="199">
        <f>Table_Input_OrganicFertiliser[[#This Row],[Amount applied (kg/hectare)]]*Table_Input_OrganicFertiliser[[#This Row],[Application area (ha)]]</f>
        <v>1000</v>
      </c>
      <c r="J54" s="199">
        <f>IFERROR(Table_Input_OrganicFertiliser[[#This Row],[Amount N applied (kg/hectare)]]*Table_Input_OrganicFertiliser[[#This Row],[Application area (ha)]], 0)</f>
        <v>300</v>
      </c>
      <c r="K54" s="207"/>
    </row>
    <row r="55" spans="1:18" ht="20.100000000000001" customHeight="1" x14ac:dyDescent="0.2">
      <c r="A55" s="5" t="str">
        <f>HYPERLINK("#'Acknowledgements'!A1", "Acknowledgements")</f>
        <v>Acknowledgements</v>
      </c>
      <c r="D55" s="196" t="s">
        <v>741</v>
      </c>
      <c r="E55" s="219">
        <v>0.25</v>
      </c>
      <c r="F55" s="197">
        <v>10</v>
      </c>
      <c r="G55" s="199">
        <f>Table_Input_OrganicFertiliser[[#This Row],[Amount applied (kg/hectare)]]*Table_Input_OrganicFertiliser[[#This Row],[Percentage of N in fertiliser]]</f>
        <v>2.5</v>
      </c>
      <c r="H55" s="197">
        <f>X_Cell_Fertiliser_AreaUnderCropping</f>
        <v>100</v>
      </c>
      <c r="I55" s="199">
        <f>Table_Input_OrganicFertiliser[[#This Row],[Amount applied (kg/hectare)]]*Table_Input_OrganicFertiliser[[#This Row],[Application area (ha)]]</f>
        <v>1000</v>
      </c>
      <c r="J55" s="199">
        <f>IFERROR(Table_Input_OrganicFertiliser[[#This Row],[Amount N applied (kg/hectare)]]*Table_Input_OrganicFertiliser[[#This Row],[Application area (ha)]], 0)</f>
        <v>250</v>
      </c>
    </row>
    <row r="56" spans="1:18" ht="20.100000000000001" customHeight="1" x14ac:dyDescent="0.2">
      <c r="D56" s="196" t="s">
        <v>742</v>
      </c>
      <c r="E56" s="219">
        <v>0.16</v>
      </c>
      <c r="F56" s="197">
        <v>10</v>
      </c>
      <c r="G56" s="199">
        <f>Table_Input_OrganicFertiliser[[#This Row],[Amount applied (kg/hectare)]]*Table_Input_OrganicFertiliser[[#This Row],[Percentage of N in fertiliser]]</f>
        <v>1.6</v>
      </c>
      <c r="H56" s="197">
        <f>X_Cell_Fertiliser_AreaUnderCropping</f>
        <v>100</v>
      </c>
      <c r="I56" s="199">
        <f>Table_Input_OrganicFertiliser[[#This Row],[Amount applied (kg/hectare)]]*Table_Input_OrganicFertiliser[[#This Row],[Application area (ha)]]</f>
        <v>1000</v>
      </c>
      <c r="J56" s="199">
        <f>IFERROR(Table_Input_OrganicFertiliser[[#This Row],[Amount N applied (kg/hectare)]]*Table_Input_OrganicFertiliser[[#This Row],[Application area (ha)]], 0)</f>
        <v>160</v>
      </c>
    </row>
    <row r="126" spans="13:13" ht="20.100000000000001" customHeight="1" x14ac:dyDescent="0.2">
      <c r="M126" s="24"/>
    </row>
    <row r="127" spans="13:13" ht="20.100000000000001" customHeight="1" x14ac:dyDescent="0.2">
      <c r="M127" s="24"/>
    </row>
    <row r="128" spans="13:13" ht="20.100000000000001" customHeight="1" x14ac:dyDescent="0.2">
      <c r="M128" s="24"/>
    </row>
    <row r="129" spans="13:13" ht="20.100000000000001" customHeight="1" x14ac:dyDescent="0.2">
      <c r="M129" s="24"/>
    </row>
    <row r="130" spans="13:13" ht="20.100000000000001" customHeight="1" x14ac:dyDescent="0.2">
      <c r="M130" s="24"/>
    </row>
    <row r="131" spans="13:13" ht="20.100000000000001" customHeight="1" x14ac:dyDescent="0.2">
      <c r="M131" s="24"/>
    </row>
    <row r="132" spans="13:13" ht="20.100000000000001" customHeight="1" x14ac:dyDescent="0.2">
      <c r="M132" s="24"/>
    </row>
    <row r="133" spans="13:13" ht="20.100000000000001" customHeight="1" x14ac:dyDescent="0.2">
      <c r="M133" s="24"/>
    </row>
    <row r="134" spans="13:13" ht="20.100000000000001" customHeight="1" x14ac:dyDescent="0.2">
      <c r="M134" s="24"/>
    </row>
    <row r="135" spans="13:13" ht="20.100000000000001" customHeight="1" x14ac:dyDescent="0.2">
      <c r="M135" s="24"/>
    </row>
    <row r="136" spans="13:13" ht="20.100000000000001" customHeight="1" x14ac:dyDescent="0.2">
      <c r="M136" s="24"/>
    </row>
    <row r="137" spans="13:13" ht="20.100000000000001" customHeight="1" x14ac:dyDescent="0.2">
      <c r="M137" s="24"/>
    </row>
    <row r="138" spans="13:13" ht="20.100000000000001" customHeight="1" x14ac:dyDescent="0.2">
      <c r="M138" s="24"/>
    </row>
    <row r="139" spans="13:13" ht="20.100000000000001" customHeight="1" x14ac:dyDescent="0.2">
      <c r="M139" s="24"/>
    </row>
    <row r="140" spans="13:13" ht="20.100000000000001" customHeight="1" x14ac:dyDescent="0.2">
      <c r="M140" s="24"/>
    </row>
    <row r="141" spans="13:13" ht="20.100000000000001" customHeight="1" x14ac:dyDescent="0.2">
      <c r="M141" s="24"/>
    </row>
    <row r="142" spans="13:13" ht="20.100000000000001" customHeight="1" x14ac:dyDescent="0.2">
      <c r="M142" s="24"/>
    </row>
    <row r="143" spans="13:13" ht="20.100000000000001" customHeight="1" x14ac:dyDescent="0.2">
      <c r="M143" s="24"/>
    </row>
    <row r="144" spans="13:13" ht="20.100000000000001" customHeight="1" x14ac:dyDescent="0.2">
      <c r="M144" s="24"/>
    </row>
    <row r="145" spans="13:13" ht="20.100000000000001" customHeight="1" x14ac:dyDescent="0.2">
      <c r="M145" s="24"/>
    </row>
    <row r="146" spans="13:13" ht="20.100000000000001" customHeight="1" x14ac:dyDescent="0.2">
      <c r="M146" s="24"/>
    </row>
    <row r="147" spans="13:13" ht="20.100000000000001" customHeight="1" x14ac:dyDescent="0.2">
      <c r="M147" s="24"/>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7"/>
    </row>
  </sheetData>
  <conditionalFormatting sqref="F155:F156">
    <cfRule type="cellIs" dxfId="26" priority="15" operator="lessThan">
      <formula>0</formula>
    </cfRule>
  </conditionalFormatting>
  <conditionalFormatting sqref="F167:F168">
    <cfRule type="cellIs" dxfId="25" priority="14" operator="lessThan">
      <formula>0</formula>
    </cfRule>
  </conditionalFormatting>
  <conditionalFormatting sqref="F179:F180">
    <cfRule type="cellIs" dxfId="24" priority="13" operator="lessThan">
      <formula>0</formula>
    </cfRule>
  </conditionalFormatting>
  <conditionalFormatting sqref="F267:F268">
    <cfRule type="cellIs" dxfId="23" priority="26" operator="lessThan">
      <formula>0</formula>
    </cfRule>
  </conditionalFormatting>
  <conditionalFormatting sqref="F272:F273">
    <cfRule type="cellIs" dxfId="22" priority="25" operator="lessThan">
      <formula>0</formula>
    </cfRule>
  </conditionalFormatting>
  <conditionalFormatting sqref="F277:F278">
    <cfRule type="cellIs" dxfId="21" priority="24" operator="lessThan">
      <formula>0</formula>
    </cfRule>
  </conditionalFormatting>
  <conditionalFormatting sqref="F301:F302">
    <cfRule type="cellIs" dxfId="20" priority="23" operator="lessThan">
      <formula>0</formula>
    </cfRule>
  </conditionalFormatting>
  <conditionalFormatting sqref="F306:F307">
    <cfRule type="cellIs" dxfId="19" priority="22" operator="lessThan">
      <formula>0</formula>
    </cfRule>
  </conditionalFormatting>
  <conditionalFormatting sqref="F311:F312">
    <cfRule type="cellIs" dxfId="18" priority="21" operator="lessThan">
      <formula>0</formula>
    </cfRule>
  </conditionalFormatting>
  <conditionalFormatting sqref="H53 F143:F144">
    <cfRule type="cellIs" dxfId="17"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16" priority="20" operator="lessThan">
      <formula>0</formula>
    </cfRule>
  </conditionalFormatting>
  <conditionalFormatting sqref="I41:I44 I46:I47 F58 I75:I78 L198 K200 L202:L203 K204:K205 L206:L207 K208:K209 L212:L213 K214:K215 L216:L217 K218:K219 L223:L228 K225">
    <cfRule type="cellIs" dxfId="15" priority="18" operator="lessThan">
      <formula>0</formula>
    </cfRule>
  </conditionalFormatting>
  <conditionalFormatting sqref="I82 M119 I141:J141">
    <cfRule type="cellIs" dxfId="14" priority="19" operator="lessThan">
      <formula>0</formula>
    </cfRule>
  </conditionalFormatting>
  <conditionalFormatting sqref="I93:I95">
    <cfRule type="cellIs" dxfId="13" priority="3" operator="lessThan">
      <formula>0</formula>
    </cfRule>
  </conditionalFormatting>
  <conditionalFormatting sqref="I99:I102">
    <cfRule type="cellIs" dxfId="12" priority="2" operator="lessThan">
      <formula>0</formula>
    </cfRule>
  </conditionalFormatting>
  <conditionalFormatting sqref="I106:I110">
    <cfRule type="cellIs" dxfId="11" priority="1" operator="lessThan">
      <formula>0</formula>
    </cfRule>
  </conditionalFormatting>
  <conditionalFormatting sqref="J169">
    <cfRule type="cellIs" dxfId="10" priority="17" operator="lessThan">
      <formula>0</formula>
    </cfRule>
  </conditionalFormatting>
  <conditionalFormatting sqref="L131:L134">
    <cfRule type="cellIs" dxfId="9" priority="7" operator="lessThan">
      <formula>0</formula>
    </cfRule>
  </conditionalFormatting>
  <conditionalFormatting sqref="L137">
    <cfRule type="cellIs" dxfId="8" priority="12" operator="lessThan">
      <formula>0</formula>
    </cfRule>
  </conditionalFormatting>
  <conditionalFormatting sqref="L143:L146">
    <cfRule type="cellIs" dxfId="7" priority="6" operator="lessThan">
      <formula>0</formula>
    </cfRule>
  </conditionalFormatting>
  <conditionalFormatting sqref="L149">
    <cfRule type="cellIs" dxfId="6" priority="11" operator="lessThan">
      <formula>0</formula>
    </cfRule>
  </conditionalFormatting>
  <conditionalFormatting sqref="L155:L158">
    <cfRule type="cellIs" dxfId="5" priority="5" operator="lessThan">
      <formula>0</formula>
    </cfRule>
  </conditionalFormatting>
  <conditionalFormatting sqref="L161">
    <cfRule type="cellIs" dxfId="4" priority="10" operator="lessThan">
      <formula>0</formula>
    </cfRule>
  </conditionalFormatting>
  <conditionalFormatting sqref="L167:L170">
    <cfRule type="cellIs" dxfId="3" priority="4" operator="lessThan">
      <formula>0</formula>
    </cfRule>
  </conditionalFormatting>
  <conditionalFormatting sqref="L173">
    <cfRule type="cellIs" dxfId="2" priority="9" operator="lessThan">
      <formula>0</formula>
    </cfRule>
  </conditionalFormatting>
  <conditionalFormatting sqref="L177:L178">
    <cfRule type="cellIs" dxfId="1" priority="8" operator="lessThan">
      <formula>0</formula>
    </cfRule>
  </conditionalFormatting>
  <conditionalFormatting sqref="L230 L232:L235 L237 J245:J247 J250:J252">
    <cfRule type="cellIs" dxfId="0" priority="27" operator="lessThan">
      <formula>0</formula>
    </cfRule>
  </conditionalFormatting>
  <dataValidations count="9">
    <dataValidation type="list" allowBlank="1" showInputMessage="1" showErrorMessage="1" sqref="D12:D21" xr:uid="{58F1FFCA-7F96-49C6-A71E-5B37E3E6CBCD}">
      <formula1>INDIRECT("FertiliserProducts[Product]")</formula1>
    </dataValidation>
    <dataValidation type="list" allowBlank="1" showInputMessage="1" showErrorMessage="1" sqref="Q25:R34" xr:uid="{6752E289-D21B-4D73-85E1-B97CD29C374C}">
      <formula1>INDIRECT("Table_SourceData_Fertiliser_UreaAmmoniaSources[Source]")</formula1>
    </dataValidation>
    <dataValidation type="list" allowBlank="1" showInputMessage="1" showErrorMessage="1" sqref="D54:D56" xr:uid="{BF8530E9-5DC5-4088-AD4B-AC63C7766895}">
      <formula1>INDIRECT("Table_SourceData_OrganicFertiliserTypes[Organic fertiliser type]")</formula1>
    </dataValidation>
    <dataValidation type="list" allowBlank="1" showInputMessage="1" showErrorMessage="1" sqref="H25:H34 J25:J34 L25:L34 N25:N34" xr:uid="{C0304B6F-448D-4F87-8335-F4D1F35E6C90}">
      <formula1>INDIRECT("Table_Fertiliser_ChemicalCompounds[Fertiliser type f]")</formula1>
    </dataValidation>
    <dataValidation type="list" allowBlank="1" showInputMessage="1" showErrorMessage="1" sqref="E81" xr:uid="{839C3139-FA81-41CA-A619-C073FFEB21DA}">
      <formula1>INDIRECT("Table_SourceData_Swine_CropProdSystems[Production system]")</formula1>
    </dataValidation>
    <dataValidation type="list" allowBlank="1" showInputMessage="1" showErrorMessage="1" sqref="E82" xr:uid="{12082B19-800F-4445-BB97-1D3D0118D8CE}">
      <formula1>INDIRECT("Table_SourceData_Swine_IrrigationMethods[Irrigation method]")</formula1>
    </dataValidation>
    <dataValidation type="list" allowBlank="1" showInputMessage="1" showErrorMessage="1" sqref="E266 E271 E276 E310 E305 E300 E178 E166 E142 E154" xr:uid="{198D14CB-F4EC-48C6-9A3F-A27C25FE4015}">
      <formula1>"Yes, No"</formula1>
    </dataValidation>
    <dataValidation type="list" allowBlank="1" showInputMessage="1" showErrorMessage="1" sqref="E242" xr:uid="{766E8076-48E0-4BC8-9BDD-3678D7C6E500}">
      <formula1>INDIRECT("Table_SourceData_Dairy_ProductionSystemTemplates[Area]")</formula1>
    </dataValidation>
    <dataValidation type="list" allowBlank="1" showInputMessage="1" showErrorMessage="1" sqref="D294" xr:uid="{E1282E1E-5045-4A6B-BBBB-A7D78878ABB3}">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80E32-0FF5-4B91-824D-B8810EE5FB44}">
  <sheetPr>
    <tabColor rgb="FF008000"/>
  </sheetPr>
  <dimension ref="A1:X342"/>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0" customFormat="1" ht="30" customHeight="1" x14ac:dyDescent="0.35">
      <c r="A1" s="10" t="e" vm="1">
        <v>#VALUE!</v>
      </c>
      <c r="C1" s="20" t="s">
        <v>743</v>
      </c>
      <c r="K1"/>
    </row>
    <row r="2" spans="1:24" s="3" customFormat="1" ht="20.100000000000001" customHeight="1" x14ac:dyDescent="0.2">
      <c r="A2"/>
      <c r="K2"/>
    </row>
    <row r="3" spans="1:24" ht="20.100000000000001" customHeight="1" x14ac:dyDescent="0.2">
      <c r="A3" s="5" t="str">
        <f>HYPERLINK("#'Home'!A1", "Home")</f>
        <v>Home</v>
      </c>
      <c r="C3" s="22"/>
      <c r="D3" s="22" t="s">
        <v>130</v>
      </c>
      <c r="E3" s="22"/>
      <c r="F3" s="22"/>
      <c r="G3" s="22"/>
      <c r="H3" s="22"/>
      <c r="I3" s="22"/>
      <c r="J3" s="22"/>
      <c r="L3" s="22"/>
      <c r="M3" s="22" t="s">
        <v>131</v>
      </c>
      <c r="N3" s="22"/>
      <c r="O3" s="22"/>
      <c r="P3" s="22"/>
      <c r="Q3" s="22"/>
      <c r="R3" s="22"/>
      <c r="S3" s="22"/>
      <c r="T3" s="22"/>
      <c r="U3" s="22"/>
      <c r="V3" s="22"/>
      <c r="W3" s="22"/>
      <c r="X3" s="22"/>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Emissions Intensity")</f>
        <v>Results - Product Emissions Intensity</v>
      </c>
      <c r="D5" s="2" t="str" cm="1">
        <f t="array" ref="D5">Fertiliser_Equations_InorganicN2O.VEERG_5_1_1_1__2_MassOfNitrogenInInorganicFertiliser_Title()</f>
        <v>Mass of nitrogen in inorganic fertiliser applied to production system</v>
      </c>
      <c r="M5" s="87" t="s">
        <v>744</v>
      </c>
    </row>
    <row r="6" spans="1:24" ht="20.100000000000001" customHeight="1" x14ac:dyDescent="0.2">
      <c r="D6" s="17" t="str" cm="1">
        <f t="array" ref="D6">Fertiliser_Equations_InorganicN2O.VEERG_5_1_1_1__2_MassOfNitrogenInInorganicFertiliser_Source()</f>
        <v>VEERG 2026: 5.1.1.1, Equation (2)</v>
      </c>
      <c r="M6" s="222" t="s">
        <v>745</v>
      </c>
      <c r="N6" s="222"/>
      <c r="O6" s="222"/>
      <c r="P6" s="222"/>
      <c r="Q6" s="222"/>
      <c r="R6" s="222"/>
      <c r="S6" s="222"/>
    </row>
    <row r="7" spans="1:24" ht="20.100000000000001" customHeight="1" x14ac:dyDescent="0.2">
      <c r="D7" s="112" t="s">
        <v>321</v>
      </c>
      <c r="E7" s="112" t="str" cm="1">
        <f t="array" aca="1" ref="E7" ca="1">Common_InputFunctions.Utility_DisplayFunctionName(G19)</f>
        <v>=Fertiliser_Equations_InorganicN2O.VEERG_5_1_1_1__2_MassOfNitrogenInInorganicFertiliser</v>
      </c>
      <c r="M7" s="118" t="s">
        <v>746</v>
      </c>
    </row>
    <row r="8" spans="1:24" ht="20.100000000000001" customHeight="1" x14ac:dyDescent="0.2">
      <c r="A8" s="7" t="s">
        <v>0</v>
      </c>
      <c r="M8" s="119" t="s">
        <v>747</v>
      </c>
    </row>
    <row r="9" spans="1:24" ht="20.100000000000001" customHeight="1" x14ac:dyDescent="0.2">
      <c r="A9" s="5" t="str">
        <f>HYPERLINK("#'Input - Enterprise'!A1", "Enterprise")</f>
        <v>Enterprise</v>
      </c>
      <c r="O9" s="223" t="s">
        <v>748</v>
      </c>
      <c r="P9" s="223" t="s">
        <v>676</v>
      </c>
      <c r="Q9" s="223" t="s">
        <v>749</v>
      </c>
    </row>
    <row r="10" spans="1:24" ht="20.100000000000001" customHeight="1" x14ac:dyDescent="0.2">
      <c r="A10" s="5" t="str">
        <f>HYPERLINK("#'Input - Site'!A1", "Site")</f>
        <v>Site</v>
      </c>
      <c r="D10" s="75" t="s">
        <v>322</v>
      </c>
      <c r="E10" s="1" t="str" cm="1">
        <f t="array" ref="E10">Fertiliser_Equations_InorganicN2O.VEERG_5_1_1_1__2_MassOfNitrogenInInorganicFertiliser_Variable()</f>
        <v>MN_jf</v>
      </c>
      <c r="M10" s="120" t="s">
        <v>750</v>
      </c>
      <c r="N10" s="78" t="s">
        <v>750</v>
      </c>
      <c r="O10" s="78" t="s">
        <v>751</v>
      </c>
      <c r="P10" s="78" t="s">
        <v>752</v>
      </c>
      <c r="Q10" s="120" t="s">
        <v>753</v>
      </c>
    </row>
    <row r="11" spans="1:24" ht="20.100000000000001" customHeight="1" x14ac:dyDescent="0.2">
      <c r="A11" s="5" t="str">
        <f>HYPERLINK("#'Input - Feedlot'!A1", "Feedlot")</f>
        <v>Feedlot</v>
      </c>
      <c r="D11" s="75" t="s">
        <v>118</v>
      </c>
      <c r="E11" s="9" t="str" cm="1">
        <f t="array" ref="E11">Fertiliser_Equations_InorganicN2O.VEERG_5_1_1_1__2_MassOfNitrogenInInorganicFertiliser_Unit()</f>
        <v>kg N</v>
      </c>
      <c r="M11" s="15" t="s">
        <v>754</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v>
      </c>
      <c r="Q11" s="15">
        <f>O11*P11</f>
        <v>4600</v>
      </c>
    </row>
    <row r="12" spans="1:24" ht="20.100000000000001" customHeight="1" x14ac:dyDescent="0.2">
      <c r="A12" s="5" t="str">
        <f>HYPERLINK("#'Input - Livestock sales'!A1", "Livestock sales")</f>
        <v>Livestock sales</v>
      </c>
      <c r="M12" s="15" t="s">
        <v>754</v>
      </c>
      <c r="N12" s="15" t="str">
        <v>Boost-It</v>
      </c>
      <c r="O12" s="15">
        <v>24</v>
      </c>
      <c r="P12" s="15">
        <v>100</v>
      </c>
      <c r="Q12" s="15">
        <f>O12*P12</f>
        <v>2400</v>
      </c>
    </row>
    <row r="13" spans="1:24" ht="20.100000000000001" customHeight="1" x14ac:dyDescent="0.2">
      <c r="A13" s="5" t="str">
        <f>HYPERLINK("#'Input - Beef cattle purchases'!A1", "Beef cattle purchases")</f>
        <v>Beef cattle purchases</v>
      </c>
      <c r="D13" s="124" t="str" cm="1">
        <f t="array" ref="D13:E14">_xlfn.CHOOSECOLS(Fertiliser_Equations_InorganicN2O.VEERG_5_1_1_1__2_MassOfNitrogenInInorganicFertiliser_Arguments(), 1,2)</f>
        <v>TM_jf</v>
      </c>
      <c r="E13" s="124" t="str">
        <v>total mass of inorganic fertiliser type f applied to production system j</v>
      </c>
      <c r="F13" s="124"/>
      <c r="G13" s="124" t="str" cm="1">
        <f t="array" ref="G13:H14">_xlfn.CHOOSECOLS(Fertiliser_Equations_InorganicN2O.VEERG_5_1_1_1__2_MassOfNitrogenInInorganicFertiliser_Arguments(), 3,4)</f>
        <v>kg</v>
      </c>
      <c r="H13" s="114" t="str">
        <v>Input</v>
      </c>
      <c r="I13" s="116" t="str" cm="1">
        <f t="array" aca="1" ref="I13" ca="1">HYPERLINK(Common_InputFunctions.Utility_SourceHyperlink($D$16), $D$16)</f>
        <v>Table_MN_j_f</v>
      </c>
      <c r="M13" s="15" t="s">
        <v>754</v>
      </c>
      <c r="N13" s="15" t="str">
        <v>Cal-Gran 50/50</v>
      </c>
      <c r="O13" s="15">
        <v>17.899999999999999</v>
      </c>
      <c r="P13" s="15">
        <v>100</v>
      </c>
      <c r="Q13" s="15">
        <f t="shared" ref="Q13:Q20" si="0">O13*P13</f>
        <v>1789.9999999999998</v>
      </c>
    </row>
    <row r="14" spans="1:24" ht="20.100000000000001" customHeight="1" x14ac:dyDescent="0.2">
      <c r="A14" s="5" t="str">
        <f>HYPERLINK("#'Input - Fuel'!A1", "Fuel")</f>
        <v>Fuel</v>
      </c>
      <c r="D14" s="124" t="str">
        <v>FN_inorganicf</v>
      </c>
      <c r="E14" s="126" t="str">
        <v xml:space="preserve">fraction of nitrogen in inorganic fertiliser type f </v>
      </c>
      <c r="F14" s="224"/>
      <c r="G14" s="124" t="str">
        <v>kg N/kg</v>
      </c>
      <c r="H14" s="115" t="str">
        <v>Constant</v>
      </c>
      <c r="I14" s="116" t="str" cm="1">
        <f t="array" aca="1" ref="I14" ca="1">HYPERLINK(Common_InputFunctions.Utility_SourceHyperlink($D$16), $D$16)</f>
        <v>Table_MN_j_f</v>
      </c>
      <c r="M14" s="15" t="s">
        <v>754</v>
      </c>
      <c r="N14" s="15">
        <v>0</v>
      </c>
      <c r="O14" s="15">
        <v>0</v>
      </c>
      <c r="P14" s="15">
        <v>0</v>
      </c>
      <c r="Q14" s="15">
        <f t="shared" si="0"/>
        <v>0</v>
      </c>
    </row>
    <row r="15" spans="1:24" ht="20.100000000000001" customHeight="1" x14ac:dyDescent="0.2">
      <c r="A15" s="5" t="str">
        <f>HYPERLINK("#'Input - Electricity'!A1", "Electricity")</f>
        <v>Electricity</v>
      </c>
      <c r="M15" s="15" t="s">
        <v>754</v>
      </c>
      <c r="N15" s="15">
        <v>0</v>
      </c>
      <c r="O15" s="15">
        <v>0</v>
      </c>
      <c r="P15" s="15">
        <v>0</v>
      </c>
      <c r="Q15" s="15">
        <f t="shared" si="0"/>
        <v>0</v>
      </c>
    </row>
    <row r="16" spans="1:24" ht="20.100000000000001" customHeight="1" x14ac:dyDescent="0.2">
      <c r="A16" s="5" t="str">
        <f>HYPERLINK("#'Input - Common farm inputs'!A1", "Common farm inputs")</f>
        <v>Common farm inputs</v>
      </c>
      <c r="D16" s="118" t="s">
        <v>755</v>
      </c>
      <c r="M16" s="15" t="s">
        <v>754</v>
      </c>
      <c r="N16" s="15">
        <v>0</v>
      </c>
      <c r="O16" s="15">
        <v>0</v>
      </c>
      <c r="P16" s="15">
        <v>0</v>
      </c>
      <c r="Q16" s="15">
        <f t="shared" si="0"/>
        <v>0</v>
      </c>
    </row>
    <row r="17" spans="1:17" ht="20.100000000000001" customHeight="1" x14ac:dyDescent="0.2">
      <c r="A17" s="5" t="str">
        <f>HYPERLINK("#'Input - Livestock farm Inputs'!A1", "Livestock farm Inputs")</f>
        <v>Livestock farm Inputs</v>
      </c>
      <c r="D17" s="119" t="s">
        <v>756</v>
      </c>
      <c r="M17" s="15" t="s">
        <v>754</v>
      </c>
      <c r="N17" s="15">
        <v>0</v>
      </c>
      <c r="O17" s="15">
        <v>0</v>
      </c>
      <c r="P17" s="15">
        <v>0</v>
      </c>
      <c r="Q17" s="15">
        <f t="shared" si="0"/>
        <v>0</v>
      </c>
    </row>
    <row r="18" spans="1:17" ht="20.100000000000001" customHeight="1" x14ac:dyDescent="0.2">
      <c r="A18" s="5" t="str">
        <f>HYPERLINK("#'Input - Freight'!A1", "Freight")</f>
        <v>Freight</v>
      </c>
      <c r="D18" s="120" t="s">
        <v>757</v>
      </c>
      <c r="E18" s="78" t="s">
        <v>758</v>
      </c>
      <c r="F18" s="120" t="s">
        <v>759</v>
      </c>
      <c r="G18" s="120" t="s">
        <v>760</v>
      </c>
      <c r="M18" s="15" t="s">
        <v>754</v>
      </c>
      <c r="N18" s="15">
        <v>0</v>
      </c>
      <c r="O18" s="15">
        <v>0</v>
      </c>
      <c r="P18" s="15">
        <v>0</v>
      </c>
      <c r="Q18" s="15">
        <f t="shared" si="0"/>
        <v>0</v>
      </c>
    </row>
    <row r="19" spans="1: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cm="1">
        <f t="array" ref="G19">Fertiliser_Equations_InorganicN2O.VEERG_5_1_1_1__2_MassOfNitrogenInInorganicFertiliser(E19,F19)</f>
        <v>0</v>
      </c>
      <c r="M19" s="15" t="s">
        <v>754</v>
      </c>
      <c r="N19" s="15">
        <v>0</v>
      </c>
      <c r="O19" s="15">
        <v>0</v>
      </c>
      <c r="P19" s="15">
        <v>0</v>
      </c>
      <c r="Q19" s="15">
        <f t="shared" si="0"/>
        <v>0</v>
      </c>
    </row>
    <row r="20" spans="1: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cm="1">
        <f t="array" ref="G20">Fertiliser_Equations_InorganicN2O.VEERG_5_1_1_1__2_MassOfNitrogenInInorganicFertiliser(E20,F20)</f>
        <v>0</v>
      </c>
      <c r="M20" s="15" t="s">
        <v>754</v>
      </c>
      <c r="N20" s="15">
        <v>0</v>
      </c>
      <c r="O20" s="15">
        <v>0</v>
      </c>
      <c r="P20" s="15">
        <v>0</v>
      </c>
      <c r="Q20" s="15">
        <f t="shared" si="0"/>
        <v>0</v>
      </c>
    </row>
    <row r="21" spans="1: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cm="1">
        <f t="array" ref="G21">Fertiliser_Equations_InorganicN2O.VEERG_5_1_1_1__2_MassOfNitrogenInInorganicFertiliser(E21,F21)</f>
        <v>11599.999400000001</v>
      </c>
      <c r="M21" s="15" t="s">
        <v>761</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v>
      </c>
      <c r="Q21" s="15">
        <f>O21*P21</f>
        <v>775</v>
      </c>
    </row>
    <row r="22" spans="1: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cm="1">
        <f t="array" ref="G22">Fertiliser_Equations_InorganicN2O.VEERG_5_1_1_1__2_MassOfNitrogenInInorganicFertiliser(E22,F22)</f>
        <v>0</v>
      </c>
      <c r="M22" s="15" t="s">
        <v>761</v>
      </c>
      <c r="N22" s="15" t="str">
        <v>My second custom blend</v>
      </c>
      <c r="O22" s="15">
        <v>46</v>
      </c>
      <c r="P22" s="15">
        <v>100</v>
      </c>
      <c r="Q22" s="15">
        <f>O22*P22</f>
        <v>4600</v>
      </c>
    </row>
    <row r="23" spans="1: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cm="1">
        <f t="array" ref="G23">Fertiliser_Equations_InorganicN2O.VEERG_5_1_1_1__2_MassOfNitrogenInInorganicFertiliser(E23,F23)</f>
        <v>0</v>
      </c>
      <c r="M23" s="15" t="s">
        <v>761</v>
      </c>
      <c r="N23" s="15" t="str">
        <v>My third custom blend</v>
      </c>
      <c r="O23" s="15">
        <v>41.174999999999997</v>
      </c>
      <c r="P23" s="15">
        <v>100</v>
      </c>
      <c r="Q23" s="15">
        <f>O23*P23</f>
        <v>4117.5</v>
      </c>
    </row>
    <row r="24" spans="1: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cm="1">
        <f t="array" ref="G24">Fertiliser_Equations_InorganicN2O.VEERG_5_1_1_1__2_MassOfNitrogenInInorganicFertiliser(E24,F24)</f>
        <v>0</v>
      </c>
      <c r="J24" s="16"/>
      <c r="M24" s="15" t="s">
        <v>761</v>
      </c>
      <c r="N24" s="15">
        <v>0</v>
      </c>
      <c r="O24" s="15">
        <v>0</v>
      </c>
      <c r="P24" s="15">
        <v>0</v>
      </c>
      <c r="Q24" s="15">
        <f>O24*P24</f>
        <v>0</v>
      </c>
    </row>
    <row r="25" spans="1: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cm="1">
        <f t="array" ref="G25">Fertiliser_Equations_InorganicN2O.VEERG_5_1_1_1__2_MassOfNitrogenInInorganicFertiliser(E25,F25)</f>
        <v>0</v>
      </c>
      <c r="J25" s="16"/>
      <c r="M25" s="15" t="s">
        <v>761</v>
      </c>
      <c r="N25" s="15">
        <v>0</v>
      </c>
      <c r="O25" s="15">
        <v>0</v>
      </c>
      <c r="P25" s="15">
        <v>0</v>
      </c>
      <c r="Q25" s="15">
        <f>O25*P25</f>
        <v>0</v>
      </c>
    </row>
    <row r="26" spans="1: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f],Table_Fertiliser_ChemicalCompounds[FNinorganic f])</f>
        <v>1</v>
      </c>
      <c r="G26" s="15" cm="1">
        <f t="array" ref="G26">Fertiliser_Equations_InorganicN2O.VEERG_5_1_1_1__2_MassOfNitrogenInInorganicFertiliser(E26,F26)</f>
        <v>1240</v>
      </c>
      <c r="M26" s="15" t="s">
        <v>761</v>
      </c>
      <c r="N26" s="15">
        <v>0</v>
      </c>
      <c r="O26" s="15">
        <v>0</v>
      </c>
      <c r="P26" s="15">
        <v>0</v>
      </c>
      <c r="Q26" s="15">
        <f t="shared" ref="Q26:Q30" si="1">O26*P26</f>
        <v>0</v>
      </c>
    </row>
    <row r="27" spans="1:17" ht="20.100000000000001" customHeight="1" x14ac:dyDescent="0.2">
      <c r="A27" s="5" t="str">
        <f>HYPERLINK("#'3.1.1.1-2 Enteric Methane'!A1", "3.1.1.1-2 Enteric Methane")</f>
        <v>3.1.1.1-2 Enteric Methane</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f],Table_Fertiliser_ChemicalCompounds[FNinorganic f])</f>
        <v>1</v>
      </c>
      <c r="G27" s="15" cm="1">
        <f t="array" ref="G27">Fertiliser_Equations_InorganicN2O.VEERG_5_1_1_1__2_MassOfNitrogenInInorganicFertiliser(E27,F27)</f>
        <v>550</v>
      </c>
      <c r="M27" s="15" t="s">
        <v>761</v>
      </c>
      <c r="N27" s="15">
        <v>0</v>
      </c>
      <c r="O27" s="15">
        <v>0</v>
      </c>
      <c r="P27" s="15">
        <v>0</v>
      </c>
      <c r="Q27" s="15">
        <f t="shared" si="1"/>
        <v>0</v>
      </c>
    </row>
    <row r="28" spans="1:17" ht="20.100000000000001" customHeight="1" x14ac:dyDescent="0.2">
      <c r="A28" s="5" t="str">
        <f>HYPERLINK("#'4.1.1.1-2 Methane'!A1", "4.1.1.1-2 Manure Methane")</f>
        <v>4.1.1.1-2 Manure Methane</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cm="1">
        <f t="array" ref="G28">Fertiliser_Equations_InorganicN2O.VEERG_5_1_1_1__2_MassOfNitrogenInInorganicFertiliser(E28,F28)</f>
        <v>0</v>
      </c>
      <c r="M28" s="15" t="s">
        <v>761</v>
      </c>
      <c r="N28" s="15">
        <v>0</v>
      </c>
      <c r="O28" s="15">
        <v>0</v>
      </c>
      <c r="P28" s="15">
        <v>0</v>
      </c>
      <c r="Q28" s="15">
        <f t="shared" si="1"/>
        <v>0</v>
      </c>
    </row>
    <row r="29" spans="1:17" ht="20.100000000000001" customHeight="1" x14ac:dyDescent="0.2">
      <c r="A29" s="5" t="str">
        <f>HYPERLINK("#'4.1.1.3-4 Direct N20'!A1", "4.1.1.3-4 Manure Direct N2O")</f>
        <v>4.1.1.3-4 Manure Direct N2O</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f],Table_Fertiliser_ChemicalCompounds[FNinorganic f])</f>
        <v>0</v>
      </c>
      <c r="G29" s="15" cm="1">
        <f t="array" ref="G29">Fertiliser_Equations_InorganicN2O.VEERG_5_1_1_1__2_MassOfNitrogenInInorganicFertiliser(E29,F29)</f>
        <v>0</v>
      </c>
      <c r="M29" s="15" t="s">
        <v>761</v>
      </c>
      <c r="N29" s="15">
        <v>0</v>
      </c>
      <c r="O29" s="15">
        <v>0</v>
      </c>
      <c r="P29" s="15">
        <v>0</v>
      </c>
      <c r="Q29" s="15">
        <f t="shared" si="1"/>
        <v>0</v>
      </c>
    </row>
    <row r="30" spans="1:17" ht="20.100000000000001" customHeight="1" x14ac:dyDescent="0.2">
      <c r="A30" s="5" t="str">
        <f>HYPERLINK("#'4.1.1.5-6 Atmos Deposition'!A1", "4.1.1.5-6 Manure Atmos Dep")</f>
        <v>4.1.1.5-6 Manure Atmos Dep</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f],Table_Fertiliser_ChemicalCompounds[FNinorganic f])</f>
        <v>0</v>
      </c>
      <c r="G30" s="15" cm="1">
        <f t="array" ref="G30">Fertiliser_Equations_InorganicN2O.VEERG_5_1_1_1__2_MassOfNitrogenInInorganicFertiliser(E30,F30)</f>
        <v>0</v>
      </c>
      <c r="M30" s="15" t="s">
        <v>761</v>
      </c>
      <c r="N30" s="15">
        <v>0</v>
      </c>
      <c r="O30" s="15">
        <v>0</v>
      </c>
      <c r="P30" s="15">
        <v>0</v>
      </c>
      <c r="Q30" s="15">
        <f t="shared" si="1"/>
        <v>0</v>
      </c>
    </row>
    <row r="31" spans="1:17" ht="20.100000000000001" customHeight="1" x14ac:dyDescent="0.2">
      <c r="A31" s="5" t="str">
        <f>HYPERLINK("#'4.1.1.9 Manure applied to soils'!A1", "4.1.1.9 Manure applied to soils")</f>
        <v>4.1.1.9 Manure applied to soils</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f],Table_Fertiliser_ChemicalCompounds[FNinorganic f])</f>
        <v>0</v>
      </c>
      <c r="G31" s="15" cm="1">
        <f t="array" ref="G31">Fertiliser_Equations_InorganicN2O.VEERG_5_1_1_1__2_MassOfNitrogenInInorganicFertiliser(E31,F31)</f>
        <v>0</v>
      </c>
    </row>
    <row r="32" spans="1:17" ht="20.100000000000001" customHeight="1" x14ac:dyDescent="0.2">
      <c r="A32" s="5" t="str">
        <f>HYPERLINK("#'8.1.1.1-2 Transport fuel'!A1", "8.1.1.1-2 Transport fuel")</f>
        <v>8.1.1.1-2 Transport fuel</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f],Table_Fertiliser_ChemicalCompounds[FNinorganic f])</f>
        <v>0</v>
      </c>
      <c r="G32" s="15" cm="1">
        <f t="array" ref="G32">Fertiliser_Equations_InorganicN2O.VEERG_5_1_1_1__2_MassOfNitrogenInInorganicFertiliser(E32,F32)</f>
        <v>0</v>
      </c>
    </row>
    <row r="33" spans="1:24" ht="20.100000000000001" customHeight="1" x14ac:dyDescent="0.2">
      <c r="A33" s="5" t="str">
        <f>HYPERLINK("#'8.2.1.1-2 Stationary fuel'!A1", "8.2.1.1-2 Stationary fuel")</f>
        <v>8.2.1.1-2 Stationary fuel</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cm="1">
        <f t="array" ref="G33">Fertiliser_Equations_InorganicN2O.VEERG_5_1_1_1__2_MassOfNitrogenInInorganicFertiliser(E33,F33)</f>
        <v>0</v>
      </c>
      <c r="M33" s="88" t="s">
        <v>762</v>
      </c>
      <c r="N33" s="83">
        <f>SUM(Q11:Q30)</f>
        <v>18282.5</v>
      </c>
    </row>
    <row r="34" spans="1:24" ht="20.100000000000001" customHeight="1" x14ac:dyDescent="0.2">
      <c r="A34" s="5" t="str">
        <f>HYPERLINK("#'10.1.1-2 Solid waste treatment'!A1", "10.1.1.1-2 Solid waste")</f>
        <v>10.1.1.1-2 Solid waste</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cm="1">
        <f t="array" ref="G34">Fertiliser_Equations_InorganicN2O.VEERG_5_1_1_1__2_MassOfNitrogenInInorganicFertiliser(E34,F34)</f>
        <v>0</v>
      </c>
      <c r="M34" s="75" t="s">
        <v>763</v>
      </c>
      <c r="N34" s="1">
        <f>MAX(P11:P30)</f>
        <v>100</v>
      </c>
    </row>
    <row r="35" spans="1:24" ht="20.100000000000001" customHeight="1" x14ac:dyDescent="0.2">
      <c r="A35" s="5" t="str">
        <f>HYPERLINK("#'14.1.1-2 Purchased electricity'!A1", "14.1.1-2 Purchased electricity")</f>
        <v>14.1.1-2 Purchased electricity</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cm="1">
        <f t="array" ref="G35">Fertiliser_Equations_InorganicN2O.VEERG_5_1_1_1__2_MassOfNitrogenInInorganicFertiliser(E35,F35)</f>
        <v>0</v>
      </c>
      <c r="M35" s="75" t="s">
        <v>764</v>
      </c>
      <c r="N35" s="1">
        <f>N33/N34</f>
        <v>182.82499999999999</v>
      </c>
    </row>
    <row r="36" spans="1:24" ht="20.100000000000001" customHeight="1" x14ac:dyDescent="0.2">
      <c r="A36" s="5" t="str">
        <f>HYPERLINK("#'15 Scope 3'!A1", "15 Scope 3")</f>
        <v>15 Scope 3</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f],Table_Fertiliser_ChemicalCompounds[FNinorganic f])</f>
        <v>0.82350000000000001</v>
      </c>
      <c r="G36" s="15" cm="1">
        <f t="array" ref="G36">Fertiliser_Equations_InorganicN2O.VEERG_5_1_1_1__2_MassOfNitrogenInInorganicFertiliser(E36,F36)</f>
        <v>4117.5</v>
      </c>
    </row>
    <row r="37" spans="1:24" ht="20.100000000000001" customHeight="1" x14ac:dyDescent="0.2">
      <c r="A37" s="5" t="str">
        <f>HYPERLINK("#'Calcs - Manure sent off-site'!A1", "Calcs - Manure sent off-site")</f>
        <v>Calcs - Manure sent off-site</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f],Table_Fertiliser_ChemicalCompounds[FNinorganic f])</f>
        <v>0.155</v>
      </c>
      <c r="G37" s="15" cm="1">
        <f t="array" ref="G37">Fertiliser_Equations_InorganicN2O.VEERG_5_1_1_1__2_MassOfNitrogenInInorganicFertiliser(E37,F37)</f>
        <v>775</v>
      </c>
      <c r="L37" s="83"/>
      <c r="M37" s="83"/>
      <c r="N37" s="83"/>
      <c r="O37" s="83"/>
      <c r="P37" s="83"/>
      <c r="Q37" s="83"/>
      <c r="R37" s="83"/>
      <c r="S37" s="83"/>
      <c r="T37" s="83"/>
      <c r="U37" s="83"/>
      <c r="V37" s="83"/>
      <c r="W37" s="83"/>
      <c r="X37" s="83"/>
    </row>
    <row r="38" spans="1:24" ht="20.100000000000001" customHeight="1" x14ac:dyDescent="0.2">
      <c r="A38" s="117" t="str">
        <f>HYPERLINK("#'5.1.1.1-2 Inorganic fert N2O'!A1", "5.1.1.1-2 Inorganic fert N2O")</f>
        <v>5.1.1.1-2 Inorganic fert N2O</v>
      </c>
    </row>
    <row r="39" spans="1:24" ht="20.100000000000001" customHeight="1" x14ac:dyDescent="0.2">
      <c r="A39" s="5" t="str">
        <f>HYPERLINK("#'5.1.1.3-4 Inorganic fert CO2'!A1", "5.1.1.3-4 Inorganic fert CO2")</f>
        <v>5.1.1.3-4 Inorganic fert CO2</v>
      </c>
      <c r="C39" s="83"/>
      <c r="D39" s="83"/>
      <c r="E39" s="83"/>
      <c r="F39" s="83"/>
      <c r="G39" s="83"/>
      <c r="H39" s="83"/>
      <c r="I39" s="83"/>
      <c r="J39" s="83"/>
      <c r="M39" s="2" t="str" cm="1">
        <f t="array" ref="M39">Fertiliser_Equations_InorganicN2O.VEERG_5_1_1_2__1_EmissionFactorIrrigatedMaize_Title()</f>
        <v>Emission factor for nitrous oxide for irrigated maize</v>
      </c>
    </row>
    <row r="40" spans="1:24" ht="20.100000000000001" customHeight="1" x14ac:dyDescent="0.2">
      <c r="A40" s="5" t="str">
        <f>HYPERLINK("#'5.2.1.1-2 Organic Fert N2O'!A1", "5.2.1.1-2 Organic Fert N2O")</f>
        <v>5.2.1.1-2 Organic Fert N2O</v>
      </c>
      <c r="D40" s="2" t="str" cm="1">
        <f t="array" ref="D40">Fertiliser_Equations_InorganicN2O.VEERG_5_1_1_1__1_InorganicFertiliserApplicationN2OEmissions_Title()</f>
        <v>Nitrous oxide emissions from the application of all inorganic fertiliser types f to all production systems j</v>
      </c>
      <c r="M40" s="17" t="str" cm="1">
        <f t="array" ref="M40">Fertiliser_Equations_InorganicN2O.VEERG_5_1_1_2__1_EmissionFactorIrrigatedMaize_Source()</f>
        <v>VEERG 2026: 5.1.1.2, Equation (1)</v>
      </c>
    </row>
    <row r="41" spans="1:24" ht="20.100000000000001" customHeight="1" x14ac:dyDescent="0.2">
      <c r="A41" s="5" t="str">
        <f>HYPERLINK("#'5.3.1.1-2 Lime CO2'!A1", "5.3.1.1-2 Lime CO2")</f>
        <v>5.3.1.1-2 Lime CO2</v>
      </c>
      <c r="D41" s="17" t="str" cm="1">
        <f t="array" ref="D41">Fertiliser_Equations_InorganicN2O.VEERG_5_1_1_1__1_InorganicFertiliserApplicationN2OEmissions_Source()</f>
        <v>VEERG 2026: 5.1.1.1, Equation (1)</v>
      </c>
    </row>
    <row r="42" spans="1:24" ht="20.100000000000001" customHeight="1" x14ac:dyDescent="0.2">
      <c r="A42" s="5" t="str">
        <f>HYPERLINK("#'5.4.1.1-4 Atmos deposition'!A1", "5.4.1.1-4 Atmos deposition")</f>
        <v>5.4.1.1-4 Atmos deposition</v>
      </c>
      <c r="D42" s="112" t="s">
        <v>321</v>
      </c>
      <c r="E42" s="112" t="str" cm="1">
        <f t="array" aca="1" ref="E42" ca="1">Common_InputFunctions.Utility_DisplayFunctionName($E$60)</f>
        <v>=Fertiliser_Equations_InorganicN2O.VEERG_5_1_1_1__1_InorganicFertiliserApplicationN2OEmissions</v>
      </c>
      <c r="F42" s="16"/>
    </row>
    <row r="43" spans="1:24" ht="20.100000000000001" customHeight="1" x14ac:dyDescent="0.2">
      <c r="A43" s="5" t="str">
        <f>HYPERLINK("#'5.5.1.1-2 Leaching and runoff'!A1", "5.5.1.1-2 Leaching and runoff")</f>
        <v>5.5.1.1-2 Leaching and runoff</v>
      </c>
      <c r="F43" s="16"/>
      <c r="M43" s="75" t="s">
        <v>322</v>
      </c>
      <c r="N43" s="1" t="str" cm="1">
        <f t="array" ref="N43">Fertiliser_Equations_InorganicN2O.VEERG_5_1_1_2__1_EmissionFactorIrrigatedMaize_Variable()</f>
        <v>EF_fjIrrigatedMaizeN2O</v>
      </c>
    </row>
    <row r="44" spans="1:24" ht="20.100000000000001" customHeight="1" x14ac:dyDescent="0.2">
      <c r="F44" s="16"/>
      <c r="M44" s="75" t="s">
        <v>118</v>
      </c>
      <c r="N44" s="9" t="str" cm="1">
        <f t="array" ref="N44">Fertiliser_Equations_InorganicN2O.VEERG_5_1_1_2__1_EmissionFactorIrrigatedMaize_Unit()</f>
        <v>kg N2O-N/kg N applied</v>
      </c>
    </row>
    <row r="45" spans="1:24" ht="20.100000000000001" customHeight="1" x14ac:dyDescent="0.2">
      <c r="F45" s="16"/>
    </row>
    <row r="46" spans="1:24" ht="20.100000000000001" customHeight="1" x14ac:dyDescent="0.2">
      <c r="A46" s="80" t="s">
        <v>1</v>
      </c>
      <c r="D46" s="75" t="s">
        <v>322</v>
      </c>
      <c r="E46" s="1" t="str" cm="1">
        <f t="array" ref="E46">Fertiliser_Equations_InorganicN2O.VEERG_5_1_1_1__1_InorganicFertiliserApplicationN2OEmissions_Variable()</f>
        <v>E_N2O</v>
      </c>
      <c r="F46" s="16"/>
      <c r="M46" s="124" t="str" cm="1">
        <f t="array" ref="M46:N47">_xlfn.CHOOSECOLS(Fertiliser_Equations_InorganicN2O.VEERG_5_1_1_2__1_EmissionFactorIrrigatedMaize_Arguments(), 1, 2)</f>
        <v>N_fjIrrigatedMaize</v>
      </c>
      <c r="N46" s="126" t="str">
        <v>application rate of inorganic fertiliser type f in the irrigated maize crop</v>
      </c>
      <c r="O46" s="225"/>
      <c r="P46" s="124" t="str" cm="1">
        <f t="array" ref="P46:Q47">_xlfn.CHOOSECOLS(Fertiliser_Equations_InorganicN2O.VEERG_5_1_1_2__1_EmissionFactorIrrigatedMaize_Arguments(), 3,4)</f>
        <v>kg N/ha</v>
      </c>
      <c r="Q46" s="114" t="str">
        <v>Input</v>
      </c>
      <c r="R46" s="121">
        <f>$N$35</f>
        <v>182.82499999999999</v>
      </c>
      <c r="S46" s="226"/>
    </row>
    <row r="47" spans="1:24" ht="20.100000000000001" customHeight="1" x14ac:dyDescent="0.2">
      <c r="A47" s="5" t="str">
        <f>HYPERLINK("#'Constants - Feedlot'!A1", "Constants - Feedlot")</f>
        <v>Constants - Feedlot</v>
      </c>
      <c r="D47" s="75" t="s">
        <v>118</v>
      </c>
      <c r="E47" s="9" t="str" cm="1">
        <f t="array" ref="E47">Fertiliser_Equations_InorganicN2O.VEERG_5_1_1_1__1_InorganicFertiliserApplicationN2OEmissions_Unit()</f>
        <v>t N2O</v>
      </c>
      <c r="F47" s="16"/>
      <c r="M47" s="124" t="str">
        <v>f</v>
      </c>
      <c r="N47" s="126" t="str">
        <v>Inorganic fertiliser type</v>
      </c>
      <c r="O47" s="225"/>
      <c r="P47" s="124" t="str">
        <v/>
      </c>
      <c r="Q47" s="115" t="str">
        <v>Constant</v>
      </c>
      <c r="R47" s="126" t="s">
        <v>765</v>
      </c>
      <c r="S47" s="226"/>
    </row>
    <row r="48" spans="1:24" ht="20.100000000000001" customHeight="1" x14ac:dyDescent="0.2">
      <c r="A48" s="5" t="str">
        <f>HYPERLINK("#'Constants - Common livestock'!A1", "Constants - Common Livestock")</f>
        <v>Constants - Common Livestock</v>
      </c>
      <c r="F48" s="16"/>
    </row>
    <row r="49" spans="1:19" ht="20.100000000000001" customHeight="1" x14ac:dyDescent="0.2">
      <c r="A49" s="5" t="str">
        <f>HYPERLINK("#'Constants - Electricity'!A1", "Constants - Electricity")</f>
        <v>Constants - Electricity</v>
      </c>
      <c r="D49" s="124" t="str" cm="1">
        <f t="array" ref="D49:E55">_xlfn.CHOOSECOLS(Fertiliser_Equations_InorganicN2O.VEERG_5_1_1_1__1_InorganicFertiliserApplicationN2OEmissions_Arguments(), 1, 2)</f>
        <v>MN_jf</v>
      </c>
      <c r="E49" s="126" t="str">
        <v>mass of nitrogen in inorganic fertiliser type f applied to production system j</v>
      </c>
      <c r="F49" s="225"/>
      <c r="G49" s="124" t="str" cm="1">
        <f t="array" ref="G49:H55">_xlfn.CHOOSECOLS(Fertiliser_Equations_InorganicN2O.VEERG_5_1_1_1__1_InorganicFertiliserApplicationN2OEmissions_Arguments(), 3,4)</f>
        <v>kg N</v>
      </c>
      <c r="H49" s="115" t="str">
        <v>Calculated from 5.1.1.1 (2)</v>
      </c>
      <c r="I49" s="116" t="str" cm="1">
        <f t="array" aca="1" ref="I49" ca="1">HYPERLINK(Common_InputFunctions.Utility_SourceHyperlink(D16), D16)</f>
        <v>Table_MN_j_f</v>
      </c>
      <c r="M49" s="1" t="s">
        <v>766</v>
      </c>
      <c r="N49" s="1" cm="1">
        <f t="array" ref="N49">Fertiliser_Equations_InorganicN2O.VEERG_5_1_1_2__1_EmissionFactorIrrigatedMaize(R46)</f>
        <v>9.6783250000000015E-3</v>
      </c>
      <c r="O49" s="9" t="str">
        <f>N44</f>
        <v>kg N2O-N/kg N applied</v>
      </c>
    </row>
    <row r="50" spans="1:19" ht="20.100000000000001" customHeight="1" x14ac:dyDescent="0.2">
      <c r="A50" s="5" t="str">
        <f>HYPERLINK("#'Constants - Fertiliser'!A1", "Constants - Fertiliser")</f>
        <v>Constants - Fertiliser</v>
      </c>
      <c r="D50" s="124" t="str">
        <v>EF_jN2O</v>
      </c>
      <c r="E50" s="126" t="str">
        <v>emission factor for nitrous oxide for inorganic fertilisers</v>
      </c>
      <c r="F50" s="225"/>
      <c r="G50" s="124" t="str">
        <v>kg N2O-N/kg N applied</v>
      </c>
      <c r="H50" s="115" t="str">
        <v>Constant</v>
      </c>
      <c r="I50" s="124">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1:19" ht="20.100000000000001" customHeight="1" x14ac:dyDescent="0.2">
      <c r="A51" s="5" t="str">
        <f>HYPERLINK("#'Constants - Fuel'!A1", "Constants - Fuel")</f>
        <v>Constants - Fuel</v>
      </c>
      <c r="D51" s="124" t="str">
        <v>C_N2O</v>
      </c>
      <c r="E51" s="126" t="str">
        <v>factor to convert elemental mass of nitrous oxide to molecular mass</v>
      </c>
      <c r="F51" s="225"/>
      <c r="G51" s="124" t="str">
        <v/>
      </c>
      <c r="H51" s="115" t="str">
        <v>Constant</v>
      </c>
      <c r="I51" s="124">
        <f>Common_InputFunctions.Utility_LookupValueInTableNumber("N2O",Table_GasToMolecularConversionFactor[Gas],Table_GasToMolecularConversionFactor[Conversion factor combined])</f>
        <v>1.5714285714285714</v>
      </c>
    </row>
    <row r="52" spans="1:19" ht="20.100000000000001" customHeight="1" x14ac:dyDescent="0.2">
      <c r="A52" s="5" t="str">
        <f>HYPERLINK("#'Constants - Scope 3'!A1", "Constants - Scope 3")</f>
        <v>Constants - Scope 3</v>
      </c>
      <c r="D52" s="124" t="str">
        <v>j</v>
      </c>
      <c r="E52" s="126" t="str">
        <v>Production system</v>
      </c>
      <c r="F52" s="225"/>
      <c r="G52" s="124" t="str">
        <v/>
      </c>
      <c r="H52" s="114" t="str">
        <v>Input</v>
      </c>
      <c r="I52" s="124" t="str">
        <f>X_Cell_Fertiliser_ProductionSystem</f>
        <v>Crop</v>
      </c>
    </row>
    <row r="53" spans="1:19" ht="20.100000000000001" customHeight="1" x14ac:dyDescent="0.2">
      <c r="A53" s="5" t="str">
        <f>HYPERLINK("#'Constants - Solid Waste'!A1", "Constants - Solid Waste")</f>
        <v>Constants - Solid Waste</v>
      </c>
      <c r="D53" s="124" t="str">
        <v>f</v>
      </c>
      <c r="E53" s="126" t="str">
        <v>Inorganic fertiliser type</v>
      </c>
      <c r="F53" s="225"/>
      <c r="G53" s="124" t="str">
        <v/>
      </c>
      <c r="H53" s="115" t="str">
        <v>Constant</v>
      </c>
      <c r="I53" s="124" t="str">
        <f>"See " &amp; D57</f>
        <v>See M1_Table_E_N2O</v>
      </c>
      <c r="M53" s="2" t="str" cm="1">
        <f t="array" ref="M53">Fertiliser_Equations_InorganicN2O.VEERG_5_1_1_2__2_EmissionFactorNonIrrigatedGrainsHighRainfall_Title()</f>
        <v>Emission factor for nitrous oxide for non-irrigated grains in high rainfall zone</v>
      </c>
    </row>
    <row r="54" spans="1:19" ht="20.100000000000001" customHeight="1" x14ac:dyDescent="0.2">
      <c r="A54" s="5" t="str">
        <f>HYPERLINK("#'Constants - Common'!A1", "Constants - Common")</f>
        <v>Constants - Common</v>
      </c>
      <c r="D54" s="124" t="str">
        <v>ir</v>
      </c>
      <c r="E54" s="126" t="str">
        <v>irrigation method</v>
      </c>
      <c r="F54" s="225"/>
      <c r="G54" s="124" t="str">
        <v/>
      </c>
      <c r="H54" s="114" t="str">
        <v>Input</v>
      </c>
      <c r="I54" s="124" t="str">
        <f>X_Cell_Fertiliser_IrrigationMethod</f>
        <v>Drip irrigation</v>
      </c>
      <c r="M54" s="17" t="str" cm="1">
        <f t="array" ref="M54">Fertiliser_Equations_InorganicN2O.VEERG_5_1_1_2__2_EmissionFactorNonIrrigatedGrainsHighRainfall_Source()</f>
        <v>VEERG 2026: 5.1.1.2, Equation (2)</v>
      </c>
    </row>
    <row r="55" spans="1:19" ht="20.100000000000001" customHeight="1" x14ac:dyDescent="0.2">
      <c r="A55" s="5" t="str">
        <f>HYPERLINK("#'Acknowledgements'!A1", "Acknowledgements")</f>
        <v>Acknowledgements</v>
      </c>
      <c r="D55" s="124" t="str">
        <v>z</v>
      </c>
      <c r="E55" s="126" t="str">
        <v>rainfall zone</v>
      </c>
      <c r="F55" s="225"/>
      <c r="G55" s="124" t="str">
        <v/>
      </c>
      <c r="H55" s="114" t="str">
        <v>Input</v>
      </c>
      <c r="I55" s="124" t="str">
        <f>X_Cell_Site_RainfallZone</f>
        <v>High rainfall</v>
      </c>
    </row>
    <row r="56" spans="1:19" ht="20.100000000000001" customHeight="1" x14ac:dyDescent="0.2">
      <c r="F56" s="16"/>
    </row>
    <row r="57" spans="1:19" ht="20.100000000000001" customHeight="1" x14ac:dyDescent="0.2">
      <c r="D57" s="118" t="s">
        <v>767</v>
      </c>
      <c r="F57" s="16"/>
      <c r="M57" s="75" t="s">
        <v>322</v>
      </c>
      <c r="N57" s="1" t="str" cm="1">
        <f t="array" ref="N57">Fertiliser_Equations_InorganicN2O.VEERG_5_1_1_2__2_EmissionFactorNonIrrigatedGrainsHighRainfall_Variable()</f>
        <v>EF_fjNonIrrigatedGrainsN2O</v>
      </c>
    </row>
    <row r="58" spans="1:19" ht="20.100000000000001" customHeight="1" x14ac:dyDescent="0.2">
      <c r="D58" s="119" t="s">
        <v>768</v>
      </c>
      <c r="F58" s="16"/>
      <c r="M58" s="75" t="s">
        <v>118</v>
      </c>
      <c r="N58" s="9" t="str" cm="1">
        <f t="array" ref="N58">Fertiliser_Equations_InorganicN2O.VEERG_5_1_1_2__2_EmissionFactorNonIrrigatedGrainsHighRainfall_Unit()</f>
        <v>kg N2O-N/kg N applied</v>
      </c>
    </row>
    <row r="59" spans="1:19" ht="20.100000000000001" customHeight="1" x14ac:dyDescent="0.2">
      <c r="D59" s="120" t="s">
        <v>757</v>
      </c>
      <c r="E59" s="120" t="s">
        <v>769</v>
      </c>
    </row>
    <row r="60" spans="1:19" ht="20.100000000000001" customHeight="1" x14ac:dyDescent="0.2">
      <c r="D60" s="15" t="str" cm="1">
        <f t="array" ref="D60:D78">Table_Fertiliser_ChemicalCompounds[Fertiliser type f]</f>
        <v>Monoammonium phosphate (MAP)</v>
      </c>
      <c r="E60" s="15" cm="1">
        <f t="array" ref="E60">Fertiliser_Equations_InorganicN2O.VEERG_5_1_1_1__1_InorganicFertiliserApplicationN2OEmissions(G19,$I$50,$I$51)</f>
        <v>0</v>
      </c>
      <c r="F60" s="16" t="str">
        <f>E47</f>
        <v>t N2O</v>
      </c>
      <c r="M60" s="124" t="str" cm="1">
        <f t="array" ref="M60:N61">_xlfn.CHOOSECOLS(Fertiliser_Equations_InorganicN2O.VEERG_5_1_1_2__2_EmissionFactorNonIrrigatedGrainsHighRainfall_Arguments(), 1, 2)</f>
        <v>N_fjNonIrrigatedGrains</v>
      </c>
      <c r="N60" s="126" t="str">
        <v>application rate of inorganic fertiliser type f in the grains crop</v>
      </c>
      <c r="O60" s="225"/>
      <c r="P60" s="124" t="str" cm="1">
        <f t="array" ref="P60:Q61">_xlfn.CHOOSECOLS(Fertiliser_Equations_InorganicN2O.VEERG_5_1_1_2__2_EmissionFactorNonIrrigatedGrainsHighRainfall_Arguments(), 3,4)</f>
        <v>kg N/ha</v>
      </c>
      <c r="Q60" s="114" t="str">
        <v>Input</v>
      </c>
      <c r="R60" s="121">
        <f>$N$35</f>
        <v>182.82499999999999</v>
      </c>
      <c r="S60" s="226"/>
    </row>
    <row r="61" spans="1:19" ht="20.100000000000001" customHeight="1" x14ac:dyDescent="0.2">
      <c r="D61" s="15" t="str">
        <v>Diammonium phosphate (DAP)</v>
      </c>
      <c r="E61" s="15" cm="1">
        <f t="array" ref="E61">Fertiliser_Equations_InorganicN2O.VEERG_5_1_1_1__1_InorganicFertiliserApplicationN2OEmissions(G20,$I$50,$I$51)</f>
        <v>0</v>
      </c>
      <c r="M61" s="124" t="str">
        <v>f</v>
      </c>
      <c r="N61" s="126" t="str">
        <v>Inorganic fertiliser type</v>
      </c>
      <c r="O61" s="225"/>
      <c r="P61" s="124" t="str">
        <v/>
      </c>
      <c r="Q61" s="115" t="str">
        <v>Constant</v>
      </c>
      <c r="R61" s="126" t="s">
        <v>765</v>
      </c>
      <c r="S61" s="224"/>
    </row>
    <row r="62" spans="1:19" ht="20.100000000000001" customHeight="1" x14ac:dyDescent="0.2">
      <c r="D62" s="15" t="str">
        <v>Urea</v>
      </c>
      <c r="E62" s="15" cm="1">
        <f t="array" ref="E62">Fertiliser_Equations_InorganicN2O.VEERG_5_1_1_1__1_InorganicFertiliserApplicationN2OEmissions(G21,$I$50,$I$51)</f>
        <v>0.12759999340000003</v>
      </c>
    </row>
    <row r="63" spans="1:19" ht="20.100000000000001" customHeight="1" x14ac:dyDescent="0.2">
      <c r="D63" s="15" t="str">
        <v>Sulphate of ammonia (SOA)</v>
      </c>
      <c r="E63" s="15" cm="1">
        <f t="array" ref="E63">Fertiliser_Equations_InorganicN2O.VEERG_5_1_1_1__1_InorganicFertiliserApplicationN2OEmissions(G22,$I$50,$I$51)</f>
        <v>0</v>
      </c>
      <c r="M63" s="75" t="s">
        <v>770</v>
      </c>
      <c r="N63" s="1" cm="1">
        <f t="array" ref="N63">Fertiliser_Equations_InorganicN2O.VEERG_5_1_1_2__2_EmissionFactorNonIrrigatedGrainsHighRainfall(R60)</f>
        <v>1.4492874999999999E-2</v>
      </c>
      <c r="O63" s="9" t="str">
        <f>N58</f>
        <v>kg N2O-N/kg N applied</v>
      </c>
    </row>
    <row r="64" spans="1:19" ht="20.100000000000001" customHeight="1" x14ac:dyDescent="0.2">
      <c r="D64" s="15" t="str">
        <v>Urea-ammonium nitrate (UAN)</v>
      </c>
      <c r="E64" s="15" cm="1">
        <f t="array" ref="E64">Fertiliser_Equations_InorganicN2O.VEERG_5_1_1_1__1_InorganicFertiliserApplicationN2OEmissions(G23,$I$50,$I$51)</f>
        <v>0</v>
      </c>
    </row>
    <row r="65" spans="1:20" ht="20.100000000000001" customHeight="1" x14ac:dyDescent="0.2">
      <c r="D65" s="15" t="str">
        <v>Ammonium nitrate (AN)</v>
      </c>
      <c r="E65" s="15" cm="1">
        <f t="array" ref="E65">Fertiliser_Equations_InorganicN2O.VEERG_5_1_1_1__1_InorganicFertiliserApplicationN2OEmissions(G24,$I$50,$I$51)</f>
        <v>0</v>
      </c>
    </row>
    <row r="66" spans="1:20" ht="20.100000000000001" customHeight="1" x14ac:dyDescent="0.2">
      <c r="A66" s="79" t="str">
        <f>HYPERLINK("#A1", "▲ Back to top")</f>
        <v>▲ Back to top</v>
      </c>
      <c r="D66" s="15" t="str">
        <v>Calcium ammonium nitrate (CAN)</v>
      </c>
      <c r="E66" s="15" cm="1">
        <f t="array" ref="E66">Fertiliser_Equations_InorganicN2O.VEERG_5_1_1_1__1_InorganicFertiliserApplicationN2OEmissions(G25,$I$50,$I$51)</f>
        <v>0</v>
      </c>
      <c r="M66" s="2" t="str" cm="1">
        <f t="array" ref="M66">Fertiliser_Equations_InorganicN2O.VEERG_5_1_1_2__3_EmissionFactorCotton_Title()</f>
        <v>Emission factor for nitrous oxide for cotton</v>
      </c>
    </row>
    <row r="67" spans="1:20" ht="20.100000000000001" customHeight="1" x14ac:dyDescent="0.2">
      <c r="D67" s="15" t="str">
        <v>Nitrogen - Ammoniacal</v>
      </c>
      <c r="E67" s="15" cm="1">
        <f t="array" ref="E67">Fertiliser_Equations_InorganicN2O.VEERG_5_1_1_1__1_InorganicFertiliserApplicationN2OEmissions(G26,$I$50,$I$51)</f>
        <v>1.3639999999999999E-2</v>
      </c>
      <c r="M67" s="17" t="str" cm="1">
        <f t="array" ref="M67">Fertiliser_Equations_InorganicN2O.VEERG_5_1_1_2__3_EmissionFactorCotton_Source()</f>
        <v>VEERG 2026: 5.1.1.2, Equation (3)</v>
      </c>
    </row>
    <row r="68" spans="1:20" ht="20.100000000000001" customHeight="1" x14ac:dyDescent="0.2">
      <c r="D68" s="15" t="str">
        <v>Nitrogen - Nitrate</v>
      </c>
      <c r="E68" s="15" cm="1">
        <f t="array" ref="E68">Fertiliser_Equations_InorganicN2O.VEERG_5_1_1_1__1_InorganicFertiliserApplicationN2OEmissions(G27,$I$50,$I$51)</f>
        <v>6.0499999999999998E-3</v>
      </c>
    </row>
    <row r="69" spans="1:20" ht="20.100000000000001" customHeight="1" x14ac:dyDescent="0.2">
      <c r="D69" s="15" t="str">
        <v>Nitrogen - Generic</v>
      </c>
      <c r="E69" s="15" cm="1">
        <f t="array" ref="E69">Fertiliser_Equations_InorganicN2O.VEERG_5_1_1_1__1_InorganicFertiliserApplicationN2OEmissions(G28,$I$50,$I$51)</f>
        <v>0</v>
      </c>
    </row>
    <row r="70" spans="1:20" ht="20.100000000000001" customHeight="1" x14ac:dyDescent="0.2">
      <c r="D70" s="15" t="str">
        <v>Phosphorus - Generic</v>
      </c>
      <c r="E70" s="15" cm="1">
        <f t="array" ref="E70">Fertiliser_Equations_InorganicN2O.VEERG_5_1_1_1__1_InorganicFertiliserApplicationN2OEmissions(G29,$I$50,$I$51)</f>
        <v>0</v>
      </c>
    </row>
    <row r="71" spans="1:20" ht="20.100000000000001" customHeight="1" x14ac:dyDescent="0.2">
      <c r="D71" s="15" t="str">
        <v>Potassium - Generic</v>
      </c>
      <c r="E71" s="15" cm="1">
        <f t="array" ref="E71">Fertiliser_Equations_InorganicN2O.VEERG_5_1_1_1__1_InorganicFertiliserApplicationN2OEmissions(G30,$I$50,$I$51)</f>
        <v>0</v>
      </c>
      <c r="M71" s="75" t="s">
        <v>322</v>
      </c>
      <c r="N71" s="1" t="str" cm="1">
        <f t="array" ref="N71">Fertiliser_Equations_InorganicN2O.VEERG_5_1_1_2__3_EmissionFactorCotton_Variable()</f>
        <v>EF_fjCottonN2O</v>
      </c>
    </row>
    <row r="72" spans="1:20" ht="20.100000000000001" customHeight="1" x14ac:dyDescent="0.2">
      <c r="D72" s="15" t="str">
        <v>Sulfur - Generic</v>
      </c>
      <c r="E72" s="15" cm="1">
        <f t="array" ref="E72">Fertiliser_Equations_InorganicN2O.VEERG_5_1_1_1__1_InorganicFertiliserApplicationN2OEmissions(G31,$I$50,$I$51)</f>
        <v>0</v>
      </c>
      <c r="M72" s="75" t="s">
        <v>118</v>
      </c>
      <c r="N72" s="9" t="str" cm="1">
        <f t="array" ref="N72">Fertiliser_Equations_InorganicN2O.VEERG_5_1_1_2__3_EmissionFactorCotton_Unit()</f>
        <v>kg N2O-N/kg N applied</v>
      </c>
    </row>
    <row r="73" spans="1:20" ht="20.100000000000001" customHeight="1" x14ac:dyDescent="0.2">
      <c r="D73" s="15" t="str">
        <v>Zinc - Generic</v>
      </c>
      <c r="E73" s="15" cm="1">
        <f t="array" ref="E73">Fertiliser_Equations_InorganicN2O.VEERG_5_1_1_1__1_InorganicFertiliserApplicationN2OEmissions(G32,$I$50,$I$51)</f>
        <v>0</v>
      </c>
    </row>
    <row r="74" spans="1:20" ht="20.100000000000001" customHeight="1" x14ac:dyDescent="0.2">
      <c r="D74" s="15" t="str">
        <v>Muriate of potash (MOP)</v>
      </c>
      <c r="E74" s="15" cm="1">
        <f t="array" ref="E74">Fertiliser_Equations_InorganicN2O.VEERG_5_1_1_1__1_InorganicFertiliserApplicationN2OEmissions(G33,$I$50,$I$51)</f>
        <v>0</v>
      </c>
      <c r="M74" s="222" t="s">
        <v>771</v>
      </c>
      <c r="N74" s="222"/>
      <c r="O74" s="222"/>
      <c r="P74" s="222"/>
      <c r="Q74" s="222"/>
      <c r="R74" s="222"/>
      <c r="S74" s="222"/>
      <c r="T74" s="222"/>
    </row>
    <row r="75" spans="1:20" ht="20.100000000000001" customHeight="1" x14ac:dyDescent="0.2">
      <c r="D75" s="15" t="str">
        <v>Double superphosphate</v>
      </c>
      <c r="E75" s="15" cm="1">
        <f t="array" ref="E75">Fertiliser_Equations_InorganicN2O.VEERG_5_1_1_1__1_InorganicFertiliserApplicationN2OEmissions(G34,$I$50,$I$51)</f>
        <v>0</v>
      </c>
    </row>
    <row r="76" spans="1:20" ht="20.100000000000001" customHeight="1" x14ac:dyDescent="0.2">
      <c r="D76" s="15" t="str">
        <v>Single superphosphate (SSP)</v>
      </c>
      <c r="E76" s="15" cm="1">
        <f t="array" ref="E76">Fertiliser_Equations_InorganicN2O.VEERG_5_1_1_1__1_InorganicFertiliserApplicationN2OEmissions(G35,$I$50,$I$51)</f>
        <v>0</v>
      </c>
      <c r="M76" s="124" t="str" cm="1">
        <f t="array" ref="M76:N77">_xlfn.CHOOSECOLS(Fertiliser_Equations_InorganicN2O.VEERG_5_1_1_2__3_EmissionFactorCotton_Arguments(), 1, 2)</f>
        <v>N_fjCotton</v>
      </c>
      <c r="N76" s="126" t="str">
        <v>application rate of inorganic fertiliser type f in the cotton crop</v>
      </c>
      <c r="O76" s="225"/>
      <c r="P76" s="126" t="str" cm="1">
        <f t="array" ref="P76:Q77">_xlfn.CHOOSECOLS(Fertiliser_Equations_InorganicN2O.VEERG_5_1_1_2__3_EmissionFactorCotton_Arguments(), 3,4)</f>
        <v>kg N/ha</v>
      </c>
      <c r="Q76" s="114" t="str">
        <v>Input</v>
      </c>
      <c r="R76" s="121">
        <f>MIN(300, $N$35)</f>
        <v>182.82499999999999</v>
      </c>
      <c r="S76" s="226"/>
    </row>
    <row r="77" spans="1:20" ht="20.100000000000001" customHeight="1" x14ac:dyDescent="0.2">
      <c r="D77" s="15" t="str">
        <v>Ammonia</v>
      </c>
      <c r="E77" s="15" cm="1">
        <f t="array" ref="E77">Fertiliser_Equations_InorganicN2O.VEERG_5_1_1_1__1_InorganicFertiliserApplicationN2OEmissions(G36,$I$50,$I$51)</f>
        <v>4.5292500000000006E-2</v>
      </c>
      <c r="M77" s="124" t="str">
        <v>f</v>
      </c>
      <c r="N77" s="126" t="str">
        <v>Inorganic fertiliser type</v>
      </c>
      <c r="O77" s="225"/>
      <c r="P77" s="126" t="str">
        <v/>
      </c>
      <c r="Q77" s="115" t="str">
        <v>Constant</v>
      </c>
      <c r="R77" s="126" t="s">
        <v>765</v>
      </c>
      <c r="S77" s="224"/>
    </row>
    <row r="78" spans="1:20" ht="20.100000000000001" customHeight="1" x14ac:dyDescent="0.2">
      <c r="D78" s="15" t="str">
        <v>Calcium nitrate</v>
      </c>
      <c r="E78" s="15" cm="1">
        <f t="array" ref="E78">Fertiliser_Equations_InorganicN2O.VEERG_5_1_1_1__1_InorganicFertiliserApplicationN2OEmissions(G37,$I$50,$I$51)</f>
        <v>8.5250000000000013E-3</v>
      </c>
    </row>
    <row r="79" spans="1:20" ht="20.100000000000001" customHeight="1" x14ac:dyDescent="0.2">
      <c r="M79" s="75" t="s">
        <v>770</v>
      </c>
      <c r="N79" s="1" cm="1">
        <f t="array" ref="N79">Fertiliser_Equations_InorganicN2O.VEERG_5_1_1_2__3_EmissionFactorCotton(R76)</f>
        <v>3.231403335233797E-5</v>
      </c>
      <c r="O79" s="9" t="str">
        <f>N72</f>
        <v>kg N2O-N/kg N applied</v>
      </c>
    </row>
    <row r="80" spans="1:20" ht="20.100000000000001" customHeight="1" x14ac:dyDescent="0.2">
      <c r="D80" s="85" t="s">
        <v>772</v>
      </c>
      <c r="E80" s="86">
        <f>SUM(E60:E78)</f>
        <v>0.20110749340000006</v>
      </c>
      <c r="F80" s="95" t="str">
        <f>$E$47</f>
        <v>t N2O</v>
      </c>
    </row>
    <row r="82" spans="1:24" ht="20.100000000000001" customHeight="1" x14ac:dyDescent="0.2">
      <c r="D82" s="124" t="str" cm="1">
        <f t="array" ref="D82:E83">Common_Equations.Common_ConvertN2OToCO2e_Arguments()</f>
        <v>EN2O</v>
      </c>
      <c r="E82" s="126" t="str">
        <v>Nitrous oxide emissions (t N2O)</v>
      </c>
      <c r="F82" s="127"/>
      <c r="G82" s="15">
        <f>VEERG_5_1_1_1__1_InorganicFertiliserApplicationN2OEmissions_Result_Method1</f>
        <v>0.20110749340000006</v>
      </c>
      <c r="L82" s="83"/>
      <c r="M82" s="83"/>
      <c r="N82" s="83"/>
      <c r="O82" s="83"/>
      <c r="P82" s="83"/>
      <c r="Q82" s="83"/>
      <c r="R82" s="83"/>
      <c r="S82" s="83"/>
      <c r="T82" s="83"/>
      <c r="U82" s="83"/>
      <c r="V82" s="83"/>
      <c r="W82" s="83"/>
      <c r="X82" s="83"/>
    </row>
    <row r="83" spans="1:24" ht="20.100000000000001" customHeight="1" x14ac:dyDescent="0.2">
      <c r="D83" s="124" t="str">
        <v>GWPN2O</v>
      </c>
      <c r="E83" s="126" t="str">
        <v>Global warming potential for nitrous oxide (t CO2-e / t N2O)</v>
      </c>
      <c r="F83" s="127"/>
      <c r="G83" s="15">
        <f>Common_InputFunctions.Utility_LookupValueInTableNumber("N2O",Table_GWPData[Gas],Table_GWPData[CO2-e factor])</f>
        <v>265</v>
      </c>
      <c r="M83" s="2" t="str" cm="1">
        <f t="array" ref="M83">Fertiliser_Equations_InorganicN2O.VEERG_5_1_1_1__1_InorganicFertiliserApplicationN2OEmissions_Title()</f>
        <v>Nitrous oxide emissions from the application of all inorganic fertiliser types f to all production systems j</v>
      </c>
    </row>
    <row r="84" spans="1:24" ht="20.100000000000001" customHeight="1" x14ac:dyDescent="0.2">
      <c r="M84" s="17" t="str" cm="1">
        <f t="array" ref="M84">Fertiliser_Equations_InorganicN2O.VEERG_5_1_1_1__1_InorganicFertiliserApplicationN2OEmissions_Source()</f>
        <v>VEERG 2026: 5.1.1.1, Equation (1)</v>
      </c>
    </row>
    <row r="85" spans="1:24" ht="20.100000000000001" customHeight="1" x14ac:dyDescent="0.2">
      <c r="D85" s="83" t="s">
        <v>428</v>
      </c>
      <c r="E85" s="83" cm="1">
        <f t="array" ref="E85">Common_Equations.Common_ConvertN2OToCO2e(G82,G83)</f>
        <v>53.293485751000013</v>
      </c>
      <c r="F85" s="89" t="str" cm="1">
        <f t="array" ref="F85">Common_Equations.Common_ConvertN2OToCO2e_Unit()</f>
        <v>t CO2e</v>
      </c>
      <c r="M85" s="112" t="s">
        <v>321</v>
      </c>
      <c r="N85" s="112" t="str" cm="1">
        <f t="array" aca="1" ref="N85" ca="1">Common_InputFunctions.Utility_DisplayFunctionName($E$60)</f>
        <v>=Fertiliser_Equations_InorganicN2O.VEERG_5_1_1_1__1_InorganicFertiliserApplicationN2OEmissions</v>
      </c>
    </row>
    <row r="89" spans="1:24" ht="20.100000000000001" customHeight="1" x14ac:dyDescent="0.2">
      <c r="M89" s="75" t="s">
        <v>322</v>
      </c>
      <c r="N89" s="1" t="str" cm="1">
        <f t="array" ref="N89">Fertiliser_Equations_InorganicN2O.VEERG_5_1_1_1__1_InorganicFertiliserApplicationN2OEmissions_Variable()</f>
        <v>E_N2O</v>
      </c>
    </row>
    <row r="90" spans="1:24" ht="20.100000000000001" customHeight="1" x14ac:dyDescent="0.2">
      <c r="M90" s="75" t="s">
        <v>118</v>
      </c>
      <c r="N90" s="9" t="str" cm="1">
        <f t="array" ref="N90">Fertiliser_Equations_InorganicN2O.VEERG_5_1_1_1__1_InorganicFertiliserApplicationN2OEmissions_Unit()</f>
        <v>t N2O</v>
      </c>
    </row>
    <row r="92" spans="1:24" ht="20.100000000000001" customHeight="1" x14ac:dyDescent="0.2">
      <c r="M92" s="124" t="str" cm="1">
        <f t="array" ref="M92:N99">_xlfn.CHOOSECOLS(Fertiliser_Equations_InorganicN2O.VEERG_5_1_1_1__1_InorganicFertiliserApplicationN2OEmissions_Arguments_Method2(), 1, 2)</f>
        <v>MN_jf</v>
      </c>
      <c r="N92" s="126" t="str">
        <v>mass of nitrogen in inorganic fertiliser type f applied to production system j</v>
      </c>
      <c r="O92" s="225"/>
      <c r="P92" s="224"/>
      <c r="Q92" s="124" t="str" cm="1">
        <f t="array" ref="Q92:R99">_xlfn.CHOOSECOLS(Fertiliser_Equations_InorganicN2O.VEERG_5_1_1_1__1_InorganicFertiliserApplicationN2OEmissions_Arguments_Method2(), 3,4)</f>
        <v>kg N</v>
      </c>
      <c r="R92" s="115" t="str">
        <v>Calculated from 5.1.1.1 (2)</v>
      </c>
      <c r="S92" s="113">
        <f>N33</f>
        <v>18282.5</v>
      </c>
    </row>
    <row r="93" spans="1:24" ht="20.100000000000001" customHeight="1" x14ac:dyDescent="0.2">
      <c r="M93" s="124" t="str">
        <v>EF_jN2O</v>
      </c>
      <c r="N93" s="126" t="str">
        <v>emission factor for nitrous oxide for inorganic fertilisers</v>
      </c>
      <c r="O93" s="225"/>
      <c r="P93" s="224"/>
      <c r="Q93" s="124" t="str">
        <v>kg N2O-N/kg N applied</v>
      </c>
      <c r="R93" s="115" t="str">
        <v>Calculated from 5.1.1.2 (1)(2)(3)</v>
      </c>
      <c r="S93" s="113">
        <f>_xlfn.XLOOKUP(TRUE,N105:N108,O105:O108)</f>
        <v>9.6783250000000015E-3</v>
      </c>
    </row>
    <row r="94" spans="1:24" ht="20.100000000000001" customHeight="1" x14ac:dyDescent="0.2">
      <c r="M94" s="124" t="str">
        <v>C_N2O</v>
      </c>
      <c r="N94" s="126" t="str">
        <v>factor to convert elemental mass of nitrous oxide to molecular mass</v>
      </c>
      <c r="O94" s="225"/>
      <c r="P94" s="224"/>
      <c r="Q94" s="124" t="str">
        <v/>
      </c>
      <c r="R94" s="115" t="str">
        <v>Constant</v>
      </c>
      <c r="S94" s="124">
        <f>Common_InputFunctions.Utility_LookupValueInTableNumber("N2O",Table_GasToMolecularConversionFactor[Gas],Table_GasToMolecularConversionFactor[Conversion factor combined])</f>
        <v>1.5714285714285714</v>
      </c>
    </row>
    <row r="95" spans="1:24" ht="20.100000000000001" customHeight="1" x14ac:dyDescent="0.2">
      <c r="M95" s="124" t="str">
        <v>j</v>
      </c>
      <c r="N95" s="126" t="str">
        <v>Production system</v>
      </c>
      <c r="O95" s="225"/>
      <c r="P95" s="224"/>
      <c r="Q95" s="124" t="str">
        <v/>
      </c>
      <c r="R95" s="114" t="str">
        <v>Input</v>
      </c>
      <c r="S95" s="124" t="str">
        <f>X_Cell_Fertiliser_ProductionSystem</f>
        <v>Crop</v>
      </c>
    </row>
    <row r="96" spans="1:24" ht="20.100000000000001" customHeight="1" x14ac:dyDescent="0.2">
      <c r="A96" s="79" t="str">
        <f>HYPERLINK("#A1", "▲ Back to top")</f>
        <v>▲ Back to top</v>
      </c>
      <c r="M96" s="124" t="str">
        <v>c</v>
      </c>
      <c r="N96" s="126" t="str">
        <v>Crop type</v>
      </c>
      <c r="O96" s="225"/>
      <c r="P96" s="224"/>
      <c r="Q96" s="124" t="str">
        <v/>
      </c>
      <c r="R96" s="114" t="str">
        <v>Input</v>
      </c>
      <c r="S96" s="124" t="str">
        <f>X_Cell_Fertiliser_CropType</f>
        <v>Maize</v>
      </c>
    </row>
    <row r="97" spans="13:19" ht="20.100000000000001" customHeight="1" x14ac:dyDescent="0.2">
      <c r="M97" s="124" t="str">
        <v>f</v>
      </c>
      <c r="N97" s="126" t="str">
        <v>Inorganic fertiliser type</v>
      </c>
      <c r="O97" s="225"/>
      <c r="P97" s="224"/>
      <c r="Q97" s="124" t="str">
        <v/>
      </c>
      <c r="R97" s="115" t="str">
        <v>Constant</v>
      </c>
      <c r="S97" s="124" t="s">
        <v>773</v>
      </c>
    </row>
    <row r="98" spans="13:19" ht="20.100000000000001" customHeight="1" x14ac:dyDescent="0.2">
      <c r="M98" s="124" t="str">
        <v>ir</v>
      </c>
      <c r="N98" s="126" t="str">
        <v>irrigation method</v>
      </c>
      <c r="O98" s="225"/>
      <c r="P98" s="224"/>
      <c r="Q98" s="124" t="str">
        <v/>
      </c>
      <c r="R98" s="114" t="str">
        <v>Input</v>
      </c>
      <c r="S98" s="124" t="str">
        <f>X_Cell_Fertiliser_IrrigationMethod</f>
        <v>Drip irrigation</v>
      </c>
    </row>
    <row r="99" spans="13:19" ht="20.100000000000001" customHeight="1" x14ac:dyDescent="0.2">
      <c r="M99" s="126" t="str">
        <v>z</v>
      </c>
      <c r="N99" s="126" t="str">
        <v>rainfall zone</v>
      </c>
      <c r="O99" s="225"/>
      <c r="P99" s="225"/>
      <c r="Q99" s="124" t="str">
        <v/>
      </c>
      <c r="R99" s="114" t="str">
        <v>Input</v>
      </c>
      <c r="S99" s="124" t="str">
        <f>X_Cell_Site_RainfallZone</f>
        <v>High rainfall</v>
      </c>
    </row>
    <row r="102" spans="13:19" ht="20.100000000000001" customHeight="1" x14ac:dyDescent="0.2">
      <c r="M102" s="118" t="s">
        <v>774</v>
      </c>
    </row>
    <row r="103" spans="13:19" ht="20.100000000000001" customHeight="1" x14ac:dyDescent="0.2">
      <c r="M103" s="119" t="s">
        <v>775</v>
      </c>
    </row>
    <row r="104" spans="13:19" ht="20.100000000000001" customHeight="1" x14ac:dyDescent="0.2">
      <c r="M104" s="120" t="s">
        <v>480</v>
      </c>
      <c r="N104" s="120" t="s">
        <v>776</v>
      </c>
      <c r="O104" s="120" t="s">
        <v>777</v>
      </c>
    </row>
    <row r="105" spans="13:19" ht="20.100000000000001" customHeight="1" x14ac:dyDescent="0.2">
      <c r="M105" s="15" t="s">
        <v>778</v>
      </c>
      <c r="N105" s="15" t="b">
        <f>IF(AND(S96="Maize", NOT(S98="Not irrigated")), TRUE)</f>
        <v>1</v>
      </c>
      <c r="O105" s="15">
        <f>N49</f>
        <v>9.6783250000000015E-3</v>
      </c>
    </row>
    <row r="106" spans="13:19" ht="20.100000000000001" customHeight="1" x14ac:dyDescent="0.2">
      <c r="M106" s="15" t="s">
        <v>779</v>
      </c>
      <c r="N106" s="15" t="b">
        <f>IF(AND(S96="Grains", S98="Not irrigated", S99="High rainfall"), TRUE)</f>
        <v>0</v>
      </c>
      <c r="O106" s="15">
        <f>N63</f>
        <v>1.4492874999999999E-2</v>
      </c>
    </row>
    <row r="107" spans="13:19" ht="20.100000000000001" customHeight="1" x14ac:dyDescent="0.2">
      <c r="M107" s="15" t="s">
        <v>780</v>
      </c>
      <c r="N107" s="15" t="b">
        <f>IF(S96="Cotton", TRUE)</f>
        <v>0</v>
      </c>
      <c r="O107" s="227">
        <f>N79</f>
        <v>3.231403335233797E-5</v>
      </c>
    </row>
    <row r="108" spans="13:19" ht="20.100000000000001" customHeight="1" x14ac:dyDescent="0.2">
      <c r="M108" s="15" t="s">
        <v>781</v>
      </c>
      <c r="N108" s="15" t="b">
        <f>IF(AND(N105=FALSE, N107=FALSE, N106=FALSE),TRUE)</f>
        <v>0</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10" spans="13:19" ht="20.100000000000001" customHeight="1" x14ac:dyDescent="0.2">
      <c r="M110" s="85" t="s">
        <v>772</v>
      </c>
      <c r="N110" s="86" cm="1">
        <f t="array" ref="N110">Fertiliser_Equations_InorganicN2O.VEERG_5_1_1_1__1_InorganicFertiliserApplicationN2OEmissions(S92,S93,$S$94)</f>
        <v>0.2780548207053572</v>
      </c>
      <c r="O110" s="95" t="str">
        <f>$E$47</f>
        <v>t N2O</v>
      </c>
    </row>
    <row r="112" spans="13:19" ht="20.100000000000001" customHeight="1" x14ac:dyDescent="0.2">
      <c r="M112" s="124" t="str" cm="1">
        <f t="array" ref="M112:N113">Common_Equations.Common_ConvertN2OToCO2e_Arguments()</f>
        <v>EN2O</v>
      </c>
      <c r="N112" s="126" t="str">
        <v>Nitrous oxide emissions (t N2O)</v>
      </c>
      <c r="O112" s="127"/>
      <c r="P112" s="15">
        <f>VEERG_5_1_1_1__1_InorganicFertiliserApplicationN2OEmissions_Result_Method2</f>
        <v>0.2780548207053572</v>
      </c>
    </row>
    <row r="113" spans="13:16" ht="20.100000000000001" customHeight="1" x14ac:dyDescent="0.2">
      <c r="M113" s="124" t="str">
        <v>GWPN2O</v>
      </c>
      <c r="N113" s="126" t="str">
        <v>Global warming potential for nitrous oxide (t CO2-e / t N2O)</v>
      </c>
      <c r="O113" s="127"/>
      <c r="P113" s="15">
        <f>Common_InputFunctions.Utility_LookupValueInTableNumber("N2O",Table_GWPData[Gas],Table_GWPData[CO2-e factor])</f>
        <v>265</v>
      </c>
    </row>
    <row r="115" spans="13:16" ht="20.100000000000001" customHeight="1" x14ac:dyDescent="0.2">
      <c r="M115" s="83" t="s">
        <v>428</v>
      </c>
      <c r="N115" s="83" cm="1">
        <f t="array" ref="N115">Common_Equations.Common_ConvertN2OToCO2e(P112,P113)</f>
        <v>73.684527486919663</v>
      </c>
      <c r="O115" s="89"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1CC49D7C-6636-4F6A-B954-F3D85058DF43}"/>
  </dataValidation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2205-8512-4DD6-AC00-2C25EFF0FE41}">
  <sheetPr>
    <tabColor rgb="FF008000"/>
  </sheetPr>
  <dimension ref="A1:U78"/>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782</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Fertiliser_Equations_InorganicCO2.VEERG_5_1_1_3__2_MassOfUreaInInorganicFertiliser_Title()</f>
        <v>Mass of urea applied to production system</v>
      </c>
    </row>
    <row r="6" spans="1:21" ht="20.100000000000001" customHeight="1" x14ac:dyDescent="0.2">
      <c r="D6" s="17" t="str" cm="1">
        <f t="array" ref="D6">Fertiliser_Equations_InorganicCO2.VEERG_5_1_1_3__2_MassOfUreaInInorganicFertiliser_Source()</f>
        <v>VEERG 2026: 5.1.1.3, Equation (2)</v>
      </c>
    </row>
    <row r="7" spans="1:21" ht="20.100000000000001" customHeight="1" x14ac:dyDescent="0.2">
      <c r="D7" s="112" t="s">
        <v>321</v>
      </c>
      <c r="E7" s="112" t="str" cm="1">
        <f t="array" aca="1" ref="E7" ca="1">Common_InputFunctions.Utility_DisplayFunctionName(G19)</f>
        <v>=Fertiliser_Equations_InorganicCO2.VEERG_5_1_1_3__2_MassOfUreaInInorganicFertiliser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Fertiliser_Equations_InorganicCO2.VEERG_5_1_1_3__2_MassOfUreaInInorganicFertiliser_Variable()</f>
        <v>MU_jf</v>
      </c>
    </row>
    <row r="11" spans="1:21" ht="20.100000000000001" customHeight="1" x14ac:dyDescent="0.2">
      <c r="A11" s="5" t="str">
        <f>HYPERLINK("#'Input - Feedlot'!A1", "Feedlot")</f>
        <v>Feedlot</v>
      </c>
      <c r="D11" s="75" t="s">
        <v>118</v>
      </c>
      <c r="E11" s="9" t="str" cm="1">
        <f t="array" ref="E11">Fertiliser_Equations_InorganicCO2.VEERG_5_1_1_3__2_MassOfUreaInInorganicFertiliser_Unit()</f>
        <v>kg urea</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24" t="str" cm="1">
        <f t="array" ref="D13:E14">_xlfn.CHOOSECOLS(Fertiliser_Equations_InorganicCO2.VEERG_5_1_1_3__2_MassOfUreaInInorganicFertiliser_Arguments(), 1, 2)</f>
        <v>TM_jf</v>
      </c>
      <c r="E13" s="126" t="str">
        <v>total mass of inorganic fertiliser type f applied to production system j</v>
      </c>
      <c r="F13" s="224"/>
      <c r="G13" s="124" t="str" cm="1">
        <f t="array" ref="G13:H14">_xlfn.CHOOSECOLS(Fertiliser_Equations_InorganicCO2.VEERG_5_1_1_3__2_MassOfUreaInInorganicFertiliser_Arguments(), 3, 4)</f>
        <v>kg</v>
      </c>
      <c r="H13" s="114" t="str">
        <v>Input</v>
      </c>
      <c r="I13" s="116" t="str" cm="1">
        <f t="array" aca="1" ref="I13" ca="1">HYPERLINK(Common_InputFunctions.Utility_SourceHyperlink($D$16), $D$16)</f>
        <v>Table_MU_j_f</v>
      </c>
    </row>
    <row r="14" spans="1:21" ht="20.100000000000001" customHeight="1" x14ac:dyDescent="0.2">
      <c r="A14" s="5" t="str">
        <f>HYPERLINK("#'Input - Fuel'!A1", "Fuel")</f>
        <v>Fuel</v>
      </c>
      <c r="D14" s="124" t="str">
        <v>FU_f</v>
      </c>
      <c r="E14" s="126" t="str">
        <v>fraction of urea in fertiliser type f</v>
      </c>
      <c r="F14" s="224"/>
      <c r="G14" s="124" t="str">
        <v>kg urea/kg</v>
      </c>
      <c r="H14" s="115" t="str">
        <v>Lookup</v>
      </c>
      <c r="I14" s="116" t="str" cm="1">
        <f t="array" aca="1" ref="I14" ca="1">HYPERLINK(Common_InputFunctions.Utility_SourceHyperlink($D$16), $D$16)</f>
        <v>Table_MU_j_f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18" t="s">
        <v>783</v>
      </c>
    </row>
    <row r="17" spans="1:7" ht="20.100000000000001" customHeight="1" x14ac:dyDescent="0.2">
      <c r="A17" s="5" t="str">
        <f>HYPERLINK("#'Input - Livestock farm Inputs'!A1", "Livestock farm Inputs")</f>
        <v>Livestock farm Inputs</v>
      </c>
      <c r="D17" s="119" t="s">
        <v>784</v>
      </c>
    </row>
    <row r="18" spans="1:7" ht="20.100000000000001" customHeight="1" x14ac:dyDescent="0.2">
      <c r="A18" s="5" t="str">
        <f>HYPERLINK("#'Input - Freight'!A1", "Freight")</f>
        <v>Freight</v>
      </c>
      <c r="D18" s="120" t="s">
        <v>757</v>
      </c>
      <c r="E18" s="78" t="s">
        <v>758</v>
      </c>
      <c r="F18" s="120" t="s">
        <v>785</v>
      </c>
      <c r="G18" s="120" t="s">
        <v>786</v>
      </c>
    </row>
    <row r="19" spans="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cm="1">
        <f t="array" ref="G19">Fertiliser_Equations_InorganicCO2.VEERG_5_1_1_3__2_MassOfUreaInInorganicFertiliser(E19,F19)</f>
        <v>0</v>
      </c>
    </row>
    <row r="20" spans="1:7" ht="20.100000000000001" customHeight="1" x14ac:dyDescent="0.2">
      <c r="A20" s="5" t="str">
        <f>HYPERLINK("#'Input - Manure sent off-site'!A1", "Manure sent off-site")</f>
        <v>Manure sent off-site</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cm="1">
        <f t="array" ref="G20">Fertiliser_Equations_InorganicCO2.VEERG_5_1_1_3__2_MassOfUreaInInorganicFertiliser(E20,F20)</f>
        <v>0</v>
      </c>
    </row>
    <row r="21" spans="1:7" ht="20.100000000000001" customHeight="1" x14ac:dyDescent="0.2">
      <c r="A21" s="5" t="str">
        <f>HYPERLINK("#'Input - Data quality'!A1", "Data quality")</f>
        <v>Data quality</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cm="1">
        <f t="array" ref="G21">Fertiliser_Equations_InorganicCO2.VEERG_5_1_1_3__2_MassOfUreaInInorganicFertiliser(E21,F21)</f>
        <v>25217.39</v>
      </c>
    </row>
    <row r="22" spans="1:7" ht="20.100000000000001" customHeight="1" x14ac:dyDescent="0.2">
      <c r="A22" s="5" t="str">
        <f>HYPERLINK("#'Input - Fert Prod System'!A1", "Fert Prod System")</f>
        <v>Fert Prod System</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cm="1">
        <f t="array" ref="G22">Fertiliser_Equations_InorganicCO2.VEERG_5_1_1_3__2_MassOfUreaInInorganicFertiliser(E22,F22)</f>
        <v>0</v>
      </c>
    </row>
    <row r="23" spans="1:7" ht="20.100000000000001" customHeight="1" x14ac:dyDescent="0.2">
      <c r="A23" s="5" t="str">
        <f>HYPERLINK("#'Input - Fertiliser'!A1", "Fertiliser")</f>
        <v>Fertiliser</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cm="1">
        <f t="array" ref="G23">Fertiliser_Equations_InorganicCO2.VEERG_5_1_1_3__2_MassOfUreaInInorganicFertiliser(E23,F23)</f>
        <v>0</v>
      </c>
    </row>
    <row r="24" spans="1:7" ht="20.100000000000001" customHeight="1" x14ac:dyDescent="0.2">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cm="1">
        <f t="array" ref="G24">Fertiliser_Equations_InorganicCO2.VEERG_5_1_1_3__2_MassOfUreaInInorganicFertiliser(E24,F24)</f>
        <v>0</v>
      </c>
    </row>
    <row r="25" spans="1:7" ht="20.100000000000001" customHeight="1" x14ac:dyDescent="0.2">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cm="1">
        <f t="array" ref="G25">Fertiliser_Equations_InorganicCO2.VEERG_5_1_1_3__2_MassOfUreaInInorganicFertiliser(E25,F25)</f>
        <v>0</v>
      </c>
    </row>
    <row r="26" spans="1:7" ht="20.100000000000001" customHeight="1" x14ac:dyDescent="0.2">
      <c r="A26" s="6" t="s">
        <v>2</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15" cm="1">
        <f t="array" ref="F26">Common_InputFunctions.Utility_LookupValueInTableNumber(D26,Table_Fertiliser_ChemicalCompounds[Fertiliser type f],Table_Fertiliser_ChemicalCompounds[FU f])</f>
        <v>0</v>
      </c>
      <c r="G26" s="15" cm="1">
        <f t="array" ref="G26">Fertiliser_Equations_InorganicCO2.VEERG_5_1_1_3__2_MassOfUreaInInorganicFertiliser(E26,F26)</f>
        <v>0</v>
      </c>
    </row>
    <row r="27" spans="1:7" ht="20.100000000000001" customHeight="1" x14ac:dyDescent="0.2">
      <c r="A27" s="5" t="str">
        <f>HYPERLINK("#'3.1.1.1-2 Enteric Methane'!A1", "3.1.1.1-2 Enteric Methane")</f>
        <v>3.1.1.1-2 Enteric Methane</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15" cm="1">
        <f t="array" ref="F27">Common_InputFunctions.Utility_LookupValueInTableNumber(D27,Table_Fertiliser_ChemicalCompounds[Fertiliser type f],Table_Fertiliser_ChemicalCompounds[FU f])</f>
        <v>0</v>
      </c>
      <c r="G27" s="15" cm="1">
        <f t="array" ref="G27">Fertiliser_Equations_InorganicCO2.VEERG_5_1_1_3__2_MassOfUreaInInorganicFertiliser(E27,F27)</f>
        <v>0</v>
      </c>
    </row>
    <row r="28" spans="1:7" ht="20.100000000000001" customHeight="1" x14ac:dyDescent="0.2">
      <c r="A28" s="5" t="str">
        <f>HYPERLINK("#'4.1.1.1-2 Methane'!A1", "4.1.1.1-2 Manure Methane")</f>
        <v>4.1.1.1-2 Manure Methane</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cm="1">
        <f t="array" ref="G28">Fertiliser_Equations_InorganicCO2.VEERG_5_1_1_3__2_MassOfUreaInInorganicFertiliser(E28,F28)</f>
        <v>0</v>
      </c>
    </row>
    <row r="29" spans="1:7" ht="20.100000000000001" customHeight="1" x14ac:dyDescent="0.2">
      <c r="A29" s="5" t="str">
        <f>HYPERLINK("#'4.1.1.3-4 Direct N20'!A1", "4.1.1.3-4 Manure Direct N2O")</f>
        <v>4.1.1.3-4 Manure Direct N2O</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15" cm="1">
        <f t="array" ref="F29">Common_InputFunctions.Utility_LookupValueInTableNumber(D29,Table_Fertiliser_ChemicalCompounds[Fertiliser type f],Table_Fertiliser_ChemicalCompounds[FU f])</f>
        <v>0</v>
      </c>
      <c r="G29" s="15" cm="1">
        <f t="array" ref="G29">Fertiliser_Equations_InorganicCO2.VEERG_5_1_1_3__2_MassOfUreaInInorganicFertiliser(E29,F29)</f>
        <v>0</v>
      </c>
    </row>
    <row r="30" spans="1:7" ht="20.100000000000001" customHeight="1" x14ac:dyDescent="0.2">
      <c r="A30" s="5" t="str">
        <f>HYPERLINK("#'4.1.1.5-6 Atmos Deposition'!A1", "4.1.1.5-6 Manure Atmos Dep")</f>
        <v>4.1.1.5-6 Manure Atmos Dep</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15" cm="1">
        <f t="array" ref="F30">Common_InputFunctions.Utility_LookupValueInTableNumber(D30,Table_Fertiliser_ChemicalCompounds[Fertiliser type f],Table_Fertiliser_ChemicalCompounds[FU f])</f>
        <v>0</v>
      </c>
      <c r="G30" s="15" cm="1">
        <f t="array" ref="G30">Fertiliser_Equations_InorganicCO2.VEERG_5_1_1_3__2_MassOfUreaInInorganicFertiliser(E30,F30)</f>
        <v>0</v>
      </c>
    </row>
    <row r="31" spans="1:7" ht="20.100000000000001" customHeight="1" x14ac:dyDescent="0.2">
      <c r="A31" s="5" t="str">
        <f>HYPERLINK("#'4.1.1.9 Manure applied to soils'!A1", "4.1.1.9 Manure applied to soils")</f>
        <v>4.1.1.9 Manure applied to soils</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15" cm="1">
        <f t="array" ref="F31">Common_InputFunctions.Utility_LookupValueInTableNumber(D31,Table_Fertiliser_ChemicalCompounds[Fertiliser type f],Table_Fertiliser_ChemicalCompounds[FU f])</f>
        <v>0</v>
      </c>
      <c r="G31" s="15" cm="1">
        <f t="array" ref="G31">Fertiliser_Equations_InorganicCO2.VEERG_5_1_1_3__2_MassOfUreaInInorganicFertiliser(E31,F31)</f>
        <v>0</v>
      </c>
    </row>
    <row r="32" spans="1:7" ht="20.100000000000001" customHeight="1" x14ac:dyDescent="0.2">
      <c r="A32" s="5" t="str">
        <f>HYPERLINK("#'8.1.1.1-2 Transport fuel'!A1", "8.1.1.1-2 Transport fuel")</f>
        <v>8.1.1.1-2 Transport fuel</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15" cm="1">
        <f t="array" ref="F32">Common_InputFunctions.Utility_LookupValueInTableNumber(D32,Table_Fertiliser_ChemicalCompounds[Fertiliser type f],Table_Fertiliser_ChemicalCompounds[FU f])</f>
        <v>0</v>
      </c>
      <c r="G32" s="15" cm="1">
        <f t="array" ref="G32">Fertiliser_Equations_InorganicCO2.VEERG_5_1_1_3__2_MassOfUreaInInorganicFertiliser(E32,F32)</f>
        <v>0</v>
      </c>
    </row>
    <row r="33" spans="1:12" ht="20.100000000000001" customHeight="1" x14ac:dyDescent="0.2">
      <c r="A33" s="5" t="str">
        <f>HYPERLINK("#'8.2.1.1-2 Stationary fuel'!A1", "8.2.1.1-2 Stationary fuel")</f>
        <v>8.2.1.1-2 Stationary fuel</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cm="1">
        <f t="array" ref="G33">Fertiliser_Equations_InorganicCO2.VEERG_5_1_1_3__2_MassOfUreaInInorganicFertiliser(E33,F33)</f>
        <v>0</v>
      </c>
    </row>
    <row r="34" spans="1:12" ht="20.100000000000001" customHeight="1" x14ac:dyDescent="0.2">
      <c r="A34" s="5" t="str">
        <f>HYPERLINK("#'10.1.1-2 Solid waste treatment'!A1", "10.1.1.1-2 Solid waste")</f>
        <v>10.1.1.1-2 Solid waste</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cm="1">
        <f t="array" ref="G34">Fertiliser_Equations_InorganicCO2.VEERG_5_1_1_3__2_MassOfUreaInInorganicFertiliser(E34,F34)</f>
        <v>0</v>
      </c>
    </row>
    <row r="35" spans="1:12" ht="20.100000000000001" customHeight="1" x14ac:dyDescent="0.2">
      <c r="A35" s="5" t="str">
        <f>HYPERLINK("#'14.1.1-2 Purchased electricity'!A1", "14.1.1-2 Purchased electricity")</f>
        <v>14.1.1-2 Purchased electricity</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cm="1">
        <f t="array" ref="G35">Fertiliser_Equations_InorganicCO2.VEERG_5_1_1_3__2_MassOfUreaInInorganicFertiliser(E35,F35)</f>
        <v>0</v>
      </c>
    </row>
    <row r="36" spans="1:12" ht="20.100000000000001" customHeight="1" x14ac:dyDescent="0.2">
      <c r="A36" s="5" t="str">
        <f>HYPERLINK("#'15 Scope 3'!A1", "15 Scope 3")</f>
        <v>15 Scope 3</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15" cm="1">
        <f t="array" ref="F36">Common_InputFunctions.Utility_LookupValueInTableNumber(D36,Table_Fertiliser_ChemicalCompounds[Fertiliser type f],Table_Fertiliser_ChemicalCompounds[FU f])</f>
        <v>0</v>
      </c>
      <c r="G36" s="15" cm="1">
        <f t="array" ref="G36">Fertiliser_Equations_InorganicCO2.VEERG_5_1_1_3__2_MassOfUreaInInorganicFertiliser(E36,F36)</f>
        <v>0</v>
      </c>
    </row>
    <row r="37" spans="1:12" ht="20.100000000000001" customHeight="1" x14ac:dyDescent="0.2">
      <c r="A37" s="5" t="str">
        <f>HYPERLINK("#'Calcs - Manure sent off-site'!A1", "Calcs - Manure sent off-site")</f>
        <v>Calcs - Manure sent off-site</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15" cm="1">
        <f t="array" ref="F37">Common_InputFunctions.Utility_LookupValueInTableNumber(D37,Table_Fertiliser_ChemicalCompounds[Fertiliser type f],Table_Fertiliser_ChemicalCompounds[FU f])</f>
        <v>0</v>
      </c>
      <c r="G37" s="15" cm="1">
        <f t="array" ref="G37">Fertiliser_Equations_InorganicCO2.VEERG_5_1_1_3__2_MassOfUreaInInorganicFertiliser(E37,F37)</f>
        <v>0</v>
      </c>
    </row>
    <row r="38" spans="1:12" ht="20.100000000000001" customHeight="1" x14ac:dyDescent="0.2">
      <c r="A38" s="5" t="str">
        <f>HYPERLINK("#'5.1.1.1-2 Inorganic fert N2O'!A1", "5.1.1.1-2 Inorganic fert N2O")</f>
        <v>5.1.1.1-2 Inorganic fert N2O</v>
      </c>
    </row>
    <row r="39" spans="1:12" ht="20.100000000000001" customHeight="1" x14ac:dyDescent="0.2">
      <c r="A39" s="117" t="str">
        <f>HYPERLINK("#'5.1.1.3-4 Inorganic fert CO2'!A1", "5.1.1.3-4 Inorganic fert CO2")</f>
        <v>5.1.1.3-4 Inorganic fert CO2</v>
      </c>
    </row>
    <row r="40" spans="1:12" ht="20.100000000000001" customHeight="1" x14ac:dyDescent="0.2">
      <c r="A40" s="5" t="str">
        <f>HYPERLINK("#'5.2.1.1-2 Organic Fert N2O'!A1", "5.2.1.1-2 Organic Fert N2O")</f>
        <v>5.2.1.1-2 Organic Fert N2O</v>
      </c>
      <c r="C40" s="83"/>
      <c r="D40" s="83"/>
      <c r="E40" s="83"/>
      <c r="F40" s="83"/>
      <c r="G40" s="83"/>
      <c r="H40" s="83"/>
      <c r="I40" s="83"/>
      <c r="J40" s="83"/>
      <c r="K40" s="83"/>
      <c r="L40" s="83"/>
    </row>
    <row r="41" spans="1:12" ht="20.100000000000001" customHeight="1" x14ac:dyDescent="0.2">
      <c r="A41" s="5" t="str">
        <f>HYPERLINK("#'5.3.1.1-2 Lime CO2'!A1", "5.3.1.1-2 Lime CO2")</f>
        <v>5.3.1.1-2 Lime CO2</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
      <c r="A42" s="5" t="str">
        <f>HYPERLINK("#'5.4.1.1-4 Atmos deposition'!A1", "5.4.1.1-4 Atmos deposition")</f>
        <v>5.4.1.1-4 Atmos deposition</v>
      </c>
      <c r="D42" s="17" t="str" cm="1">
        <f t="array" ref="D42">Fertiliser_Equations_InorganicCO2.VEERG_5_1_1_3__1_InorganicFertiliserApplicationCO2Emissions_Source()</f>
        <v>VEERG 2026: 5.1.1.3, Equation (1)</v>
      </c>
    </row>
    <row r="43" spans="1:12" ht="20.100000000000001" customHeight="1" x14ac:dyDescent="0.2">
      <c r="A43" s="5" t="str">
        <f>HYPERLINK("#'5.5.1.1-2 Leaching and runoff'!A1", "5.5.1.1-2 Leaching and runoff")</f>
        <v>5.5.1.1-2 Leaching and runoff</v>
      </c>
      <c r="D43" s="112" t="s">
        <v>321</v>
      </c>
      <c r="E43" s="112" t="str" cm="1">
        <f t="array" aca="1" ref="E43" ca="1">Common_InputFunctions.Utility_DisplayFunctionName(E58)</f>
        <v>=Fertiliser_Equations_InorganicCO2.VEERG_5_1_1_3__1_InorganicFertiliserApplicationCO2Emissions</v>
      </c>
    </row>
    <row r="46" spans="1:12" ht="20.100000000000001" customHeight="1" x14ac:dyDescent="0.2">
      <c r="A46" s="80" t="s">
        <v>1</v>
      </c>
      <c r="D46" s="75" t="s">
        <v>322</v>
      </c>
      <c r="E46" s="1" t="str" cm="1">
        <f t="array" ref="E46">Fertiliser_Equations_InorganicCO2.VEERG_5_1_1_3__1_InorganicFertiliserApplicationCO2Emissions_Variable()</f>
        <v>E_CO2</v>
      </c>
    </row>
    <row r="47" spans="1:12" ht="20.100000000000001" customHeight="1" x14ac:dyDescent="0.2">
      <c r="A47" s="5" t="str">
        <f>HYPERLINK("#'Constants - Feedlot'!A1", "Constants - Feedlot")</f>
        <v>Constants - Feedlot</v>
      </c>
      <c r="D47" s="75" t="s">
        <v>118</v>
      </c>
      <c r="E47" s="9" t="str" cm="1">
        <f t="array" ref="E47">Fertiliser_Equations_InorganicCO2.VEERG_5_1_1_3__1_InorganicFertiliserApplicationCO2Emissions_Unit()</f>
        <v>t CO2</v>
      </c>
    </row>
    <row r="48" spans="1:12" ht="20.100000000000001" customHeight="1" x14ac:dyDescent="0.2">
      <c r="A48" s="5" t="str">
        <f>HYPERLINK("#'Constants - Common livestock'!A1", "Constants - Common Livestock")</f>
        <v>Constants - Common Livestock</v>
      </c>
    </row>
    <row r="49" spans="1:9" ht="20.100000000000001" customHeight="1" x14ac:dyDescent="0.2">
      <c r="A49" s="5" t="str">
        <f>HYPERLINK("#'Constants - Electricity'!A1", "Constants - Electricity")</f>
        <v>Constants - Electricity</v>
      </c>
      <c r="D49" s="124" t="str" cm="1">
        <f t="array" ref="D49:E53">_xlfn.CHOOSECOLS(Fertiliser_Equations_InorganicCO2.VEERG_5_1_1_3__1_InorganicFertiliserApplicationCO2Emissions_Arguments(), 1, 2)</f>
        <v>MU_jf</v>
      </c>
      <c r="E49" s="126" t="str">
        <v>mass of urea of inorganic fertiliser type f applied to production system j</v>
      </c>
      <c r="F49" s="224"/>
      <c r="G49" s="124" t="str" cm="1">
        <f t="array" ref="G49:H53">_xlfn.CHOOSECOLS(Fertiliser_Equations_InorganicCO2.VEERG_5_1_1_3__1_InorganicFertiliserApplicationCO2Emissions_Arguments(), 3,4)</f>
        <v>kg urea</v>
      </c>
      <c r="H49" s="115" t="str">
        <v>Calculated</v>
      </c>
      <c r="I49" s="116" t="str" cm="1">
        <f t="array" aca="1" ref="I49" ca="1">HYPERLINK(Common_InputFunctions.Utility_SourceHyperlink($D$16), $D$16)</f>
        <v>Table_MU_j_f</v>
      </c>
    </row>
    <row r="50" spans="1:9" ht="20.100000000000001" customHeight="1" x14ac:dyDescent="0.2">
      <c r="A50" s="5" t="str">
        <f>HYPERLINK("#'Constants - Fertiliser'!A1", "Constants - Fertiliser")</f>
        <v>Constants - Fertiliser</v>
      </c>
      <c r="D50" s="124" t="str">
        <v>EF_ureaCO2</v>
      </c>
      <c r="E50" s="126" t="str">
        <v>emission factor for carbon emissions from urea-based fertilisers</v>
      </c>
      <c r="F50" s="224"/>
      <c r="G50" s="124" t="str">
        <v>kg C/kg urea</v>
      </c>
      <c r="H50" s="115" t="str">
        <v>Constant</v>
      </c>
      <c r="I50" s="124">
        <f>Fertiliser_EFUreaCO2_Data</f>
        <v>0.2</v>
      </c>
    </row>
    <row r="51" spans="1:9" ht="20.100000000000001" customHeight="1" x14ac:dyDescent="0.2">
      <c r="A51" s="5" t="str">
        <f>HYPERLINK("#'Constants - Fuel'!A1", "Constants - Fuel")</f>
        <v>Constants - Fuel</v>
      </c>
      <c r="D51" s="124" t="str">
        <v>C_CO2</v>
      </c>
      <c r="E51" s="126" t="str">
        <v>factor to convert elemental mass of carbon to molecular mass of carbon dioxide</v>
      </c>
      <c r="F51" s="224"/>
      <c r="G51" s="124" t="str">
        <v/>
      </c>
      <c r="H51" s="115" t="str">
        <v>Constant</v>
      </c>
      <c r="I51" s="124">
        <f>Common_InputFunctions.Utility_LookupValueInTableNumber("CO2",Table_GasToMolecularConversionFactor[Gas], Table_GasToMolecularConversionFactor[Conversion factor combined])</f>
        <v>3.6666666666666665</v>
      </c>
    </row>
    <row r="52" spans="1:9" ht="20.100000000000001" customHeight="1" x14ac:dyDescent="0.2">
      <c r="A52" s="5" t="str">
        <f>HYPERLINK("#'Constants - Scope 3'!A1", "Constants - Scope 3")</f>
        <v>Constants - Scope 3</v>
      </c>
      <c r="D52" s="124" t="str">
        <v>j</v>
      </c>
      <c r="E52" s="126" t="str">
        <v>Production system</v>
      </c>
      <c r="F52" s="224"/>
      <c r="G52" s="124" t="str">
        <v/>
      </c>
      <c r="H52" s="114" t="str">
        <v>Input</v>
      </c>
      <c r="I52" s="124" t="str">
        <f>X_Cell_Fertiliser_ProductionSystem</f>
        <v>Crop</v>
      </c>
    </row>
    <row r="53" spans="1:9" ht="20.100000000000001" customHeight="1" x14ac:dyDescent="0.2">
      <c r="A53" s="5" t="str">
        <f>HYPERLINK("#'Constants - Solid Waste'!A1", "Constants - Solid Waste")</f>
        <v>Constants - Solid Waste</v>
      </c>
      <c r="D53" s="124" t="str">
        <v>f</v>
      </c>
      <c r="E53" s="126" t="str">
        <v>Inorganic fertiliser type</v>
      </c>
      <c r="F53" s="224"/>
      <c r="G53" s="124" t="str">
        <v/>
      </c>
      <c r="H53" s="115" t="str">
        <v>Lookup</v>
      </c>
      <c r="I53" s="116" t="str" cm="1">
        <f t="array" aca="1" ref="I53" ca="1">HYPERLINK(Common_InputFunctions.Utility_SourceHyperlink($D$16), $D$16)</f>
        <v>Table_MU_j_f</v>
      </c>
    </row>
    <row r="54" spans="1:9" ht="20.100000000000001" customHeight="1" x14ac:dyDescent="0.2">
      <c r="A54" s="5" t="str">
        <f>HYPERLINK("#'Constants - Common'!A1", "Constants - Common")</f>
        <v>Constants - Common</v>
      </c>
    </row>
    <row r="55" spans="1:9" ht="20.100000000000001" customHeight="1" x14ac:dyDescent="0.2">
      <c r="A55" s="5" t="str">
        <f>HYPERLINK("#'Acknowledgements'!A1", "Acknowledgements")</f>
        <v>Acknowledgements</v>
      </c>
      <c r="D55" s="118" t="s">
        <v>787</v>
      </c>
    </row>
    <row r="56" spans="1:9" ht="20.100000000000001" customHeight="1" x14ac:dyDescent="0.2">
      <c r="D56" s="119" t="s">
        <v>788</v>
      </c>
    </row>
    <row r="57" spans="1:9" ht="20.100000000000001" customHeight="1" x14ac:dyDescent="0.2">
      <c r="D57" s="120" t="s">
        <v>757</v>
      </c>
      <c r="E57" s="120" t="s">
        <v>769</v>
      </c>
    </row>
    <row r="58" spans="1:9" ht="20.100000000000001" customHeight="1" x14ac:dyDescent="0.2">
      <c r="D58" s="15" t="str" cm="1">
        <f t="array" ref="D58:D76">Table_Fertiliser_ChemicalCompounds[Fertiliser type f]</f>
        <v>Monoammonium phosphate (MAP)</v>
      </c>
      <c r="E58" s="15" cm="1">
        <f t="array" ref="E58">Fertiliser_Equations_InorganicCO2.VEERG_5_1_1_3__1_InorganicFertiliserApplicationCO2Emissions(G19,$I$50,$I$51)</f>
        <v>0</v>
      </c>
      <c r="F58" s="16" t="str">
        <f>$E$47</f>
        <v>t CO2</v>
      </c>
    </row>
    <row r="59" spans="1:9" ht="20.100000000000001" customHeight="1" x14ac:dyDescent="0.2">
      <c r="D59" s="15" t="str">
        <v>Diammonium phosphate (DAP)</v>
      </c>
      <c r="E59" s="15" cm="1">
        <f t="array" ref="E59">Fertiliser_Equations_InorganicCO2.VEERG_5_1_1_3__1_InorganicFertiliserApplicationCO2Emissions(G20,$I$50,$I$51)</f>
        <v>0</v>
      </c>
    </row>
    <row r="60" spans="1:9" ht="20.100000000000001" customHeight="1" x14ac:dyDescent="0.2">
      <c r="D60" s="15" t="str">
        <v>Urea</v>
      </c>
      <c r="E60" s="15" cm="1">
        <f t="array" ref="E60">Fertiliser_Equations_InorganicCO2.VEERG_5_1_1_3__1_InorganicFertiliserApplicationCO2Emissions(G21,$I$50,$I$51)</f>
        <v>18.492752666666668</v>
      </c>
    </row>
    <row r="61" spans="1:9" ht="20.100000000000001" customHeight="1" x14ac:dyDescent="0.2">
      <c r="D61" s="15" t="str">
        <v>Sulphate of ammonia (SOA)</v>
      </c>
      <c r="E61" s="15" cm="1">
        <f t="array" ref="E61">Fertiliser_Equations_InorganicCO2.VEERG_5_1_1_3__1_InorganicFertiliserApplicationCO2Emissions(G22,$I$50,$I$51)</f>
        <v>0</v>
      </c>
    </row>
    <row r="62" spans="1:9" ht="20.100000000000001" customHeight="1" x14ac:dyDescent="0.2">
      <c r="D62" s="15" t="str">
        <v>Urea-ammonium nitrate (UAN)</v>
      </c>
      <c r="E62" s="15" cm="1">
        <f t="array" ref="E62">Fertiliser_Equations_InorganicCO2.VEERG_5_1_1_3__1_InorganicFertiliserApplicationCO2Emissions(G23,$I$50,$I$51)</f>
        <v>0</v>
      </c>
    </row>
    <row r="63" spans="1:9" ht="20.100000000000001" customHeight="1" x14ac:dyDescent="0.2">
      <c r="D63" s="15" t="str">
        <v>Ammonium nitrate (AN)</v>
      </c>
      <c r="E63" s="15" cm="1">
        <f t="array" ref="E63">Fertiliser_Equations_InorganicCO2.VEERG_5_1_1_3__1_InorganicFertiliserApplicationCO2Emissions(G24,$I$50,$I$51)</f>
        <v>0</v>
      </c>
    </row>
    <row r="64" spans="1:9" ht="20.100000000000001" customHeight="1" x14ac:dyDescent="0.2">
      <c r="D64" s="15" t="str">
        <v>Calcium ammonium nitrate (CAN)</v>
      </c>
      <c r="E64" s="15" cm="1">
        <f t="array" ref="E64">Fertiliser_Equations_InorganicCO2.VEERG_5_1_1_3__1_InorganicFertiliserApplicationCO2Emissions(G25,$I$50,$I$51)</f>
        <v>0</v>
      </c>
    </row>
    <row r="65" spans="1:6" ht="20.100000000000001" customHeight="1" x14ac:dyDescent="0.2">
      <c r="D65" s="15" t="str">
        <v>Nitrogen - Ammoniacal</v>
      </c>
      <c r="E65" s="15" cm="1">
        <f t="array" ref="E65">Fertiliser_Equations_InorganicCO2.VEERG_5_1_1_3__1_InorganicFertiliserApplicationCO2Emissions(G26,$I$50,$I$51)</f>
        <v>0</v>
      </c>
    </row>
    <row r="66" spans="1:6" ht="20.100000000000001" customHeight="1" x14ac:dyDescent="0.2">
      <c r="A66" s="79" t="str">
        <f>HYPERLINK("#A1", "▲ Back to top")</f>
        <v>▲ Back to top</v>
      </c>
      <c r="D66" s="15" t="str">
        <v>Nitrogen - Nitrate</v>
      </c>
      <c r="E66" s="15" cm="1">
        <f t="array" ref="E66">Fertiliser_Equations_InorganicCO2.VEERG_5_1_1_3__1_InorganicFertiliserApplicationCO2Emissions(G27,$I$50,$I$51)</f>
        <v>0</v>
      </c>
    </row>
    <row r="67" spans="1:6" ht="20.100000000000001" customHeight="1" x14ac:dyDescent="0.2">
      <c r="D67" s="15" t="str">
        <v>Nitrogen - Generic</v>
      </c>
      <c r="E67" s="15" cm="1">
        <f t="array" ref="E67">Fertiliser_Equations_InorganicCO2.VEERG_5_1_1_3__1_InorganicFertiliserApplicationCO2Emissions(G28,$I$50,$I$51)</f>
        <v>0</v>
      </c>
    </row>
    <row r="68" spans="1:6" ht="20.100000000000001" customHeight="1" x14ac:dyDescent="0.2">
      <c r="D68" s="15" t="str">
        <v>Phosphorus - Generic</v>
      </c>
      <c r="E68" s="15" cm="1">
        <f t="array" ref="E68">Fertiliser_Equations_InorganicCO2.VEERG_5_1_1_3__1_InorganicFertiliserApplicationCO2Emissions(G29,$I$50,$I$51)</f>
        <v>0</v>
      </c>
    </row>
    <row r="69" spans="1:6" ht="20.100000000000001" customHeight="1" x14ac:dyDescent="0.2">
      <c r="D69" s="15" t="str">
        <v>Potassium - Generic</v>
      </c>
      <c r="E69" s="15" cm="1">
        <f t="array" ref="E69">Fertiliser_Equations_InorganicCO2.VEERG_5_1_1_3__1_InorganicFertiliserApplicationCO2Emissions(G30,$I$50,$I$51)</f>
        <v>0</v>
      </c>
    </row>
    <row r="70" spans="1:6" ht="20.100000000000001" customHeight="1" x14ac:dyDescent="0.2">
      <c r="D70" s="15" t="str">
        <v>Sulfur - Generic</v>
      </c>
      <c r="E70" s="15" cm="1">
        <f t="array" ref="E70">Fertiliser_Equations_InorganicCO2.VEERG_5_1_1_3__1_InorganicFertiliserApplicationCO2Emissions(G31,$I$50,$I$51)</f>
        <v>0</v>
      </c>
    </row>
    <row r="71" spans="1:6" ht="20.100000000000001" customHeight="1" x14ac:dyDescent="0.2">
      <c r="D71" s="15" t="str">
        <v>Zinc - Generic</v>
      </c>
      <c r="E71" s="15" cm="1">
        <f t="array" ref="E71">Fertiliser_Equations_InorganicCO2.VEERG_5_1_1_3__1_InorganicFertiliserApplicationCO2Emissions(G32,$I$50,$I$51)</f>
        <v>0</v>
      </c>
    </row>
    <row r="72" spans="1:6" ht="20.100000000000001" customHeight="1" x14ac:dyDescent="0.2">
      <c r="D72" s="15" t="str">
        <v>Muriate of potash (MOP)</v>
      </c>
      <c r="E72" s="15" cm="1">
        <f t="array" ref="E72">Fertiliser_Equations_InorganicCO2.VEERG_5_1_1_3__1_InorganicFertiliserApplicationCO2Emissions(G33,$I$50,$I$51)</f>
        <v>0</v>
      </c>
    </row>
    <row r="73" spans="1:6" ht="20.100000000000001" customHeight="1" x14ac:dyDescent="0.2">
      <c r="D73" s="15" t="str">
        <v>Double superphosphate</v>
      </c>
      <c r="E73" s="15" cm="1">
        <f t="array" ref="E73">Fertiliser_Equations_InorganicCO2.VEERG_5_1_1_3__1_InorganicFertiliserApplicationCO2Emissions(G34,$I$50,$I$51)</f>
        <v>0</v>
      </c>
    </row>
    <row r="74" spans="1:6" ht="20.100000000000001" customHeight="1" x14ac:dyDescent="0.2">
      <c r="D74" s="15" t="str">
        <v>Single superphosphate (SSP)</v>
      </c>
      <c r="E74" s="15" cm="1">
        <f t="array" ref="E74">Fertiliser_Equations_InorganicCO2.VEERG_5_1_1_3__1_InorganicFertiliserApplicationCO2Emissions(G35,$I$50,$I$51)</f>
        <v>0</v>
      </c>
    </row>
    <row r="75" spans="1:6" ht="20.100000000000001" customHeight="1" x14ac:dyDescent="0.2">
      <c r="D75" s="15" t="str">
        <v>Ammonia</v>
      </c>
      <c r="E75" s="15" cm="1">
        <f t="array" ref="E75">Fertiliser_Equations_InorganicCO2.VEERG_5_1_1_3__1_InorganicFertiliserApplicationCO2Emissions(G36,$I$50,$I$51)</f>
        <v>0</v>
      </c>
    </row>
    <row r="76" spans="1:6" ht="20.100000000000001" customHeight="1" x14ac:dyDescent="0.2">
      <c r="D76" s="15" t="str">
        <v>Calcium nitrate</v>
      </c>
      <c r="E76" s="15" cm="1">
        <f t="array" ref="E76">Fertiliser_Equations_InorganicCO2.VEERG_5_1_1_3__1_InorganicFertiliserApplicationCO2Emissions(G37,$I$50,$I$51)</f>
        <v>0</v>
      </c>
    </row>
    <row r="78" spans="1:6" ht="20.100000000000001" customHeight="1" x14ac:dyDescent="0.2">
      <c r="D78" s="85" t="s">
        <v>789</v>
      </c>
      <c r="E78" s="86">
        <f>SUM(E58:E76)</f>
        <v>18.492752666666668</v>
      </c>
      <c r="F78" s="95" t="str">
        <f>$E$47</f>
        <v>t CO2</v>
      </c>
    </row>
  </sheetData>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412B-337B-40A8-A54D-8B7B5924F7AC}">
  <sheetPr>
    <tabColor rgb="FF008000"/>
  </sheetPr>
  <dimension ref="A1:U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790</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Fertiliser_Equations_OrganicN2O.VEERG_5_2_1_1__2_MassOfNitrogenInOrganicFertiliser_Title()</f>
        <v>Mass of nitrogen in purchased organic fertilisers applied to production system</v>
      </c>
    </row>
    <row r="6" spans="1:21" ht="20.100000000000001" customHeight="1" x14ac:dyDescent="0.2">
      <c r="D6" s="17" t="str" cm="1">
        <f t="array" ref="D6">Fertiliser_Equations_OrganicN2O.VEERG_5_2_1_1__2_MassOfNitrogenInOrganicFertiliser_Source()</f>
        <v>VEERG 2026: 5.2.1.1, Equation (2)</v>
      </c>
    </row>
    <row r="7" spans="1:21" ht="20.100000000000001" customHeight="1" x14ac:dyDescent="0.2">
      <c r="D7" s="112" t="s">
        <v>321</v>
      </c>
      <c r="E7" s="112" t="str" cm="1">
        <f t="array" aca="1" ref="E7" ca="1">Common_InputFunctions.Utility_DisplayFunctionName($I$20)</f>
        <v>=Fertiliser_Equations_OrganicN2O.VEERG_5_2_1_1__2_MassOfNitrogenInOrganicFertiliser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Fertiliser_Equations_OrganicN2O.VEERG_5_2_1_1__2_MassOfNitrogenInOrganicFertiliser_Variable()</f>
        <v>MNSoil_jf</v>
      </c>
    </row>
    <row r="11" spans="1:21" ht="20.100000000000001" customHeight="1" x14ac:dyDescent="0.2">
      <c r="A11" s="5" t="str">
        <f>HYPERLINK("#'Input - Feedlot'!A1", "Feedlot")</f>
        <v>Feedlot</v>
      </c>
      <c r="D11" s="75" t="s">
        <v>118</v>
      </c>
      <c r="E11" s="9" t="str" cm="1">
        <f t="array" ref="E11">Fertiliser_Equations_OrganicN2O.VEERG_5_2_1_1__2_MassOfNitrogenInOrganicFertiliser_Unit()</f>
        <v>kg N</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24" t="str" cm="1">
        <f t="array" ref="D13:E15">_xlfn.CHOOSECOLS(Fertiliser_Equations_OrganicN2O.VEERG_5_2_1_1__2_MassOfNitrogenInOrganicFertiliser_Arguments(), 1, 2)</f>
        <v>M_organicjf</v>
      </c>
      <c r="E13" s="126" t="str">
        <v>mass of organic fertiliser type f applied to production system j</v>
      </c>
      <c r="F13" s="224"/>
      <c r="G13" s="113" t="str" cm="1">
        <f t="array" ref="G13:H15">_xlfn.CHOOSECOLS(Fertiliser_Equations_OrganicN2O.VEERG_5_2_1_1__2_MassOfNitrogenInOrganicFertiliser_Arguments(), 3,4)</f>
        <v>kg</v>
      </c>
      <c r="H13" s="114" t="str">
        <v>Input</v>
      </c>
      <c r="I13" s="116" t="str" cm="1">
        <f t="array" aca="1" ref="I13" ca="1">HYPERLINK(Common_InputFunctions.Utility_SourceHyperlink($D$17), $D$17)</f>
        <v>Table_MNSoil_j_f</v>
      </c>
    </row>
    <row r="14" spans="1:21" ht="20.100000000000001" customHeight="1" x14ac:dyDescent="0.2">
      <c r="A14" s="5" t="str">
        <f>HYPERLINK("#'Input - Fuel'!A1", "Fuel")</f>
        <v>Fuel</v>
      </c>
      <c r="D14" s="124" t="str">
        <v>FN_organicf</v>
      </c>
      <c r="E14" s="126" t="str">
        <v>nitrogen fraction of organic fertiliser type f</v>
      </c>
      <c r="F14" s="224"/>
      <c r="G14" s="113" t="str">
        <v>kg N/kg</v>
      </c>
      <c r="H14" s="114" t="str">
        <v>Input</v>
      </c>
      <c r="I14" s="116" t="str" cm="1">
        <f t="array" aca="1" ref="I14" ca="1">HYPERLINK(Common_InputFunctions.Utility_SourceHyperlink($D$17), $D$17)</f>
        <v>Table_MNSoil_j_f</v>
      </c>
    </row>
    <row r="15" spans="1:21" ht="20.100000000000001" customHeight="1" x14ac:dyDescent="0.2">
      <c r="A15" s="5" t="str">
        <f>HYPERLINK("#'Input - Electricity'!A1", "Electricity")</f>
        <v>Electricity</v>
      </c>
      <c r="D15" s="124" t="str">
        <v>f</v>
      </c>
      <c r="E15" s="126" t="str">
        <v>Organic fertiliser type</v>
      </c>
      <c r="F15" s="224"/>
      <c r="G15" s="113" t="str">
        <v/>
      </c>
      <c r="H15" s="114" t="str">
        <v>Input</v>
      </c>
      <c r="I15" s="116" t="str" cm="1">
        <f t="array" aca="1" ref="I15" ca="1">HYPERLINK(Common_InputFunctions.Utility_SourceHyperlink($D$17), $D$17)</f>
        <v>Table_MNSoil_j_f</v>
      </c>
    </row>
    <row r="16" spans="1:21" ht="20.100000000000001" customHeight="1" x14ac:dyDescent="0.2">
      <c r="A16" s="5" t="str">
        <f>HYPERLINK("#'Input - Common farm inputs'!A1", "Common farm inputs")</f>
        <v>Common farm inputs</v>
      </c>
    </row>
    <row r="17" spans="1:10" ht="20.100000000000001" customHeight="1" x14ac:dyDescent="0.2">
      <c r="A17" s="5" t="str">
        <f>HYPERLINK("#'Input - Livestock farm Inputs'!A1", "Livestock farm Inputs")</f>
        <v>Livestock farm Inputs</v>
      </c>
      <c r="D17" s="118" t="s">
        <v>791</v>
      </c>
    </row>
    <row r="18" spans="1:10" ht="20.100000000000001" customHeight="1" x14ac:dyDescent="0.2">
      <c r="A18" s="5" t="str">
        <f>HYPERLINK("#'Input - Freight'!A1", "Freight")</f>
        <v>Freight</v>
      </c>
      <c r="D18" s="119" t="s">
        <v>792</v>
      </c>
    </row>
    <row r="19" spans="1:10" ht="20.100000000000001" customHeight="1" x14ac:dyDescent="0.2">
      <c r="A19" s="5" t="str">
        <f>HYPERLINK("#'Input - Solid waste'!A1", "Solid waste")</f>
        <v>Solid waste</v>
      </c>
      <c r="D19" s="78" t="s">
        <v>793</v>
      </c>
      <c r="E19" s="78" t="s">
        <v>794</v>
      </c>
      <c r="F19" s="78" t="s">
        <v>685</v>
      </c>
      <c r="G19" s="128" t="s">
        <v>795</v>
      </c>
      <c r="H19" s="78" t="s">
        <v>796</v>
      </c>
      <c r="I19" s="128" t="s">
        <v>797</v>
      </c>
    </row>
    <row r="20" spans="1:10" ht="20.100000000000001" customHeight="1" x14ac:dyDescent="0.2">
      <c r="A20" s="5" t="str">
        <f>HYPERLINK("#'Input - Manure sent off-site'!A1", "Manure sent off-site")</f>
        <v>Manure sent off-site</v>
      </c>
      <c r="D20" s="15" t="str" cm="1">
        <f t="array" ref="D20:D22">Table_Input_OrganicFertiliser[Organic fertiliser type (select)]</f>
        <v>Manure - Other</v>
      </c>
      <c r="E20" s="228" cm="1">
        <f t="array" ref="E20:E22">Table_Input_OrganicFertiliser[Amount applied (kg/hectare)]</f>
        <v>10</v>
      </c>
      <c r="F20" s="228" cm="1">
        <f t="array" ref="F20:F22">Table_Input_OrganicFertiliser[Application area (ha)]</f>
        <v>100</v>
      </c>
      <c r="G20" s="15" cm="1">
        <f t="array" ref="G20:G22">Table_Input_OrganicFertiliser[Amount applied (kg/hectare)]*Table_Input_OrganicFertiliser[Application area (ha)]</f>
        <v>1000</v>
      </c>
      <c r="H20" s="229" cm="1">
        <f t="array" ref="H20:H22">Table_Input_OrganicFertiliser[Percentage of N in fertiliser]</f>
        <v>0.3</v>
      </c>
      <c r="I20" s="15" cm="1">
        <f t="array" ref="I20">Fertiliser_Equations_OrganicN2O.VEERG_5_2_1_1__2_MassOfNitrogenInOrganicFertiliser(G20,H20)</f>
        <v>300</v>
      </c>
    </row>
    <row r="21" spans="1:10" ht="20.100000000000001" customHeight="1" x14ac:dyDescent="0.2">
      <c r="A21" s="5" t="str">
        <f>HYPERLINK("#'Input - Data quality'!A1", "Data quality")</f>
        <v>Data quality</v>
      </c>
      <c r="D21" s="15" t="str">
        <v>Manure - Poultry</v>
      </c>
      <c r="E21" s="15">
        <v>10</v>
      </c>
      <c r="F21" s="15">
        <v>100</v>
      </c>
      <c r="G21" s="15">
        <v>1000</v>
      </c>
      <c r="H21" s="15">
        <v>0.25</v>
      </c>
      <c r="I21" s="15" cm="1">
        <f t="array" ref="I21">Fertiliser_Equations_Organic.VEERG_5_2_1_1__2_MassOfNitrogenInOrganicFertiliser(G21,H21)</f>
        <v>250</v>
      </c>
    </row>
    <row r="22" spans="1:10" ht="20.100000000000001" customHeight="1" x14ac:dyDescent="0.2">
      <c r="A22" s="5" t="str">
        <f>HYPERLINK("#'Input - Fert Prod System'!A1", "Fert Prod System")</f>
        <v>Fert Prod System</v>
      </c>
      <c r="D22" s="15" t="str">
        <v>Other organic fertiliser</v>
      </c>
      <c r="E22" s="15">
        <v>10</v>
      </c>
      <c r="F22" s="15">
        <v>100</v>
      </c>
      <c r="G22" s="15">
        <v>1000</v>
      </c>
      <c r="H22" s="15">
        <v>0.16</v>
      </c>
      <c r="I22" s="15" cm="1">
        <f t="array" ref="I22">Fertiliser_Equations_Organic.VEERG_5_2_1_1__2_MassOfNitrogenInOrganicFertiliser(G22,H22)</f>
        <v>160</v>
      </c>
    </row>
    <row r="23" spans="1:10" ht="20.100000000000001" customHeight="1" x14ac:dyDescent="0.2">
      <c r="A23" s="5" t="str">
        <f>HYPERLINK("#'Input - Fertiliser'!A1", "Fertiliser")</f>
        <v>Fertiliser</v>
      </c>
      <c r="D23" s="15"/>
      <c r="E23" s="15"/>
      <c r="F23" s="15"/>
      <c r="G23" s="15"/>
      <c r="H23" s="15"/>
      <c r="I23" s="15" cm="1">
        <f t="array" ref="I23">Fertiliser_Equations_Organic.VEERG_5_2_1_1__2_MassOfNitrogenInOrganicFertiliser(G23,H23)</f>
        <v>0</v>
      </c>
    </row>
    <row r="24" spans="1:10" ht="20.100000000000001" customHeight="1" x14ac:dyDescent="0.2">
      <c r="D24" s="15"/>
      <c r="E24" s="15"/>
      <c r="F24" s="15"/>
      <c r="G24" s="15"/>
      <c r="H24" s="15"/>
      <c r="I24" s="15" cm="1">
        <f t="array" ref="I24">Fertiliser_Equations_Organic.VEERG_5_2_1_1__2_MassOfNitrogenInOrganicFertiliser(G24,H24)</f>
        <v>0</v>
      </c>
    </row>
    <row r="25" spans="1:10" ht="20.100000000000001" customHeight="1" x14ac:dyDescent="0.2">
      <c r="D25" s="15"/>
      <c r="E25" s="15"/>
      <c r="F25" s="15"/>
      <c r="G25" s="15"/>
      <c r="H25" s="15"/>
      <c r="I25" s="15" cm="1">
        <f t="array" ref="I25">Fertiliser_Equations_Organic.VEERG_5_2_1_1__2_MassOfNitrogenInOrganicFertiliser(G25,H25)</f>
        <v>0</v>
      </c>
    </row>
    <row r="26" spans="1:10" ht="20.100000000000001" customHeight="1" x14ac:dyDescent="0.2">
      <c r="A26" s="6" t="s">
        <v>2</v>
      </c>
      <c r="D26" s="15"/>
      <c r="E26" s="15"/>
      <c r="F26" s="15"/>
      <c r="G26" s="15"/>
      <c r="H26" s="15"/>
      <c r="I26" s="15" cm="1">
        <f t="array" ref="I26">Fertiliser_Equations_Organic.VEERG_5_2_1_1__2_MassOfNitrogenInOrganicFertiliser(G26,H26)</f>
        <v>0</v>
      </c>
    </row>
    <row r="27" spans="1:10" ht="20.100000000000001" customHeight="1" x14ac:dyDescent="0.2">
      <c r="A27" s="5" t="str">
        <f>HYPERLINK("#'3.1.1.1-2 Enteric Methane'!A1", "3.1.1.1-2 Enteric Methane")</f>
        <v>3.1.1.1-2 Enteric Methane</v>
      </c>
      <c r="D27" s="15"/>
      <c r="E27" s="15"/>
      <c r="F27" s="15"/>
      <c r="G27" s="15"/>
      <c r="H27" s="15"/>
      <c r="I27" s="15" cm="1">
        <f t="array" ref="I27">Fertiliser_Equations_Organic.VEERG_5_2_1_1__2_MassOfNitrogenInOrganicFertiliser(G27,H27)</f>
        <v>0</v>
      </c>
    </row>
    <row r="28" spans="1:10" ht="20.100000000000001" customHeight="1" x14ac:dyDescent="0.2">
      <c r="A28" s="5" t="str">
        <f>HYPERLINK("#'4.1.1.1-2 Methane'!A1", "4.1.1.1-2 Manure Methane")</f>
        <v>4.1.1.1-2 Manure Methane</v>
      </c>
      <c r="D28" s="15"/>
      <c r="E28" s="15"/>
      <c r="F28" s="15"/>
      <c r="G28" s="15"/>
      <c r="H28" s="15"/>
      <c r="I28" s="15" cm="1">
        <f t="array" ref="I28">Fertiliser_Equations_Organic.VEERG_5_2_1_1__2_MassOfNitrogenInOrganicFertiliser(G28,H28)</f>
        <v>0</v>
      </c>
    </row>
    <row r="29" spans="1:10" ht="20.100000000000001" customHeight="1" x14ac:dyDescent="0.2">
      <c r="A29" s="5" t="str">
        <f>HYPERLINK("#'4.1.1.3-4 Direct N20'!A1", "4.1.1.3-4 Manure Direct N2O")</f>
        <v>4.1.1.3-4 Manure Direct N2O</v>
      </c>
      <c r="D29" s="15"/>
      <c r="E29" s="15"/>
      <c r="F29" s="15"/>
      <c r="G29" s="15"/>
      <c r="H29" s="15"/>
      <c r="I29" s="15" cm="1">
        <f t="array" ref="I29">Fertiliser_Equations_Organic.VEERG_5_2_1_1__2_MassOfNitrogenInOrganicFertiliser(G29,H29)</f>
        <v>0</v>
      </c>
    </row>
    <row r="30" spans="1:10" ht="20.100000000000001" customHeight="1" x14ac:dyDescent="0.2">
      <c r="A30" s="5" t="str">
        <f>HYPERLINK("#'4.1.1.5-6 Atmos Deposition'!A1", "4.1.1.5-6 Manure Atmos Dep")</f>
        <v>4.1.1.5-6 Manure Atmos Dep</v>
      </c>
      <c r="D30" s="15"/>
      <c r="E30" s="15"/>
      <c r="F30" s="15"/>
      <c r="G30" s="15"/>
      <c r="H30" s="15"/>
      <c r="I30" s="15" cm="1">
        <f t="array" ref="I30">Fertiliser_Equations_Organic.VEERG_5_2_1_1__2_MassOfNitrogenInOrganicFertiliser(G30,H30)</f>
        <v>0</v>
      </c>
    </row>
    <row r="31" spans="1:10" ht="20.100000000000001" customHeight="1" x14ac:dyDescent="0.2">
      <c r="A31" s="5" t="str">
        <f>HYPERLINK("#'4.1.1.9 Manure applied to soils'!A1", "4.1.1.9 Manure applied to soils")</f>
        <v>4.1.1.9 Manure applied to soils</v>
      </c>
      <c r="D31" s="152"/>
      <c r="E31" s="152"/>
      <c r="F31" s="152"/>
      <c r="G31" s="152"/>
      <c r="H31" s="152"/>
      <c r="I31" s="152"/>
      <c r="J31" s="152"/>
    </row>
    <row r="32" spans="1:10" ht="20.100000000000001" customHeight="1" x14ac:dyDescent="0.2">
      <c r="A32" s="5" t="str">
        <f>HYPERLINK("#'8.1.1.1-2 Transport fuel'!A1", "8.1.1.1-2 Transport fuel")</f>
        <v>8.1.1.1-2 Transport fuel</v>
      </c>
      <c r="D32" s="88" t="s">
        <v>798</v>
      </c>
      <c r="E32" s="88">
        <f>SUM(I20:I30)</f>
        <v>710</v>
      </c>
      <c r="F32" s="130" t="str">
        <f>$E$11</f>
        <v>kg N</v>
      </c>
      <c r="G32" s="152"/>
      <c r="H32" s="152"/>
      <c r="I32" s="152"/>
      <c r="J32" s="152"/>
    </row>
    <row r="33" spans="1:12" ht="20.100000000000001" customHeight="1" x14ac:dyDescent="0.2">
      <c r="A33" s="5" t="str">
        <f>HYPERLINK("#'8.2.1.1-2 Stationary fuel'!A1", "8.2.1.1-2 Stationary fuel")</f>
        <v>8.2.1.1-2 Stationary fuel</v>
      </c>
    </row>
    <row r="34" spans="1:12" ht="20.100000000000001" customHeight="1" x14ac:dyDescent="0.2">
      <c r="A34" s="5" t="str">
        <f>HYPERLINK("#'10.1.1-2 Solid waste treatment'!A1", "10.1.1.1-2 Solid waste")</f>
        <v>10.1.1.1-2 Solid waste</v>
      </c>
    </row>
    <row r="35" spans="1:12" ht="20.100000000000001" customHeight="1" x14ac:dyDescent="0.2">
      <c r="A35" s="5" t="str">
        <f>HYPERLINK("#'14.1.1-2 Purchased electricity'!A1", "14.1.1-2 Purchased electricity")</f>
        <v>14.1.1-2 Purchased electricity</v>
      </c>
      <c r="C35" s="230"/>
      <c r="D35" s="230"/>
      <c r="E35" s="230"/>
      <c r="F35" s="230"/>
      <c r="G35" s="230"/>
      <c r="H35" s="230"/>
      <c r="I35" s="230"/>
      <c r="J35" s="230"/>
      <c r="K35" s="230"/>
      <c r="L35" s="230"/>
    </row>
    <row r="36" spans="1:12" ht="20.100000000000001" customHeight="1" x14ac:dyDescent="0.2">
      <c r="A36" s="5" t="str">
        <f>HYPERLINK("#'15 Scope 3'!A1", "15 Scope 3")</f>
        <v>15 Scope 3</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
      <c r="A37" s="5" t="str">
        <f>HYPERLINK("#'Calcs - Manure sent off-site'!A1", "Calcs - Manure sent off-site")</f>
        <v>Calcs - Manure sent off-site</v>
      </c>
      <c r="D37" s="17" t="str" cm="1">
        <f t="array" ref="D37">Fertiliser_Equations_OrganicN2O.VEERG_5_2_1_1__1_OrganicFertiliserApplicationN2OEmissions_Source()</f>
        <v>VEERG 2026: 5.2.1.1, Equation (1)</v>
      </c>
    </row>
    <row r="38" spans="1:12" ht="20.100000000000001" customHeight="1" x14ac:dyDescent="0.2">
      <c r="A38" s="5" t="str">
        <f>HYPERLINK("#'5.1.1.1-2 Inorganic fert N2O'!A1", "5.1.1.1-2 Inorganic fert N2O")</f>
        <v>5.1.1.1-2 Inorganic fert N2O</v>
      </c>
      <c r="D38" s="112" t="s">
        <v>321</v>
      </c>
      <c r="E38" s="112" t="str" cm="1">
        <f t="array" aca="1" ref="E38" ca="1">Common_InputFunctions.Utility_DisplayFunctionName($I$20)</f>
        <v>=Fertiliser_Equations_OrganicN2O.VEERG_5_2_1_1__2_MassOfNitrogenInOrganicFertiliser</v>
      </c>
    </row>
    <row r="39" spans="1:12" ht="20.100000000000001" customHeight="1" x14ac:dyDescent="0.2">
      <c r="A39" s="5" t="str">
        <f>HYPERLINK("#'5.1.1.3-4 Inorganic fert CO2'!A1", "5.1.1.3-4 Inorganic fert CO2")</f>
        <v>5.1.1.3-4 Inorganic fert CO2</v>
      </c>
    </row>
    <row r="40" spans="1:12" ht="20.100000000000001" customHeight="1" x14ac:dyDescent="0.2">
      <c r="A40" s="117" t="str">
        <f>HYPERLINK("#'5.2.1.1-2 Organic Fert N2O'!A1", "5.2.1.1-2 Organic Fert N2O")</f>
        <v>5.2.1.1-2 Organic Fert N2O</v>
      </c>
    </row>
    <row r="41" spans="1:12" ht="20.100000000000001" customHeight="1" x14ac:dyDescent="0.2">
      <c r="A41" s="5" t="str">
        <f>HYPERLINK("#'5.3.1.1-2 Lime CO2'!A1", "5.3.1.1-2 Lime CO2")</f>
        <v>5.3.1.1-2 Lime CO2</v>
      </c>
      <c r="D41" s="75" t="s">
        <v>322</v>
      </c>
      <c r="E41" s="1" t="str" cm="1">
        <f t="array" ref="E41">Fertiliser_Equations_OrganicN2O.VEERG_5_2_1_1__1_OrganicFertiliserApplicationN2OEmissions_Variable()</f>
        <v>E_N2O</v>
      </c>
    </row>
    <row r="42" spans="1:12" ht="20.100000000000001" customHeight="1" x14ac:dyDescent="0.2">
      <c r="A42" s="5" t="str">
        <f>HYPERLINK("#'5.4.1.1-4 Atmos deposition'!A1", "5.4.1.1-4 Atmos deposition")</f>
        <v>5.4.1.1-4 Atmos deposition</v>
      </c>
      <c r="D42" s="75" t="s">
        <v>118</v>
      </c>
      <c r="E42" s="9" t="str" cm="1">
        <f t="array" ref="E42">Fertiliser_Equations_OrganicN2O.VEERG_5_2_1_1__1_OrganicFertiliserApplicationN2OEmissions_Unit()</f>
        <v>t N2O</v>
      </c>
    </row>
    <row r="43" spans="1:12" ht="20.100000000000001" customHeight="1" x14ac:dyDescent="0.2">
      <c r="A43" s="5" t="str">
        <f>HYPERLINK("#'5.5.1.1-2 Leaching and runoff'!A1", "5.5.1.1-2 Leaching and runoff")</f>
        <v>5.5.1.1-2 Leaching and runoff</v>
      </c>
    </row>
    <row r="44" spans="1:12" ht="20.100000000000001" customHeight="1" x14ac:dyDescent="0.2">
      <c r="D44" s="113" t="str" cm="1">
        <f t="array" ref="D44:E48">_xlfn.CHOOSECOLS(Fertiliser_Equations_OrganicN2O.VEERG_5_2_1_1__1_OrganicFertiliserApplicationN2OEmissions_Arguments(), 1, 2)</f>
        <v>MNSoil_jf</v>
      </c>
      <c r="E44" s="121" t="str">
        <v>mass of nitrogen in organic fertiliser type f applied to production system j</v>
      </c>
      <c r="F44" s="132"/>
      <c r="G44" s="132"/>
      <c r="H44" s="122"/>
      <c r="I44" s="113" t="str" cm="1">
        <f t="array" ref="I44:J48">_xlfn.CHOOSECOLS(Fertiliser_Equations_OrganicN2O.VEERG_5_2_1_1__1_OrganicFertiliserApplicationN2OEmissions_Arguments(), 3,4)</f>
        <v>kg N</v>
      </c>
      <c r="J44" s="115" t="str">
        <v>Calculated from 5.2.1.1 (2)</v>
      </c>
      <c r="K44" s="113">
        <f>$E$32</f>
        <v>710</v>
      </c>
    </row>
    <row r="45" spans="1:12" ht="20.100000000000001" customHeight="1" x14ac:dyDescent="0.2">
      <c r="D45" s="113" t="str">
        <v>EF_N2Oi</v>
      </c>
      <c r="E45" s="121" t="str">
        <v>emission factor for direct nitrous oxide emissions from organic fertiliser applied to soils and aquatic systems in climate zone i</v>
      </c>
      <c r="F45" s="132"/>
      <c r="G45" s="132"/>
      <c r="H45" s="122"/>
      <c r="I45" s="113" t="str">
        <v>kg N2O-N/kg N</v>
      </c>
      <c r="J45" s="115" t="str">
        <v>Lookup</v>
      </c>
      <c r="K45" s="113">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A46" s="80" t="s">
        <v>1</v>
      </c>
      <c r="D46" s="113" t="str">
        <v>C_N2O</v>
      </c>
      <c r="E46" s="121" t="str">
        <v>factor to convert elemental mass of nitrous oxide to molecular mass</v>
      </c>
      <c r="F46" s="132"/>
      <c r="G46" s="132"/>
      <c r="H46" s="122"/>
      <c r="I46" s="113" t="str">
        <v/>
      </c>
      <c r="J46" s="115" t="str">
        <v>Constant</v>
      </c>
      <c r="K46" s="124">
        <f>Common_InputFunctions.Utility_LookupValueInTableNumber("N2O",Table_GasToMolecularConversionFactor[Gas],Table_GasToMolecularConversionFactor[Conversion factor combined])</f>
        <v>1.5714285714285714</v>
      </c>
    </row>
    <row r="47" spans="1:12" ht="20.100000000000001" customHeight="1" x14ac:dyDescent="0.2">
      <c r="A47" s="5" t="str">
        <f>HYPERLINK("#'Constants - Feedlot'!A1", "Constants - Feedlot")</f>
        <v>Constants - Feedlot</v>
      </c>
      <c r="D47" s="113" t="str">
        <v>j</v>
      </c>
      <c r="E47" s="121" t="str">
        <v>Production system</v>
      </c>
      <c r="F47" s="132"/>
      <c r="G47" s="132"/>
      <c r="H47" s="122"/>
      <c r="I47" s="113" t="str">
        <v/>
      </c>
      <c r="J47" s="114" t="str">
        <v>Input</v>
      </c>
      <c r="K47" s="113" t="str">
        <f>X_Cell_Fertiliser_ProductionSystem</f>
        <v>Crop</v>
      </c>
    </row>
    <row r="48" spans="1:12" ht="20.100000000000001" customHeight="1" x14ac:dyDescent="0.2">
      <c r="A48" s="5" t="str">
        <f>HYPERLINK("#'Constants - Common livestock'!A1", "Constants - Common Livestock")</f>
        <v>Constants - Common Livestock</v>
      </c>
      <c r="D48" s="113" t="str">
        <v>i</v>
      </c>
      <c r="E48" s="121" t="str">
        <v>Wet or dry climate zone</v>
      </c>
      <c r="F48" s="132"/>
      <c r="G48" s="132"/>
      <c r="H48" s="122"/>
      <c r="I48" s="113" t="str">
        <v/>
      </c>
      <c r="J48" s="114" t="str">
        <v>Input</v>
      </c>
      <c r="K48" s="113" t="str">
        <f>X_Cell_Site_WetOrDryClimateZone</f>
        <v>Dry climate zone</v>
      </c>
    </row>
    <row r="49" spans="1:7" ht="20.100000000000001" customHeight="1" x14ac:dyDescent="0.2">
      <c r="A49" s="5" t="str">
        <f>HYPERLINK("#'Constants - Electricity'!A1", "Constants - Electricity")</f>
        <v>Constants - Electricity</v>
      </c>
    </row>
    <row r="50" spans="1:7" ht="20.100000000000001" customHeight="1" x14ac:dyDescent="0.2">
      <c r="A50" s="5" t="str">
        <f>HYPERLINK("#'Constants - Fertiliser'!A1", "Constants - Fertiliser")</f>
        <v>Constants - Fertiliser</v>
      </c>
      <c r="D50" s="85" t="s">
        <v>772</v>
      </c>
      <c r="E50" s="86" cm="1">
        <f t="array" ref="E50">Fertiliser_Equations_OrganicN2O.VEERG_5_2_1_1__1_OrganicFertiliserApplicationN2OEmissions(K44,K45,K46)</f>
        <v>5.5785714285714293E-3</v>
      </c>
      <c r="F50" s="95" t="str">
        <f>$E$42</f>
        <v>t N2O</v>
      </c>
    </row>
    <row r="51" spans="1:7" ht="20.100000000000001" customHeight="1" x14ac:dyDescent="0.2">
      <c r="A51" s="5" t="str">
        <f>HYPERLINK("#'Constants - Fuel'!A1", "Constants - Fuel")</f>
        <v>Constants - Fuel</v>
      </c>
    </row>
    <row r="52" spans="1:7" ht="20.100000000000001" customHeight="1" x14ac:dyDescent="0.2">
      <c r="A52" s="5" t="str">
        <f>HYPERLINK("#'Constants - Scope 3'!A1", "Constants - Scope 3")</f>
        <v>Constants - Scope 3</v>
      </c>
      <c r="D52" s="124" t="str" cm="1">
        <f t="array" ref="D52:E53">Common_Equations.Common_ConvertN2OToCO2e_Arguments()</f>
        <v>EN2O</v>
      </c>
      <c r="E52" s="126" t="str">
        <v>Nitrous oxide emissions (t N2O)</v>
      </c>
      <c r="F52" s="127"/>
      <c r="G52" s="15">
        <f>VEERG_5_2_1_1__2_MassOfNitrogenInOrganicFertiliser_Result_Method1</f>
        <v>5.5785714285714293E-3</v>
      </c>
    </row>
    <row r="53" spans="1:7" ht="20.100000000000001" customHeight="1" x14ac:dyDescent="0.2">
      <c r="A53" s="5" t="str">
        <f>HYPERLINK("#'Constants - Solid Waste'!A1", "Constants - Solid Waste")</f>
        <v>Constants - Solid Waste</v>
      </c>
      <c r="D53" s="124" t="str">
        <v>GWPN2O</v>
      </c>
      <c r="E53" s="126" t="str">
        <v>Global warming potential for nitrous oxide (t CO2-e / t N2O)</v>
      </c>
      <c r="F53" s="127"/>
      <c r="G53" s="15">
        <f>Common_InputFunctions.Utility_LookupValueInTableNumber("N2O",Table_GWPData[Gas],Table_GWPData[CO2-e factor])</f>
        <v>265</v>
      </c>
    </row>
    <row r="54" spans="1:7" ht="20.100000000000001" customHeight="1" x14ac:dyDescent="0.2">
      <c r="A54" s="5" t="str">
        <f>HYPERLINK("#'Constants - Common'!A1", "Constants - Common")</f>
        <v>Constants - Common</v>
      </c>
    </row>
    <row r="55" spans="1:7" ht="20.100000000000001" customHeight="1" x14ac:dyDescent="0.2">
      <c r="A55" s="5" t="str">
        <f>HYPERLINK("#'Acknowledgements'!A1", "Acknowledgements")</f>
        <v>Acknowledgements</v>
      </c>
      <c r="D55" s="83" t="s">
        <v>428</v>
      </c>
      <c r="E55" s="83" cm="1">
        <f t="array" ref="E55">Common_Equations.Common_ConvertN2OToCO2e(G52,G53)</f>
        <v>1.4783214285714288</v>
      </c>
      <c r="F55" s="89" t="str" cm="1">
        <f t="array" ref="F55">Common_Equations.Common_ConvertN2OToCO2e_Unit()</f>
        <v>t CO2e</v>
      </c>
    </row>
  </sheetData>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D6E0-41A7-4986-A722-E1C273236A87}">
  <sheetPr>
    <tabColor rgb="FF008000"/>
  </sheetPr>
  <dimension ref="A1:U55"/>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799</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Fertiliser_Equations_Lime.VEERG_5_3_1_1__1_LimeApplicationCO2Emissions_Title()</f>
        <v>Emissions from the application of lime and dolomite to production systems</v>
      </c>
    </row>
    <row r="6" spans="1:21" ht="20.100000000000001" customHeight="1" x14ac:dyDescent="0.2">
      <c r="D6" s="17" t="str" cm="1">
        <f t="array" ref="D6">Fertiliser_Equations_Lime.VEERG_5_3_1_1__1_LimeApplicationCO2Emissions_Source()</f>
        <v>VEERG 2026: 5.3.1.1, Equation (1)</v>
      </c>
    </row>
    <row r="7" spans="1:21" ht="20.100000000000001" customHeight="1" x14ac:dyDescent="0.2">
      <c r="D7" s="112" t="s">
        <v>321</v>
      </c>
      <c r="E7" s="112" t="str" cm="1">
        <f t="array" aca="1" ref="E7" ca="1">Common_InputFunctions.Utility_DisplayFunctionName(H25)</f>
        <v>=Fertiliser_Equations_Lime.VEERG_5_3_1_1__1_LimeApplicationCO2Emissions</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Fertiliser_Equations_Lime.VEERG_5_3_1_1__1_LimeApplicationCO2Emissions_Variable()</f>
        <v>E_lime</v>
      </c>
    </row>
    <row r="11" spans="1:21" ht="20.100000000000001" customHeight="1" x14ac:dyDescent="0.2">
      <c r="A11" s="5" t="str">
        <f>HYPERLINK("#'Input - Feedlot'!A1", "Feedlot")</f>
        <v>Feedlot</v>
      </c>
      <c r="D11" s="75" t="s">
        <v>118</v>
      </c>
      <c r="E11" s="9" t="str" cm="1">
        <f t="array" ref="E11">Fertiliser_Equations_Lime.VEERG_5_3_1_1__1_LimeApplicationCO2Emissions_Unit()</f>
        <v>t CO2</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3" t="str" cm="1">
        <f t="array" ref="D13:E20">_xlfn.CHOOSECOLS(Fertiliser_Equations_Lime.VEERG_5_3_1_1__1_LimeApplicationCO2Emissions_Arguments(), 1, 2)</f>
        <v>M_lime</v>
      </c>
      <c r="E13" s="121" t="str">
        <v>total mass of lime applied to production system</v>
      </c>
      <c r="F13" s="122"/>
      <c r="G13" s="113" t="str" cm="1">
        <f t="array" ref="G13:H20">_xlfn.CHOOSECOLS(Fertiliser_Equations_Lime.VEERG_5_3_1_1__1_LimeApplicationCO2Emissions_Arguments(), 3,4)</f>
        <v>kg</v>
      </c>
      <c r="H13" s="114" t="str">
        <v>Input</v>
      </c>
      <c r="I13" s="116" t="str" cm="1">
        <f t="array" aca="1" ref="I13" ca="1">HYPERLINK(Common_InputFunctions.Utility_SourceHyperlink($D$22), $D$22)</f>
        <v>Table_E_lime</v>
      </c>
    </row>
    <row r="14" spans="1:21" ht="20.100000000000001" customHeight="1" x14ac:dyDescent="0.2">
      <c r="A14" s="5" t="str">
        <f>HYPERLINK("#'Input - Fuel'!A1", "Fuel")</f>
        <v>Fuel</v>
      </c>
      <c r="D14" s="113" t="str">
        <v>FracLime</v>
      </c>
      <c r="E14" s="121" t="str">
        <v>fraction of lime as limestone (CaCO3)</v>
      </c>
      <c r="F14" s="122"/>
      <c r="G14" s="113" t="str">
        <v>fraction</v>
      </c>
      <c r="H14" s="114" t="str">
        <v>Input</v>
      </c>
      <c r="I14" s="116" t="str" cm="1">
        <f t="array" aca="1" ref="I14" ca="1">HYPERLINK(Common_InputFunctions.Utility_SourceHyperlink($D$22), $D$22)</f>
        <v>Table_E_lime</v>
      </c>
    </row>
    <row r="15" spans="1:21" ht="20.100000000000001" customHeight="1" x14ac:dyDescent="0.2">
      <c r="A15" s="5" t="str">
        <f>HYPERLINK("#'Input - Electricity'!A1", "Electricity")</f>
        <v>Electricity</v>
      </c>
      <c r="D15" s="113" t="str">
        <v>P_lime</v>
      </c>
      <c r="E15" s="121" t="str">
        <v>fractional purity of limestone</v>
      </c>
      <c r="F15" s="122"/>
      <c r="G15" s="113" t="str">
        <v>fraction</v>
      </c>
      <c r="H15" s="115" t="str">
        <v>Constant</v>
      </c>
      <c r="I15" s="113">
        <f>'Constants - Fertiliser'!$E$66</f>
        <v>0.9</v>
      </c>
    </row>
    <row r="16" spans="1:21" ht="20.100000000000001" customHeight="1" x14ac:dyDescent="0.2">
      <c r="A16" s="5" t="str">
        <f>HYPERLINK("#'Input - Common farm inputs'!A1", "Common farm inputs")</f>
        <v>Common farm inputs</v>
      </c>
      <c r="D16" s="113" t="str">
        <v>EF_lime</v>
      </c>
      <c r="E16" s="121" t="str">
        <v>emission factor for limestone fraction of lime</v>
      </c>
      <c r="F16" s="122"/>
      <c r="G16" s="113" t="str">
        <v>kg C/kg</v>
      </c>
      <c r="H16" s="115" t="str">
        <v>Constant</v>
      </c>
      <c r="I16" s="113">
        <f>'Constants - Fertiliser'!$F$66</f>
        <v>0.12</v>
      </c>
    </row>
    <row r="17" spans="1:9" ht="20.100000000000001" customHeight="1" x14ac:dyDescent="0.2">
      <c r="A17" s="5" t="str">
        <f>HYPERLINK("#'Input - Livestock farm Inputs'!A1", "Livestock farm Inputs")</f>
        <v>Livestock farm Inputs</v>
      </c>
      <c r="D17" s="113" t="str">
        <v>FracDol</v>
      </c>
      <c r="E17" s="121" t="str">
        <v>fraction of lime as dolomite</v>
      </c>
      <c r="F17" s="122"/>
      <c r="G17" s="113" t="str">
        <v>fraction</v>
      </c>
      <c r="H17" s="114" t="str">
        <v>Input</v>
      </c>
      <c r="I17" s="116" t="str" cm="1">
        <f t="array" aca="1" ref="I17" ca="1">HYPERLINK(Common_InputFunctions.Utility_SourceHyperlink($D$22), $D$22)</f>
        <v>Table_E_lime</v>
      </c>
    </row>
    <row r="18" spans="1:9" ht="20.100000000000001" customHeight="1" x14ac:dyDescent="0.2">
      <c r="A18" s="5" t="str">
        <f>HYPERLINK("#'Input - Freight'!A1", "Freight")</f>
        <v>Freight</v>
      </c>
      <c r="D18" s="113" t="str">
        <v>P_dol</v>
      </c>
      <c r="E18" s="121" t="str">
        <v>fractional purity of dolomite</v>
      </c>
      <c r="F18" s="122"/>
      <c r="G18" s="113" t="str">
        <v>fraction</v>
      </c>
      <c r="H18" s="115" t="str">
        <v>Constant</v>
      </c>
      <c r="I18" s="113">
        <f>'Constants - Fertiliser'!$E$67</f>
        <v>0.95</v>
      </c>
    </row>
    <row r="19" spans="1:9" ht="20.100000000000001" customHeight="1" x14ac:dyDescent="0.2">
      <c r="A19" s="5" t="str">
        <f>HYPERLINK("#'Input - Solid waste'!A1", "Solid waste")</f>
        <v>Solid waste</v>
      </c>
      <c r="D19" s="113" t="str">
        <v>EF_dol</v>
      </c>
      <c r="E19" s="121" t="str">
        <v>emission factor for dolomite fraction of lime</v>
      </c>
      <c r="F19" s="122"/>
      <c r="G19" s="113" t="str">
        <v>kg C/kg</v>
      </c>
      <c r="H19" s="115" t="str">
        <v>Constant</v>
      </c>
      <c r="I19" s="113">
        <f>'Constants - Fertiliser'!$F$67</f>
        <v>0.13</v>
      </c>
    </row>
    <row r="20" spans="1:9" ht="20.100000000000001" customHeight="1" x14ac:dyDescent="0.2">
      <c r="A20" s="5" t="str">
        <f>HYPERLINK("#'Input - Manure sent off-site'!A1", "Manure sent off-site")</f>
        <v>Manure sent off-site</v>
      </c>
      <c r="D20" s="113" t="str">
        <v>C_CO2</v>
      </c>
      <c r="E20" s="121" t="str">
        <v>factor to convert elemental mass of carbon dioxide to molecular mass</v>
      </c>
      <c r="F20" s="122"/>
      <c r="G20" s="113" t="str">
        <v/>
      </c>
      <c r="H20" s="115" t="str">
        <v>Constant</v>
      </c>
      <c r="I20" s="124">
        <f>Common_InputFunctions.Utility_LookupValueInTableNumber("CO2",Table_GasToMolecularConversionFactor[Gas], Table_GasToMolecularConversionFactor[Conversion factor combined])</f>
        <v>3.6666666666666665</v>
      </c>
    </row>
    <row r="21" spans="1:9" ht="20.100000000000001" customHeight="1" x14ac:dyDescent="0.2">
      <c r="A21" s="5" t="str">
        <f>HYPERLINK("#'Input - Data quality'!A1", "Data quality")</f>
        <v>Data quality</v>
      </c>
    </row>
    <row r="22" spans="1:9" ht="20.100000000000001" customHeight="1" x14ac:dyDescent="0.2">
      <c r="A22" s="5" t="str">
        <f>HYPERLINK("#'Input - Fert Prod System'!A1", "Fert Prod System")</f>
        <v>Fert Prod System</v>
      </c>
      <c r="D22" s="118" t="s">
        <v>800</v>
      </c>
    </row>
    <row r="23" spans="1:9" ht="20.100000000000001" customHeight="1" x14ac:dyDescent="0.2">
      <c r="A23" s="5" t="str">
        <f>HYPERLINK("#'Input - Fertiliser'!A1", "Fertiliser")</f>
        <v>Fertiliser</v>
      </c>
      <c r="D23" s="119" t="s">
        <v>722</v>
      </c>
    </row>
    <row r="24" spans="1:9" ht="20.100000000000001" customHeight="1" x14ac:dyDescent="0.2">
      <c r="D24" s="78" t="s">
        <v>801</v>
      </c>
      <c r="E24" s="78" t="s">
        <v>802</v>
      </c>
      <c r="F24" s="78" t="s">
        <v>803</v>
      </c>
      <c r="G24" s="78" t="s">
        <v>804</v>
      </c>
      <c r="H24" s="120" t="s">
        <v>805</v>
      </c>
    </row>
    <row r="25" spans="1:9" ht="20.100000000000001" customHeight="1" x14ac:dyDescent="0.2">
      <c r="D25" s="15" t="str" cm="1">
        <f t="array" ref="D25:D27">Table_Input_Lime[Product]</f>
        <v>Lime product 1</v>
      </c>
      <c r="E25" s="125" cm="1">
        <f t="array" ref="E25:E27">Table_Input_Lime[Total amount applied (t)]*10^3</f>
        <v>100000</v>
      </c>
      <c r="F25" s="154" cm="1">
        <f t="array" ref="F25:F27">Table_Input_Lime[Percent Lime CaCO3]</f>
        <v>0.8</v>
      </c>
      <c r="G25" s="154" cm="1">
        <f t="array" ref="G25:G27">Table_Input_Lime[Percent Dolomite CaMg(CO3)2]</f>
        <v>0.1</v>
      </c>
      <c r="H25" s="15" cm="1">
        <f t="array" ref="H25">Fertiliser_Equations_Lime.VEERG_5_3_1_1__1_LimeApplicationCO2Emissions(E25,F25,$I$15,$I$16,G25,$I$18,$I$19,$I$20)</f>
        <v>36.208333333333329</v>
      </c>
    </row>
    <row r="26" spans="1:9" ht="20.100000000000001" customHeight="1" x14ac:dyDescent="0.2">
      <c r="A26" s="6" t="s">
        <v>2</v>
      </c>
      <c r="D26" s="15" t="str">
        <v>Lime product 2</v>
      </c>
      <c r="E26" s="15">
        <v>100000</v>
      </c>
      <c r="F26" s="15">
        <v>1</v>
      </c>
      <c r="G26" s="15">
        <v>0</v>
      </c>
      <c r="H26" s="15" cm="1">
        <f t="array" ref="H26">Fertiliser_Equations_Lime.VEERG_5_3_1_1__1_LimeApplicationCO2Emissions(E26,F26,$I$15,$I$16,G26,$I$18,$I$19,$I$20)</f>
        <v>39.6</v>
      </c>
    </row>
    <row r="27" spans="1:9" ht="20.100000000000001" customHeight="1" x14ac:dyDescent="0.2">
      <c r="A27" s="5" t="str">
        <f>HYPERLINK("#'3.1.1.1-2 Enteric Methane'!A1", "3.1.1.1-2 Enteric Methane")</f>
        <v>3.1.1.1-2 Enteric Methane</v>
      </c>
      <c r="D27" s="15" t="str">
        <v>Lime product 3</v>
      </c>
      <c r="E27" s="15">
        <v>100000</v>
      </c>
      <c r="F27" s="15">
        <v>0</v>
      </c>
      <c r="G27" s="15">
        <v>0</v>
      </c>
      <c r="H27" s="15" cm="1">
        <f t="array" ref="H27">Fertiliser_Equations_Lime.VEERG_5_3_1_1__1_LimeApplicationCO2Emissions(E27,F27,$I$15,$I$16,G27,$I$18,$I$19,$I$20)</f>
        <v>0</v>
      </c>
    </row>
    <row r="28" spans="1:9" ht="20.100000000000001" customHeight="1" x14ac:dyDescent="0.2">
      <c r="A28" s="5" t="str">
        <f>HYPERLINK("#'4.1.1.1-2 Methane'!A1", "4.1.1.1-2 Manure Methane")</f>
        <v>4.1.1.1-2 Manure Methane</v>
      </c>
      <c r="D28" s="15"/>
      <c r="E28" s="15"/>
      <c r="F28" s="15"/>
      <c r="G28" s="15"/>
      <c r="H28" s="15" cm="1">
        <f t="array" ref="H28">Fertiliser_Equations_Lime.VEERG_5_3_1_1__1_LimeApplicationCO2Emissions(E28,F28,$I$15,$I$16,G28,$I$18,$I$19,$I$20)</f>
        <v>0</v>
      </c>
    </row>
    <row r="29" spans="1:9" ht="20.100000000000001" customHeight="1" x14ac:dyDescent="0.2">
      <c r="A29" s="5" t="str">
        <f>HYPERLINK("#'4.1.1.3-4 Direct N20'!A1", "4.1.1.3-4 Manure Direct N2O")</f>
        <v>4.1.1.3-4 Manure Direct N2O</v>
      </c>
      <c r="D29" s="15"/>
      <c r="E29" s="15"/>
      <c r="F29" s="15"/>
      <c r="G29" s="15"/>
      <c r="H29" s="15" cm="1">
        <f t="array" ref="H29">Fertiliser_Equations_Lime.VEERG_5_3_1_1__1_LimeApplicationCO2Emissions(E29,F29,$I$15,$I$16,G29,$I$18,$I$19,$I$20)</f>
        <v>0</v>
      </c>
    </row>
    <row r="30" spans="1:9" ht="20.100000000000001" customHeight="1" x14ac:dyDescent="0.2">
      <c r="A30" s="5" t="str">
        <f>HYPERLINK("#'4.1.1.5-6 Atmos Deposition'!A1", "4.1.1.5-6 Manure Atmos Dep")</f>
        <v>4.1.1.5-6 Manure Atmos Dep</v>
      </c>
    </row>
    <row r="31" spans="1:9" ht="20.100000000000001" customHeight="1" x14ac:dyDescent="0.2">
      <c r="A31" s="5" t="str">
        <f>HYPERLINK("#'4.1.1.9 Manure applied to soils'!A1", "4.1.1.9 Manure applied to soils")</f>
        <v>4.1.1.9 Manure applied to soils</v>
      </c>
      <c r="D31" s="85" t="s">
        <v>806</v>
      </c>
      <c r="E31" s="86">
        <f>SUM(H25:H29)</f>
        <v>75.808333333333337</v>
      </c>
      <c r="F31" s="231" t="s">
        <v>127</v>
      </c>
    </row>
    <row r="32" spans="1:9"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117"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5" t="str">
        <f>HYPERLINK("#'Acknowledgements'!A1", "Acknowledgements")</f>
        <v>Acknowledgements</v>
      </c>
    </row>
  </sheetData>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FF05D-256A-47B7-8956-7F54DC22F422}">
  <sheetPr>
    <tabColor rgb="FF008000"/>
  </sheetPr>
  <dimension ref="A1:U151"/>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0" customFormat="1" ht="30" customHeight="1" x14ac:dyDescent="0.35">
      <c r="A1" s="10" t="e" vm="1">
        <v>#VALUE!</v>
      </c>
      <c r="C1" s="20" t="s">
        <v>807</v>
      </c>
    </row>
    <row r="2" spans="1:21" s="3" customFormat="1" ht="20.100000000000001" customHeight="1" x14ac:dyDescent="0.2">
      <c r="A2"/>
    </row>
    <row r="3" spans="1:21" ht="20.100000000000001" customHeight="1" x14ac:dyDescent="0.2">
      <c r="A3" s="5" t="str">
        <f>HYPERLINK("#'Home'!A1", "Home")</f>
        <v>Home</v>
      </c>
      <c r="C3" s="22"/>
      <c r="D3" s="22" t="s">
        <v>130</v>
      </c>
      <c r="E3" s="22"/>
      <c r="F3" s="22"/>
      <c r="G3" s="22"/>
      <c r="H3" s="22"/>
      <c r="I3" s="22"/>
      <c r="J3" s="22"/>
      <c r="K3" s="22"/>
      <c r="L3" s="22"/>
      <c r="N3" s="22"/>
      <c r="O3" s="22" t="s">
        <v>131</v>
      </c>
      <c r="P3" s="22"/>
      <c r="Q3" s="22"/>
      <c r="R3" s="22"/>
      <c r="S3" s="22"/>
      <c r="T3" s="22"/>
      <c r="U3" s="22"/>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
      <c r="D6" s="17" t="str" cm="1">
        <f t="array" ref="D6">Fertiliser_Equations_AtmosphericDeposition.VEERG_5_4_1_1__2_MassOfNitrogenVolatilisedFromInorganicFertiliser_Source()</f>
        <v>VEERG 2026: 5.4.1.1, Equation (2)</v>
      </c>
    </row>
    <row r="7" spans="1:21" ht="20.100000000000001" customHeight="1" x14ac:dyDescent="0.2">
      <c r="D7" s="112" t="s">
        <v>321</v>
      </c>
      <c r="E7" s="112" t="str" cm="1">
        <f t="array" aca="1" ref="E7" ca="1">Common_InputFunctions.Utility_DisplayFunctionName(H19)</f>
        <v>=Fertiliser_Equations_AtmosphericDeposition.VEERG_5_4_1_1__2_MassOfNitrogenVolatilisedFromInorganicFertiliser</v>
      </c>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5" t="s">
        <v>322</v>
      </c>
      <c r="E10" s="1" t="str" cm="1">
        <f t="array" ref="E10">Fertiliser_Equations_AtmosphericDeposition.VEERG_5_4_1_1__2_MassOfNitrogenVolatilisedFromInorganicFertiliser_Variable()</f>
        <v>M_volinorganicjf</v>
      </c>
    </row>
    <row r="11" spans="1:21" ht="20.100000000000001" customHeight="1" x14ac:dyDescent="0.2">
      <c r="A11" s="5" t="str">
        <f>HYPERLINK("#'Input - Feedlot'!A1", "Feedlot")</f>
        <v>Feedlot</v>
      </c>
      <c r="D11" s="75" t="s">
        <v>118</v>
      </c>
      <c r="E11" s="9" t="str" cm="1">
        <f t="array" ref="E11">Fertiliser_Equations_AtmosphericDeposition.VEERG_5_4_1_1__2_MassOfNitrogenVolatilisedFromInorganicFertiliser_Unit()</f>
        <v>kg N</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3" t="str" cm="1">
        <f t="array" ref="D13:E14">_xlfn.CHOOSECOLS(Fertiliser_Equations_AtmosphericDeposition.VEERG_5_4_1_1__2_MassOfNitrogenVolatilisedFromInorganicFertiliser_Arguments(), 1, 2)</f>
        <v>MN_jf</v>
      </c>
      <c r="E13" s="121" t="str">
        <v>mass of nitrogen in inorganic fertiliser applied</v>
      </c>
      <c r="F13" s="122"/>
      <c r="G13" s="113" t="str" cm="1">
        <f t="array" ref="G13:H14">_xlfn.CHOOSECOLS(Fertiliser_Equations_AtmosphericDeposition.VEERG_5_4_1_1__2_MassOfNitrogenVolatilisedFromInorganicFertiliser_Arguments(), 3,4)</f>
        <v>kg N</v>
      </c>
      <c r="H13" s="115" t="str">
        <v>Calculated from 5.1.1.1 (2)</v>
      </c>
      <c r="I13" s="116" t="str" cm="1">
        <f t="array" aca="1" ref="I13" ca="1">HYPERLINK(Common_InputFunctions.Utility_SourceHyperlink($D$16),$D$16)</f>
        <v>Table_M_vol_inorganic_j_f</v>
      </c>
    </row>
    <row r="14" spans="1:21" ht="20.100000000000001" customHeight="1" x14ac:dyDescent="0.2">
      <c r="A14" s="5" t="str">
        <f>HYPERLINK("#'Input - Fuel'!A1", "Fuel")</f>
        <v>Fuel</v>
      </c>
      <c r="D14" s="113" t="str">
        <v>FracGASF_f</v>
      </c>
      <c r="E14" s="121" t="str">
        <v>fraction of inorganic fertiliser that volatilises</v>
      </c>
      <c r="F14" s="122"/>
      <c r="G14" s="113" t="str">
        <v>(kg NH3-N + NOx-N)/kg N</v>
      </c>
      <c r="H14" s="115" t="str">
        <v>Constant</v>
      </c>
      <c r="I14" s="116" t="str" cm="1">
        <f t="array" aca="1" ref="I14" ca="1">HYPERLINK(Common_InputFunctions.Utility_SourceHyperlink($D$16),$D$16)</f>
        <v>Table_M_vol_inorganic_j_f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18" t="s">
        <v>808</v>
      </c>
    </row>
    <row r="17" spans="1:8" ht="20.100000000000001" customHeight="1" x14ac:dyDescent="0.2">
      <c r="A17" s="5" t="str">
        <f>HYPERLINK("#'Input - Livestock farm Inputs'!A1", "Livestock farm Inputs")</f>
        <v>Livestock farm Inputs</v>
      </c>
      <c r="D17" s="119" t="s">
        <v>809</v>
      </c>
    </row>
    <row r="18" spans="1:8" ht="20.100000000000001" customHeight="1" x14ac:dyDescent="0.2">
      <c r="A18" s="5" t="str">
        <f>HYPERLINK("#'Input - Freight'!A1", "Freight")</f>
        <v>Freight</v>
      </c>
      <c r="D18" s="120" t="s">
        <v>810</v>
      </c>
      <c r="E18" s="120" t="s">
        <v>811</v>
      </c>
      <c r="F18" s="120" t="s">
        <v>812</v>
      </c>
      <c r="G18" s="232" t="s">
        <v>813</v>
      </c>
      <c r="H18" s="232" t="s">
        <v>814</v>
      </c>
    </row>
    <row r="19" spans="1:8" ht="20.100000000000001" customHeight="1" x14ac:dyDescent="0.2">
      <c r="A19" s="5" t="str">
        <f>HYPERLINK("#'Input - Solid waste'!A1", "Solid waste")</f>
        <v>Solid waste</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cm="1">
        <f t="array" ref="H19">Fertiliser_Equations_AtmosphericDeposition.VEERG_5_4_1_1__2_MassOfNitrogenVolatilisedFromInorganicFertiliser(E19,G19)</f>
        <v>0</v>
      </c>
    </row>
    <row r="20" spans="1:8" ht="20.100000000000001" customHeight="1" x14ac:dyDescent="0.2">
      <c r="A20" s="5" t="str">
        <f>HYPERLINK("#'Input - Manure sent off-site'!A1", "Manure sent off-site")</f>
        <v>Manure sent off-site</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cm="1">
        <f t="array" ref="H20">Fertiliser_Equations_AtmosphericDeposition.VEERG_5_4_1_1__2_MassOfNitrogenVolatilisedFromInorganicFertiliser(E20,G20)</f>
        <v>0</v>
      </c>
    </row>
    <row r="21" spans="1:8" ht="20.100000000000001" customHeight="1" x14ac:dyDescent="0.2">
      <c r="A21" s="5" t="str">
        <f>HYPERLINK("#'Input - Data quality'!A1", "Data quality")</f>
        <v>Data quality</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cm="1">
        <f t="array" ref="H21">Fertiliser_Equations_AtmosphericDeposition.VEERG_5_4_1_1__2_MassOfNitrogenVolatilisedFromInorganicFertiliser(E21,G21)</f>
        <v>1739.99991</v>
      </c>
    </row>
    <row r="22" spans="1:8" ht="20.100000000000001" customHeight="1" x14ac:dyDescent="0.2">
      <c r="A22" s="5" t="str">
        <f>HYPERLINK("#'Input - Fert Prod System'!A1", "Fert Prod System")</f>
        <v>Fert Prod System</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cm="1">
        <f t="array" ref="H22">Fertiliser_Equations_AtmosphericDeposition.VEERG_5_4_1_1__2_MassOfNitrogenVolatilisedFromInorganicFertiliser(E22,G22)</f>
        <v>0</v>
      </c>
    </row>
    <row r="23" spans="1:8" ht="20.100000000000001" customHeight="1" x14ac:dyDescent="0.2">
      <c r="A23" s="5" t="str">
        <f>HYPERLINK("#'Input - Fertiliser'!A1", "Fertiliser")</f>
        <v>Fertiliser</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cm="1">
        <f t="array" ref="H23">Fertiliser_Equations_AtmosphericDeposition.VEERG_5_4_1_1__2_MassOfNitrogenVolatilisedFromInorganicFertiliser(E23,G23)</f>
        <v>0</v>
      </c>
    </row>
    <row r="24" spans="1:8" ht="20.100000000000001" customHeight="1" x14ac:dyDescent="0.2">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cm="1">
        <f t="array" ref="H24">Fertiliser_Equations_AtmosphericDeposition.VEERG_5_4_1_1__2_MassOfNitrogenVolatilisedFromInorganicFertiliser(E24,G24)</f>
        <v>0</v>
      </c>
    </row>
    <row r="25" spans="1:8" ht="20.100000000000001" customHeight="1" x14ac:dyDescent="0.2">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cm="1">
        <f t="array" ref="H25">Fertiliser_Equations_AtmosphericDeposition.VEERG_5_4_1_1__2_MassOfNitrogenVolatilisedFromInorganicFertiliser(E25,G25)</f>
        <v>0</v>
      </c>
    </row>
    <row r="26" spans="1:8" ht="20.100000000000001" customHeight="1" x14ac:dyDescent="0.2">
      <c r="A26" s="6" t="s">
        <v>2</v>
      </c>
      <c r="D26" s="15" t="str">
        <v>Nitrogen - Ammoniacal</v>
      </c>
      <c r="E26" s="15">
        <f>INDEX(Table_MN_j_f,9,4)</f>
        <v>1240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cm="1">
        <f t="array" ref="H26">Fertiliser_Equations_AtmosphericDeposition.VEERG_5_4_1_1__2_MassOfNitrogenVolatilisedFromInorganicFertiliser(E26,G26)</f>
        <v>99.2</v>
      </c>
    </row>
    <row r="27" spans="1:8" ht="20.100000000000001" customHeight="1" x14ac:dyDescent="0.2">
      <c r="A27" s="5" t="str">
        <f>HYPERLINK("#'3.1.1.1-2 Enteric Methane'!A1", "3.1.1.1-2 Enteric Methane")</f>
        <v>3.1.1.1-2 Enteric Methane</v>
      </c>
      <c r="D27" s="15" t="str">
        <v>Nitrogen - Nitrate</v>
      </c>
      <c r="E27" s="15">
        <f>INDEX(Table_MN_j_f,10,4)</f>
        <v>550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cm="1">
        <f t="array" ref="H27">Fertiliser_Equations_AtmosphericDeposition.VEERG_5_4_1_1__2_MassOfNitrogenVolatilisedFromInorganicFertiliser(E27,G27)</f>
        <v>5.5</v>
      </c>
    </row>
    <row r="28" spans="1:8" ht="20.100000000000001" customHeight="1" x14ac:dyDescent="0.2">
      <c r="A28" s="5" t="str">
        <f>HYPERLINK("#'4.1.1.1-2 Methane'!A1", "4.1.1.1-2 Manure Methane")</f>
        <v>4.1.1.1-2 Manure Methane</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cm="1">
        <f t="array" ref="H28">Fertiliser_Equations_AtmosphericDeposition.VEERG_5_4_1_1__2_MassOfNitrogenVolatilisedFromInorganicFertiliser(E28,G28)</f>
        <v>0</v>
      </c>
    </row>
    <row r="29" spans="1:8" ht="20.100000000000001" customHeight="1" x14ac:dyDescent="0.2">
      <c r="A29" s="5" t="str">
        <f>HYPERLINK("#'4.1.1.3-4 Direct N20'!A1", "4.1.1.3-4 Manure Direct N2O")</f>
        <v>4.1.1.3-4 Manure Direct N2O</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cm="1">
        <f t="array" ref="H29">Fertiliser_Equations_AtmosphericDeposition.VEERG_5_4_1_1__2_MassOfNitrogenVolatilisedFromInorganicFertiliser(E29,G29)</f>
        <v>0</v>
      </c>
    </row>
    <row r="30" spans="1:8" ht="20.100000000000001" customHeight="1" x14ac:dyDescent="0.2">
      <c r="A30" s="5" t="str">
        <f>HYPERLINK("#'4.1.1.5-6 Atmos Deposition'!A1", "4.1.1.5-6 Manure Atmos Dep")</f>
        <v>4.1.1.5-6 Manure Atmos Dep</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cm="1">
        <f t="array" ref="H30">Fertiliser_Equations_AtmosphericDeposition.VEERG_5_4_1_1__2_MassOfNitrogenVolatilisedFromInorganicFertiliser(E30,G30)</f>
        <v>0</v>
      </c>
    </row>
    <row r="31" spans="1:8" ht="20.100000000000001" customHeight="1" x14ac:dyDescent="0.2">
      <c r="A31" s="5" t="str">
        <f>HYPERLINK("#'4.1.1.9 Manure applied to soils'!A1", "4.1.1.9 Manure applied to soils")</f>
        <v>4.1.1.9 Manure applied to soils</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cm="1">
        <f t="array" ref="H31">Fertiliser_Equations_AtmosphericDeposition.VEERG_5_4_1_1__2_MassOfNitrogenVolatilisedFromInorganicFertiliser(E31,G31)</f>
        <v>0</v>
      </c>
    </row>
    <row r="32" spans="1:8" ht="20.100000000000001" customHeight="1" x14ac:dyDescent="0.2">
      <c r="A32" s="5" t="str">
        <f>HYPERLINK("#'8.1.1.1-2 Transport fuel'!A1", "8.1.1.1-2 Transport fuel")</f>
        <v>8.1.1.1-2 Transport fuel</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cm="1">
        <f t="array" ref="H32">Fertiliser_Equations_AtmosphericDeposition.VEERG_5_4_1_1__2_MassOfNitrogenVolatilisedFromInorganicFertiliser(E32,G32)</f>
        <v>0</v>
      </c>
    </row>
    <row r="33" spans="1:12" ht="20.100000000000001" customHeight="1" x14ac:dyDescent="0.2">
      <c r="A33" s="5" t="str">
        <f>HYPERLINK("#'8.2.1.1-2 Stationary fuel'!A1", "8.2.1.1-2 Stationary fuel")</f>
        <v>8.2.1.1-2 Stationary fuel</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cm="1">
        <f t="array" ref="H33">Fertiliser_Equations_AtmosphericDeposition.VEERG_5_4_1_1__2_MassOfNitrogenVolatilisedFromInorganicFertiliser(E33,G33)</f>
        <v>0</v>
      </c>
    </row>
    <row r="34" spans="1:12" ht="20.100000000000001" customHeight="1" x14ac:dyDescent="0.2">
      <c r="A34" s="5" t="str">
        <f>HYPERLINK("#'10.1.1-2 Solid waste treatment'!A1", "10.1.1.1-2 Solid waste")</f>
        <v>10.1.1.1-2 Solid waste</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cm="1">
        <f t="array" ref="H34">Fertiliser_Equations_AtmosphericDeposition.VEERG_5_4_1_1__2_MassOfNitrogenVolatilisedFromInorganicFertiliser(E34,G34)</f>
        <v>0</v>
      </c>
    </row>
    <row r="35" spans="1:12" ht="20.100000000000001" customHeight="1" x14ac:dyDescent="0.2">
      <c r="A35" s="5" t="str">
        <f>HYPERLINK("#'14.1.1-2 Purchased electricity'!A1", "14.1.1-2 Purchased electricity")</f>
        <v>14.1.1-2 Purchased electricity</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cm="1">
        <f t="array" ref="H35">Fertiliser_Equations_AtmosphericDeposition.VEERG_5_4_1_1__2_MassOfNitrogenVolatilisedFromInorganicFertiliser(E35,G35)</f>
        <v>0</v>
      </c>
    </row>
    <row r="36" spans="1:12" ht="20.100000000000001" customHeight="1" x14ac:dyDescent="0.2">
      <c r="A36" s="5" t="str">
        <f>HYPERLINK("#'15 Scope 3'!A1", "15 Scope 3")</f>
        <v>15 Scope 3</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cm="1">
        <f t="array" ref="H36">Fertiliser_Equations_AtmosphericDeposition.VEERG_5_4_1_1__2_MassOfNitrogenVolatilisedFromInorganicFertiliser(E36,G36)</f>
        <v>329.40000000000003</v>
      </c>
    </row>
    <row r="37" spans="1:12" ht="20.100000000000001" customHeight="1" x14ac:dyDescent="0.2">
      <c r="A37" s="5" t="str">
        <f>HYPERLINK("#'Calcs - Manure sent off-site'!A1", "Calcs - Manure sent off-site")</f>
        <v>Calcs - Manure sent off-site</v>
      </c>
      <c r="D37" s="15" t="str">
        <v>Calcium nitrate</v>
      </c>
      <c r="E37" s="15">
        <f>INDEX(Table_MN_j_f,20,4)</f>
        <v>775</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cm="1">
        <f t="array" ref="H37">Fertiliser_Equations_AtmosphericDeposition.VEERG_5_4_1_1__2_MassOfNitrogenVolatilisedFromInorganicFertiliser(E37,G37)</f>
        <v>7.75</v>
      </c>
    </row>
    <row r="38" spans="1:12" ht="20.100000000000001" customHeight="1" x14ac:dyDescent="0.2">
      <c r="A38" s="5" t="str">
        <f>HYPERLINK("#'5.1.1.1-2 Inorganic fert N2O'!A1", "5.1.1.1-2 Inorganic fert N2O")</f>
        <v>5.1.1.1-2 Inorganic fert N2O</v>
      </c>
    </row>
    <row r="39" spans="1:12" ht="20.100000000000001" customHeight="1" x14ac:dyDescent="0.2">
      <c r="A39" s="5" t="str">
        <f>HYPERLINK("#'5.1.1.3-4 Inorganic fert CO2'!A1", "5.1.1.3-4 Inorganic fert CO2")</f>
        <v>5.1.1.3-4 Inorganic fert CO2</v>
      </c>
    </row>
    <row r="40" spans="1:12" ht="20.100000000000001" customHeight="1" x14ac:dyDescent="0.2">
      <c r="A40" s="5" t="str">
        <f>HYPERLINK("#'5.2.1.1-2 Organic Fert N2O'!A1", "5.2.1.1-2 Organic Fert N2O")</f>
        <v>5.2.1.1-2 Organic Fert N2O</v>
      </c>
      <c r="C40" s="230"/>
      <c r="D40" s="230"/>
      <c r="E40" s="230"/>
      <c r="F40" s="230"/>
      <c r="G40" s="230"/>
      <c r="H40" s="230"/>
      <c r="I40" s="230"/>
      <c r="J40" s="230"/>
      <c r="K40" s="230"/>
      <c r="L40" s="230"/>
    </row>
    <row r="41" spans="1:12" ht="20.100000000000001" customHeight="1" x14ac:dyDescent="0.2">
      <c r="A41" s="5" t="str">
        <f>HYPERLINK("#'5.3.1.1-2 Lime CO2'!A1", "5.3.1.1-2 Lime CO2")</f>
        <v>5.3.1.1-2 Lime CO2</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
      <c r="A42" s="117" t="str">
        <f>HYPERLINK("#'5.4.1.1-4 Atmos deposition'!A1", "5.4.1.1-4 Atmos deposition")</f>
        <v>5.4.1.1-4 Atmos deposition</v>
      </c>
      <c r="D42" s="17" t="str" cm="1">
        <f t="array" ref="D42">Fertiliser_Equations_AtmosphericDeposition.VEERG_5_4_1_1__1_InorganicFertiliserAtmosphericDepositionN2OEmissions_Source()</f>
        <v>VEERG 2026: 5.4.1.1, Equation (1)</v>
      </c>
    </row>
    <row r="43" spans="1:12" ht="20.100000000000001" customHeight="1" x14ac:dyDescent="0.2">
      <c r="A43" s="5" t="str">
        <f>HYPERLINK("#'5.5.1.1-2 Leaching and runoff'!A1", "5.5.1.1-2 Leaching and runoff")</f>
        <v>5.5.1.1-2 Leaching and runoff</v>
      </c>
      <c r="D43" s="112" t="s">
        <v>321</v>
      </c>
      <c r="E43" s="112" t="str" cm="1">
        <f t="array" aca="1" ref="E43" ca="1">Common_InputFunctions.Utility_DisplayFunctionName(F59)</f>
        <v>=Fertiliser_Equations_AtmosphericDeposition.VEERG_5_4_1_1__1_InorganicFertiliserAtmosphericDepositionN2OEmissions</v>
      </c>
    </row>
    <row r="46" spans="1:12" ht="20.100000000000001" customHeight="1" x14ac:dyDescent="0.2">
      <c r="A46" s="80" t="s">
        <v>1</v>
      </c>
      <c r="D46" s="75" t="s">
        <v>322</v>
      </c>
      <c r="E46" s="1" t="str" cm="1">
        <f t="array" ref="E46">Fertiliser_Equations_AtmosphericDeposition.VEERG_5_4_1_1__1_InorganicFertiliserAtmosphericDepositionN2OEmissions_Variable()</f>
        <v>E_adinorganic</v>
      </c>
    </row>
    <row r="47" spans="1:12" ht="20.100000000000001" customHeight="1" x14ac:dyDescent="0.2">
      <c r="A47" s="5" t="str">
        <f>HYPERLINK("#'Constants - Feedlot'!A1", "Constants - Feedlot")</f>
        <v>Constants - Feedlot</v>
      </c>
      <c r="D47" s="75" t="s">
        <v>118</v>
      </c>
      <c r="E47" s="9" t="str" cm="1">
        <f t="array" ref="E47">Fertiliser_Equations_AtmosphericDeposition.VEERG_5_4_1_1__1_InorganicFertiliserAtmosphericDepositionN2OEmissions_Unit()</f>
        <v>t N2O</v>
      </c>
    </row>
    <row r="48" spans="1:12" ht="20.100000000000001" customHeight="1" x14ac:dyDescent="0.2">
      <c r="A48" s="5" t="str">
        <f>HYPERLINK("#'Constants - Common livestock'!A1", "Constants - Common Livestock")</f>
        <v>Constants - Common Livestock</v>
      </c>
    </row>
    <row r="49" spans="1:10" ht="20.100000000000001" customHeight="1" x14ac:dyDescent="0.2">
      <c r="A49" s="5" t="str">
        <f>HYPERLINK("#'Constants - Electricity'!A1", "Constants - Electricity")</f>
        <v>Constants - Electricity</v>
      </c>
      <c r="D49" s="113" t="str" cm="1">
        <f t="array" ref="D49:E54">_xlfn.CHOOSECOLS(Fertiliser_Equations_AtmosphericDeposition.VEERG_5_4_1_1__1_InorganicFertiliserAtmosphericDepositionN2OEmissions_Arguments(), 1, 2)</f>
        <v>M_volinorganicjf</v>
      </c>
      <c r="E49" s="121" t="str">
        <v>mass of nitrogen volatilised from inorganic fertiliser applied to production system</v>
      </c>
      <c r="F49" s="132"/>
      <c r="G49" s="122"/>
      <c r="H49" s="113" t="str" cm="1">
        <f t="array" ref="H49:I54">_xlfn.CHOOSECOLS(Fertiliser_Equations_AtmosphericDeposition.VEERG_5_4_1_1__1_InorganicFertiliserAtmosphericDepositionN2OEmissions_Arguments(), 3,4)</f>
        <v>kg N</v>
      </c>
      <c r="I49" s="115" t="str">
        <v>Calculated from 5.4.1.1 (2)</v>
      </c>
      <c r="J49" s="116" t="str" cm="1">
        <f t="array" aca="1" ref="J49" ca="1">HYPERLINK(Common_InputFunctions.Utility_SourceHyperlink($D$16),$D$16)</f>
        <v>Table_M_vol_inorganic_j_f</v>
      </c>
    </row>
    <row r="50" spans="1:10" ht="20.100000000000001" customHeight="1" x14ac:dyDescent="0.2">
      <c r="A50" s="5" t="str">
        <f>HYPERLINK("#'Constants - Fertiliser'!A1", "Constants - Fertiliser")</f>
        <v>Constants - Fertiliser</v>
      </c>
      <c r="D50" s="113" t="str">
        <v>EF_N2Oj</v>
      </c>
      <c r="E50" s="121" t="str">
        <v>emission factor for atmospheric deposition</v>
      </c>
      <c r="F50" s="132"/>
      <c r="G50" s="122"/>
      <c r="H50" s="113" t="str">
        <v>kg N2O-N/kg N</v>
      </c>
      <c r="I50" s="115" t="str">
        <v>Constant</v>
      </c>
      <c r="J50" s="113">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
      <c r="A51" s="5" t="str">
        <f>HYPERLINK("#'Constants - Fuel'!A1", "Constants - Fuel")</f>
        <v>Constants - Fuel</v>
      </c>
      <c r="D51" s="113" t="str">
        <v>C_N2O</v>
      </c>
      <c r="E51" s="121" t="str">
        <v>factor to convert elemental mass of nitrous oxide to molecular mass</v>
      </c>
      <c r="F51" s="132"/>
      <c r="G51" s="122"/>
      <c r="H51" s="113" t="str">
        <v/>
      </c>
      <c r="I51" s="115" t="str">
        <v>Constant</v>
      </c>
      <c r="J51" s="124">
        <f>Common_InputFunctions.Utility_LookupValueInTableNumber("N2O",Table_GasToMolecularConversionFactor[Gas],Table_GasToMolecularConversionFactor[Conversion factor combined])</f>
        <v>1.5714285714285714</v>
      </c>
    </row>
    <row r="52" spans="1:10" ht="20.100000000000001" customHeight="1" x14ac:dyDescent="0.2">
      <c r="A52" s="5" t="str">
        <f>HYPERLINK("#'Constants - Scope 3'!A1", "Constants - Scope 3")</f>
        <v>Constants - Scope 3</v>
      </c>
      <c r="D52" s="113" t="str">
        <v>j</v>
      </c>
      <c r="E52" s="121" t="str">
        <v>Production system</v>
      </c>
      <c r="F52" s="132"/>
      <c r="G52" s="122"/>
      <c r="H52" s="113" t="str">
        <v/>
      </c>
      <c r="I52" s="114" t="str">
        <v>Input</v>
      </c>
      <c r="J52" s="113" t="str">
        <f>X_Cell_Fertiliser_ProductionSystem</f>
        <v>Crop</v>
      </c>
    </row>
    <row r="53" spans="1:10" ht="20.100000000000001" customHeight="1" x14ac:dyDescent="0.2">
      <c r="A53" s="5" t="str">
        <f>HYPERLINK("#'Constants - Solid Waste'!A1", "Constants - Solid Waste")</f>
        <v>Constants - Solid Waste</v>
      </c>
      <c r="D53" s="113" t="str">
        <v>ir</v>
      </c>
      <c r="E53" s="121" t="str">
        <v>irrigation method</v>
      </c>
      <c r="F53" s="132"/>
      <c r="G53" s="122"/>
      <c r="H53" s="113" t="str">
        <v/>
      </c>
      <c r="I53" s="114" t="str">
        <v>Input</v>
      </c>
      <c r="J53" s="113" t="str">
        <f>X_Cell_Fertiliser_IrrigationMethod</f>
        <v>Drip irrigation</v>
      </c>
    </row>
    <row r="54" spans="1:10" ht="20.100000000000001" customHeight="1" x14ac:dyDescent="0.2">
      <c r="A54" s="5" t="str">
        <f>HYPERLINK("#'Constants - Common'!A1", "Constants - Common")</f>
        <v>Constants - Common</v>
      </c>
      <c r="D54" s="113" t="str">
        <v>r</v>
      </c>
      <c r="E54" s="121" t="str">
        <v>rainfall region</v>
      </c>
      <c r="F54" s="132"/>
      <c r="G54" s="122"/>
      <c r="H54" s="113" t="str">
        <v/>
      </c>
      <c r="I54" s="114" t="str">
        <v>Input</v>
      </c>
      <c r="J54" s="113" t="str">
        <f>X_Cell_Site_RainfallZone</f>
        <v>High rainfall</v>
      </c>
    </row>
    <row r="55" spans="1:10" ht="20.100000000000001" customHeight="1" x14ac:dyDescent="0.2">
      <c r="A55" s="5" t="str">
        <f>HYPERLINK("#'Acknowledgements'!A1", "Acknowledgements")</f>
        <v>Acknowledgements</v>
      </c>
    </row>
    <row r="56" spans="1:10" ht="20.100000000000001" customHeight="1" x14ac:dyDescent="0.2">
      <c r="D56" s="118" t="s">
        <v>815</v>
      </c>
    </row>
    <row r="57" spans="1:10" ht="20.100000000000001" customHeight="1" x14ac:dyDescent="0.2">
      <c r="D57" s="119" t="s">
        <v>816</v>
      </c>
    </row>
    <row r="58" spans="1:10" ht="20.100000000000001" customHeight="1" x14ac:dyDescent="0.2">
      <c r="D58" s="120" t="s">
        <v>810</v>
      </c>
      <c r="E58" s="232" t="s">
        <v>814</v>
      </c>
      <c r="F58" s="232" t="s">
        <v>817</v>
      </c>
    </row>
    <row r="59" spans="1:10" ht="20.100000000000001" customHeight="1" x14ac:dyDescent="0.2">
      <c r="D59" s="15" t="str" cm="1">
        <f t="array" ref="D59:D77">Table_Fertiliser_ChemicalCompounds[Fertiliser type f]</f>
        <v>Monoammonium phosphate (MAP)</v>
      </c>
      <c r="E59" s="15">
        <f t="shared" ref="E59:E77" si="0">H19</f>
        <v>0</v>
      </c>
      <c r="F59" s="15" cm="1">
        <f t="array" ref="F59">Fertiliser_Equations_AtmosphericDeposition.VEERG_5_4_1_1__1_InorganicFertiliserAtmosphericDepositionN2OEmissions(E59,$J$50,$J$51)</f>
        <v>0</v>
      </c>
      <c r="G59" s="16" t="str">
        <f>E47</f>
        <v>t N2O</v>
      </c>
    </row>
    <row r="60" spans="1:10" ht="20.100000000000001" customHeight="1" x14ac:dyDescent="0.2">
      <c r="D60" s="15" t="str">
        <v>Diammonium phosphate (DAP)</v>
      </c>
      <c r="E60" s="15">
        <f t="shared" si="0"/>
        <v>0</v>
      </c>
      <c r="F60" s="15" cm="1">
        <f t="array" ref="F60">Fertiliser_Equations_AtmosphericDeposition.VEERG_5_4_1_1__1_InorganicFertiliserAtmosphericDepositionN2OEmissions(E60,$J$50,$J$51)</f>
        <v>0</v>
      </c>
    </row>
    <row r="61" spans="1:10" ht="20.100000000000001" customHeight="1" x14ac:dyDescent="0.2">
      <c r="D61" s="15" t="str">
        <v>Urea</v>
      </c>
      <c r="E61" s="15">
        <f t="shared" si="0"/>
        <v>1739.99991</v>
      </c>
      <c r="F61" s="15" cm="1">
        <f t="array" ref="F61">Fertiliser_Equations_AtmosphericDeposition.VEERG_5_4_1_1__1_InorganicFertiliserAtmosphericDepositionN2OEmissions(E61,$J$50,$J$51)</f>
        <v>1.9139999010000002E-2</v>
      </c>
    </row>
    <row r="62" spans="1:10" ht="20.100000000000001" customHeight="1" x14ac:dyDescent="0.2">
      <c r="D62" s="15" t="str">
        <v>Sulphate of ammonia (SOA)</v>
      </c>
      <c r="E62" s="15">
        <f t="shared" si="0"/>
        <v>0</v>
      </c>
      <c r="F62" s="15" cm="1">
        <f t="array" ref="F62">Fertiliser_Equations_AtmosphericDeposition.VEERG_5_4_1_1__1_InorganicFertiliserAtmosphericDepositionN2OEmissions(E62,$J$50,$J$51)</f>
        <v>0</v>
      </c>
    </row>
    <row r="63" spans="1:10" ht="20.100000000000001" customHeight="1" x14ac:dyDescent="0.2">
      <c r="D63" s="15" t="str">
        <v>Urea-ammonium nitrate (UAN)</v>
      </c>
      <c r="E63" s="15">
        <f t="shared" si="0"/>
        <v>0</v>
      </c>
      <c r="F63" s="15" cm="1">
        <f t="array" ref="F63">Fertiliser_Equations_AtmosphericDeposition.VEERG_5_4_1_1__1_InorganicFertiliserAtmosphericDepositionN2OEmissions(E63,$J$50,$J$51)</f>
        <v>0</v>
      </c>
    </row>
    <row r="64" spans="1:10" ht="20.100000000000001" customHeight="1" x14ac:dyDescent="0.2">
      <c r="D64" s="15" t="str">
        <v>Ammonium nitrate (AN)</v>
      </c>
      <c r="E64" s="15">
        <f t="shared" si="0"/>
        <v>0</v>
      </c>
      <c r="F64" s="15" cm="1">
        <f t="array" ref="F64">Fertiliser_Equations_AtmosphericDeposition.VEERG_5_4_1_1__1_InorganicFertiliserAtmosphericDepositionN2OEmissions(E64,$J$50,$J$51)</f>
        <v>0</v>
      </c>
    </row>
    <row r="65" spans="1:6" ht="20.100000000000001" customHeight="1" x14ac:dyDescent="0.2">
      <c r="D65" s="15" t="str">
        <v>Calcium ammonium nitrate (CAN)</v>
      </c>
      <c r="E65" s="15">
        <f t="shared" si="0"/>
        <v>0</v>
      </c>
      <c r="F65" s="15" cm="1">
        <f t="array" ref="F65">Fertiliser_Equations_AtmosphericDeposition.VEERG_5_4_1_1__1_InorganicFertiliserAtmosphericDepositionN2OEmissions(E65,$J$50,$J$51)</f>
        <v>0</v>
      </c>
    </row>
    <row r="66" spans="1:6" ht="20.100000000000001" customHeight="1" x14ac:dyDescent="0.2">
      <c r="A66" s="79" t="str">
        <f>HYPERLINK("#A1", "▲ Back to top")</f>
        <v>▲ Back to top</v>
      </c>
      <c r="D66" s="15" t="str">
        <v>Nitrogen - Ammoniacal</v>
      </c>
      <c r="E66" s="15">
        <f t="shared" si="0"/>
        <v>99.2</v>
      </c>
      <c r="F66" s="15" cm="1">
        <f t="array" ref="F66">Fertiliser_Equations_AtmosphericDeposition.VEERG_5_4_1_1__1_InorganicFertiliserAtmosphericDepositionN2OEmissions(E66,$J$50,$J$51)</f>
        <v>1.0912000000000001E-3</v>
      </c>
    </row>
    <row r="67" spans="1:6" ht="20.100000000000001" customHeight="1" x14ac:dyDescent="0.2">
      <c r="D67" s="15" t="str">
        <v>Nitrogen - Nitrate</v>
      </c>
      <c r="E67" s="15">
        <f t="shared" si="0"/>
        <v>5.5</v>
      </c>
      <c r="F67" s="15" cm="1">
        <f t="array" ref="F67">Fertiliser_Equations_AtmosphericDeposition.VEERG_5_4_1_1__1_InorganicFertiliserAtmosphericDepositionN2OEmissions(E67,$J$50,$J$51)</f>
        <v>6.05E-5</v>
      </c>
    </row>
    <row r="68" spans="1:6" ht="20.100000000000001" customHeight="1" x14ac:dyDescent="0.2">
      <c r="D68" s="15" t="str">
        <v>Nitrogen - Generic</v>
      </c>
      <c r="E68" s="15">
        <f t="shared" si="0"/>
        <v>0</v>
      </c>
      <c r="F68" s="15" cm="1">
        <f t="array" ref="F68">Fertiliser_Equations_AtmosphericDeposition.VEERG_5_4_1_1__1_InorganicFertiliserAtmosphericDepositionN2OEmissions(E68,$J$50,$J$51)</f>
        <v>0</v>
      </c>
    </row>
    <row r="69" spans="1:6" ht="20.100000000000001" customHeight="1" x14ac:dyDescent="0.2">
      <c r="D69" s="15" t="str">
        <v>Phosphorus - Generic</v>
      </c>
      <c r="E69" s="15">
        <f t="shared" si="0"/>
        <v>0</v>
      </c>
      <c r="F69" s="15" cm="1">
        <f t="array" ref="F69">Fertiliser_Equations_AtmosphericDeposition.VEERG_5_4_1_1__1_InorganicFertiliserAtmosphericDepositionN2OEmissions(E69,$J$50,$J$51)</f>
        <v>0</v>
      </c>
    </row>
    <row r="70" spans="1:6" ht="20.100000000000001" customHeight="1" x14ac:dyDescent="0.2">
      <c r="D70" s="15" t="str">
        <v>Potassium - Generic</v>
      </c>
      <c r="E70" s="15">
        <f t="shared" si="0"/>
        <v>0</v>
      </c>
      <c r="F70" s="15" cm="1">
        <f t="array" ref="F70">Fertiliser_Equations_AtmosphericDeposition.VEERG_5_4_1_1__1_InorganicFertiliserAtmosphericDepositionN2OEmissions(E70,$J$50,$J$51)</f>
        <v>0</v>
      </c>
    </row>
    <row r="71" spans="1:6" ht="20.100000000000001" customHeight="1" x14ac:dyDescent="0.2">
      <c r="D71" s="15" t="str">
        <v>Sulfur - Generic</v>
      </c>
      <c r="E71" s="15">
        <f t="shared" si="0"/>
        <v>0</v>
      </c>
      <c r="F71" s="15" cm="1">
        <f t="array" ref="F71">Fertiliser_Equations_AtmosphericDeposition.VEERG_5_4_1_1__1_InorganicFertiliserAtmosphericDepositionN2OEmissions(E71,$J$50,$J$51)</f>
        <v>0</v>
      </c>
    </row>
    <row r="72" spans="1:6" ht="20.100000000000001" customHeight="1" x14ac:dyDescent="0.2">
      <c r="D72" s="15" t="str">
        <v>Zinc - Generic</v>
      </c>
      <c r="E72" s="15">
        <f t="shared" si="0"/>
        <v>0</v>
      </c>
      <c r="F72" s="15" cm="1">
        <f t="array" ref="F72">Fertiliser_Equations_AtmosphericDeposition.VEERG_5_4_1_1__1_InorganicFertiliserAtmosphericDepositionN2OEmissions(E72,$J$50,$J$51)</f>
        <v>0</v>
      </c>
    </row>
    <row r="73" spans="1:6" ht="20.100000000000001" customHeight="1" x14ac:dyDescent="0.2">
      <c r="D73" s="15" t="str">
        <v>Muriate of potash (MOP)</v>
      </c>
      <c r="E73" s="15">
        <f t="shared" si="0"/>
        <v>0</v>
      </c>
      <c r="F73" s="15" cm="1">
        <f t="array" ref="F73">Fertiliser_Equations_AtmosphericDeposition.VEERG_5_4_1_1__1_InorganicFertiliserAtmosphericDepositionN2OEmissions(E73,$J$50,$J$51)</f>
        <v>0</v>
      </c>
    </row>
    <row r="74" spans="1:6" ht="20.100000000000001" customHeight="1" x14ac:dyDescent="0.2">
      <c r="D74" s="15" t="str">
        <v>Double superphosphate</v>
      </c>
      <c r="E74" s="15">
        <f t="shared" si="0"/>
        <v>0</v>
      </c>
      <c r="F74" s="15" cm="1">
        <f t="array" ref="F74">Fertiliser_Equations_AtmosphericDeposition.VEERG_5_4_1_1__1_InorganicFertiliserAtmosphericDepositionN2OEmissions(E74,$J$50,$J$51)</f>
        <v>0</v>
      </c>
    </row>
    <row r="75" spans="1:6" ht="20.100000000000001" customHeight="1" x14ac:dyDescent="0.2">
      <c r="D75" s="15" t="str">
        <v>Single superphosphate (SSP)</v>
      </c>
      <c r="E75" s="15">
        <f t="shared" si="0"/>
        <v>0</v>
      </c>
      <c r="F75" s="15" cm="1">
        <f t="array" ref="F75">Fertiliser_Equations_AtmosphericDeposition.VEERG_5_4_1_1__1_InorganicFertiliserAtmosphericDepositionN2OEmissions(E75,$J$50,$J$51)</f>
        <v>0</v>
      </c>
    </row>
    <row r="76" spans="1:6" ht="20.100000000000001" customHeight="1" x14ac:dyDescent="0.2">
      <c r="D76" s="15" t="str">
        <v>Ammonia</v>
      </c>
      <c r="E76" s="15">
        <f t="shared" si="0"/>
        <v>329.40000000000003</v>
      </c>
      <c r="F76" s="15" cm="1">
        <f t="array" ref="F76">Fertiliser_Equations_AtmosphericDeposition.VEERG_5_4_1_1__1_InorganicFertiliserAtmosphericDepositionN2OEmissions(E76,$J$50,$J$51)</f>
        <v>3.6234000000000001E-3</v>
      </c>
    </row>
    <row r="77" spans="1:6" ht="20.100000000000001" customHeight="1" x14ac:dyDescent="0.2">
      <c r="D77" s="15" t="str">
        <v>Calcium nitrate</v>
      </c>
      <c r="E77" s="15">
        <f t="shared" si="0"/>
        <v>7.75</v>
      </c>
      <c r="F77" s="15" cm="1">
        <f t="array" ref="F77">Fertiliser_Equations_AtmosphericDeposition.VEERG_5_4_1_1__1_InorganicFertiliserAtmosphericDepositionN2OEmissions(E77,$J$50,$J$51)</f>
        <v>8.5249999999999999E-5</v>
      </c>
    </row>
    <row r="79" spans="1:6" ht="20.100000000000001" customHeight="1" x14ac:dyDescent="0.2">
      <c r="D79" s="85" t="s">
        <v>818</v>
      </c>
      <c r="E79" s="86">
        <f>SUM(F59:F77)</f>
        <v>2.4000349010000002E-2</v>
      </c>
      <c r="F79" s="95" t="str">
        <f>$E$47</f>
        <v>t N2O</v>
      </c>
    </row>
    <row r="81" spans="1:12" ht="20.100000000000001" customHeight="1" x14ac:dyDescent="0.2">
      <c r="D81" s="124" t="str" cm="1">
        <f t="array" ref="D81:E82">Common_Equations.Common_ConvertN2OToCO2e_Arguments()</f>
        <v>EN2O</v>
      </c>
      <c r="E81" s="126" t="str">
        <v>Nitrous oxide emissions (t N2O)</v>
      </c>
      <c r="F81" s="127"/>
      <c r="G81" s="15">
        <f>VEERG_5_4_1_1__1_InorganicFertiliserAtmosphericDepositionN2OEmissions_Result_Method1</f>
        <v>2.4000349010000002E-2</v>
      </c>
    </row>
    <row r="82" spans="1:12" ht="20.100000000000001" customHeight="1" x14ac:dyDescent="0.2">
      <c r="D82" s="124" t="str">
        <v>GWPN2O</v>
      </c>
      <c r="E82" s="126" t="str">
        <v>Global warming potential for nitrous oxide (t CO2-e / t N2O)</v>
      </c>
      <c r="F82" s="127"/>
      <c r="G82" s="15">
        <f>Common_InputFunctions.Utility_LookupValueInTableNumber("N2O",Table_GWPData[Gas],Table_GWPData[CO2-e factor])</f>
        <v>265</v>
      </c>
    </row>
    <row r="84" spans="1:12" ht="20.100000000000001" customHeight="1" x14ac:dyDescent="0.2">
      <c r="D84" s="83" t="s">
        <v>428</v>
      </c>
      <c r="E84" s="83" cm="1">
        <f t="array" ref="E84">Common_Equations.Common_ConvertN2OToCO2e(G81,G82)</f>
        <v>6.3600924876500002</v>
      </c>
      <c r="F84" s="89" t="str" cm="1">
        <f t="array" ref="F84">Common_Equations.Common_ConvertN2OToCO2e_Unit()</f>
        <v>t CO2e</v>
      </c>
    </row>
    <row r="87" spans="1:12" ht="20.100000000000001" customHeight="1" x14ac:dyDescent="0.2">
      <c r="C87" s="230"/>
      <c r="D87" s="230"/>
      <c r="E87" s="230"/>
      <c r="F87" s="230"/>
      <c r="G87" s="230"/>
      <c r="H87" s="230"/>
      <c r="I87" s="230"/>
      <c r="J87" s="230"/>
      <c r="K87" s="230"/>
      <c r="L87" s="230"/>
    </row>
    <row r="88" spans="1:12" ht="20.100000000000001" customHeight="1" x14ac:dyDescent="0.2">
      <c r="D88" s="2" t="str" cm="1">
        <f t="array" ref="D88">Fertiliser_Equations_AtmosphericDeposition.VEERG_5_4_1_3__2_MassOfNitrogenVolatilisedFromOrganicFertiliser_Title()</f>
        <v>Mass of nitrogen volatilised from organic fertiliser applied to production system</v>
      </c>
    </row>
    <row r="89" spans="1:12" ht="20.100000000000001" customHeight="1" x14ac:dyDescent="0.2">
      <c r="D89" s="17" t="str" cm="1">
        <f t="array" ref="D89">Fertiliser_Equations_AtmosphericDeposition.VEERG_5_4_1_3__2_MassOfNitrogenVolatilisedFromOrganicFertiliser_Source()</f>
        <v>VEERG 2026: 5.4.1.3, Equation (2)</v>
      </c>
    </row>
    <row r="90" spans="1:12" ht="20.100000000000001" customHeight="1" x14ac:dyDescent="0.2">
      <c r="D90" s="112" t="s">
        <v>321</v>
      </c>
      <c r="E90" s="112" t="str" cm="1">
        <f t="array" aca="1" ref="E90" ca="1">Common_InputFunctions.Utility_DisplayFunctionName(F102)</f>
        <v>=Fertiliser_Equations_AtmosphericDeposition.VEERG_5_4_1_3__2_MassOfNitrogenVolatilisedFromOrganicFertiliser</v>
      </c>
    </row>
    <row r="93" spans="1:12" ht="20.100000000000001" customHeight="1" x14ac:dyDescent="0.2">
      <c r="D93" s="75" t="s">
        <v>322</v>
      </c>
      <c r="E93" s="1" t="str" cm="1">
        <f t="array" ref="E93">Fertiliser_Equations_AtmosphericDeposition.VEERG_5_4_1_3__2_MassOfNitrogenVolatilisedFromOrganicFertiliser_Variable()</f>
        <v>M_volorganicjf</v>
      </c>
    </row>
    <row r="94" spans="1:12" ht="20.100000000000001" customHeight="1" x14ac:dyDescent="0.2">
      <c r="D94" s="75" t="s">
        <v>118</v>
      </c>
      <c r="E94" s="9" t="str" cm="1">
        <f t="array" ref="E94">Fertiliser_Equations_AtmosphericDeposition.VEERG_5_4_1_3__2_MassOfNitrogenVolatilisedFromOrganicFertiliser_Unit()</f>
        <v>kg N</v>
      </c>
    </row>
    <row r="96" spans="1:12" ht="20.100000000000001" customHeight="1" x14ac:dyDescent="0.2">
      <c r="A96" s="79" t="str">
        <f>HYPERLINK("#A1", "▲ Back to top")</f>
        <v>▲ Back to top</v>
      </c>
      <c r="D96" s="113" t="str" cm="1">
        <f t="array" ref="D96:E97">_xlfn.CHOOSECOLS(Fertiliser_Equations_AtmosphericDeposition.VEERG_5_4_1_3__2_MassOfNitrogenVolatilisedFromOrganicFertiliser_Arguments(), 1, 2)</f>
        <v>MNSoil_jf</v>
      </c>
      <c r="E96" s="113" t="str">
        <v>mass of nitrogen in organic fertiliser type f applied to production system j</v>
      </c>
      <c r="F96" s="113"/>
      <c r="G96" s="113" t="str" cm="1">
        <f t="array" ref="G96:H97">_xlfn.CHOOSECOLS(Fertiliser_Equations_AtmosphericDeposition.VEERG_5_4_1_3__2_MassOfNitrogenVolatilisedFromOrganicFertiliser_Arguments(), 3,4)</f>
        <v>kg N</v>
      </c>
      <c r="H96" s="115" t="str">
        <v>Calculated from 5.2.1.1 (2)</v>
      </c>
      <c r="I96" s="116" t="str" cm="1">
        <f t="array" aca="1" ref="I96" ca="1">HYPERLINK(Common_InputFunctions.Utility_SourceHyperlink($D$99), $D$99)</f>
        <v>Table_M_vol_organic_j_f</v>
      </c>
    </row>
    <row r="97" spans="4:9" ht="20.100000000000001" customHeight="1" x14ac:dyDescent="0.2">
      <c r="D97" s="113" t="str">
        <v>FracGASM_soil</v>
      </c>
      <c r="E97" s="113" t="str">
        <v>fraction of organic fertiliser N that volatilises</v>
      </c>
      <c r="F97" s="113"/>
      <c r="G97" s="113" t="str">
        <v>(kg NH3-N + NOx-N)/kg N</v>
      </c>
      <c r="H97" s="115" t="str">
        <v>Constant</v>
      </c>
      <c r="I97" s="113">
        <f>Fertiliser_FracGASMSoil_Data</f>
        <v>0.21</v>
      </c>
    </row>
    <row r="99" spans="4:9" ht="20.100000000000001" customHeight="1" x14ac:dyDescent="0.2">
      <c r="D99" s="118" t="s">
        <v>819</v>
      </c>
    </row>
    <row r="100" spans="4:9" ht="20.100000000000001" customHeight="1" x14ac:dyDescent="0.2">
      <c r="D100" s="119" t="s">
        <v>820</v>
      </c>
    </row>
    <row r="101" spans="4:9" ht="20.100000000000001" customHeight="1" x14ac:dyDescent="0.2">
      <c r="D101" s="78" t="s">
        <v>793</v>
      </c>
      <c r="E101" s="128" t="s">
        <v>797</v>
      </c>
      <c r="F101" s="128" t="s">
        <v>821</v>
      </c>
    </row>
    <row r="102" spans="4:9" ht="20.100000000000001" customHeight="1" x14ac:dyDescent="0.2">
      <c r="D102" s="15" t="str" cm="1">
        <f t="array" ref="D102:D104">Table_Input_OrganicFertiliser[Organic fertiliser type (select)]</f>
        <v>Manure - Other</v>
      </c>
      <c r="E102" s="15">
        <f>INDEX(Table_MNSoil_j_f,2,6)</f>
        <v>300</v>
      </c>
      <c r="F102" s="15" cm="1">
        <f t="array" ref="F102">Fertiliser_Equations_AtmosphericDeposition.VEERG_5_4_1_3__2_MassOfNitrogenVolatilisedFromOrganicFertiliser(E102,$I$97)</f>
        <v>63</v>
      </c>
      <c r="G102" s="16" t="str">
        <f>$E$94</f>
        <v>kg N</v>
      </c>
    </row>
    <row r="103" spans="4:9" ht="20.100000000000001" customHeight="1" x14ac:dyDescent="0.2">
      <c r="D103" s="15" t="str">
        <v>Manure - Poultry</v>
      </c>
      <c r="E103" s="15">
        <f>INDEX(Table_MNSoil_j_f,3,6)</f>
        <v>250</v>
      </c>
      <c r="F103" s="15" cm="1">
        <f t="array" ref="F103">Fertiliser_Equations_AtmosphericDeposition.VEERG_5_4_1_3__2_MassOfNitrogenVolatilisedFromOrganicFertiliser(E103,$I$97)</f>
        <v>52.5</v>
      </c>
    </row>
    <row r="104" spans="4:9" ht="20.100000000000001" customHeight="1" x14ac:dyDescent="0.2">
      <c r="D104" s="15" t="str">
        <v>Other organic fertiliser</v>
      </c>
      <c r="E104" s="15">
        <f>INDEX(Table_MNSoil_j_f,4,6)</f>
        <v>160</v>
      </c>
      <c r="F104" s="15" cm="1">
        <f t="array" ref="F104">Fertiliser_Equations_AtmosphericDeposition.VEERG_5_4_1_3__2_MassOfNitrogenVolatilisedFromOrganicFertiliser(E104,$I$97)</f>
        <v>33.6</v>
      </c>
    </row>
    <row r="105" spans="4:9" ht="20.100000000000001" customHeight="1" x14ac:dyDescent="0.2">
      <c r="D105" s="15"/>
      <c r="E105" s="15">
        <f>'5.2.1.1-2 Organic Fert N2O'!I23</f>
        <v>0</v>
      </c>
      <c r="F105" s="15" cm="1">
        <f t="array" ref="F105">Fertiliser_Equations_AtmosphericDeposition.VEERG_5_4_1_3__2_MassOfNitrogenVolatilisedFromOrganicFertiliser(E105,$I$97)</f>
        <v>0</v>
      </c>
    </row>
    <row r="106" spans="4:9" ht="20.100000000000001" customHeight="1" x14ac:dyDescent="0.2">
      <c r="D106" s="15"/>
      <c r="E106" s="15">
        <f>'5.2.1.1-2 Organic Fert N2O'!I24</f>
        <v>0</v>
      </c>
      <c r="F106" s="15" cm="1">
        <f t="array" ref="F106">Fertiliser_Equations_AtmosphericDeposition.VEERG_5_4_1_3__2_MassOfNitrogenVolatilisedFromOrganicFertiliser(E106,$I$97)</f>
        <v>0</v>
      </c>
    </row>
    <row r="107" spans="4:9" ht="20.100000000000001" customHeight="1" x14ac:dyDescent="0.2">
      <c r="D107" s="15"/>
      <c r="E107" s="15">
        <f>'5.2.1.1-2 Organic Fert N2O'!I25</f>
        <v>0</v>
      </c>
      <c r="F107" s="15" cm="1">
        <f t="array" ref="F107">Fertiliser_Equations_AtmosphericDeposition.VEERG_5_4_1_3__2_MassOfNitrogenVolatilisedFromOrganicFertiliser(E107,$I$97)</f>
        <v>0</v>
      </c>
    </row>
    <row r="108" spans="4:9" ht="20.100000000000001" customHeight="1" x14ac:dyDescent="0.2">
      <c r="D108" s="15"/>
      <c r="E108" s="15">
        <f>'5.2.1.1-2 Organic Fert N2O'!I26</f>
        <v>0</v>
      </c>
      <c r="F108" s="15" cm="1">
        <f t="array" ref="F108">Fertiliser_Equations_AtmosphericDeposition.VEERG_5_4_1_3__2_MassOfNitrogenVolatilisedFromOrganicFertiliser(E108,$I$97)</f>
        <v>0</v>
      </c>
    </row>
    <row r="109" spans="4:9" ht="20.100000000000001" customHeight="1" x14ac:dyDescent="0.2">
      <c r="D109" s="15"/>
      <c r="E109" s="15">
        <f>'5.2.1.1-2 Organic Fert N2O'!I27</f>
        <v>0</v>
      </c>
      <c r="F109" s="15" cm="1">
        <f t="array" ref="F109">Fertiliser_Equations_AtmosphericDeposition.VEERG_5_4_1_3__2_MassOfNitrogenVolatilisedFromOrganicFertiliser(E109,$I$97)</f>
        <v>0</v>
      </c>
    </row>
    <row r="110" spans="4:9" ht="20.100000000000001" customHeight="1" x14ac:dyDescent="0.2">
      <c r="D110" s="15"/>
      <c r="E110" s="15">
        <f>'5.2.1.1-2 Organic Fert N2O'!I28</f>
        <v>0</v>
      </c>
      <c r="F110" s="15" cm="1">
        <f t="array" ref="F110">Fertiliser_Equations_AtmosphericDeposition.VEERG_5_4_1_3__2_MassOfNitrogenVolatilisedFromOrganicFertiliser(E110,$I$97)</f>
        <v>0</v>
      </c>
    </row>
    <row r="111" spans="4:9" ht="20.100000000000001" customHeight="1" x14ac:dyDescent="0.2">
      <c r="D111" s="15"/>
      <c r="E111" s="15">
        <f>'5.2.1.1-2 Organic Fert N2O'!I29</f>
        <v>0</v>
      </c>
      <c r="F111" s="15" cm="1">
        <f t="array" ref="F111">Fertiliser_Equations_AtmosphericDeposition.VEERG_5_4_1_3__2_MassOfNitrogenVolatilisedFromOrganicFertiliser(E111,$I$97)</f>
        <v>0</v>
      </c>
    </row>
    <row r="112" spans="4:9" ht="20.100000000000001" customHeight="1" x14ac:dyDescent="0.2">
      <c r="D112" s="15"/>
      <c r="E112" s="15">
        <f>'5.2.1.1-2 Organic Fert N2O'!I30</f>
        <v>0</v>
      </c>
      <c r="F112" s="15" cm="1">
        <f t="array" ref="F112">Fertiliser_Equations_AtmosphericDeposition.VEERG_5_4_1_3__2_MassOfNitrogenVolatilisedFromOrganicFertiliser(E112,$I$97)</f>
        <v>0</v>
      </c>
    </row>
    <row r="115" spans="1:12" ht="20.100000000000001" customHeight="1" x14ac:dyDescent="0.2">
      <c r="C115" s="230"/>
      <c r="D115" s="230"/>
      <c r="E115" s="230"/>
      <c r="F115" s="230"/>
      <c r="G115" s="230"/>
      <c r="H115" s="230"/>
      <c r="I115" s="230"/>
      <c r="J115" s="230"/>
      <c r="K115" s="230"/>
      <c r="L115" s="230"/>
    </row>
    <row r="116" spans="1:12" ht="20.100000000000001" customHeight="1" x14ac:dyDescent="0.2">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1:12" ht="20.100000000000001" customHeight="1" x14ac:dyDescent="0.2">
      <c r="D117" s="17" t="str" cm="1">
        <f t="array" ref="D117">Fertiliser_Equations_AtmosphericDeposition.VEERG_5_4_1_3__1_OrganicFertiliserAtmosphericDepositionN2OEmissions_Source()</f>
        <v>VEERG 2026: 5.4.1.3, Equation (1)</v>
      </c>
    </row>
    <row r="118" spans="1:12" ht="20.100000000000001" customHeight="1" x14ac:dyDescent="0.2">
      <c r="D118" s="112" t="s">
        <v>321</v>
      </c>
      <c r="E118" s="112" t="str" cm="1">
        <f t="array" aca="1" ref="E118" ca="1">Common_InputFunctions.Utility_DisplayFunctionName(F134)</f>
        <v>=Fertiliser_Equations_AtmosphericDeposition.VEERG_5_4_1_3__1_OrganicFertiliserAtmosphericDepositionN2OEmissions</v>
      </c>
    </row>
    <row r="121" spans="1:12" ht="20.100000000000001" customHeight="1" x14ac:dyDescent="0.2">
      <c r="D121" s="75" t="s">
        <v>322</v>
      </c>
      <c r="E121" s="1" t="str" cm="1">
        <f t="array" ref="E121">Fertiliser_Equations_AtmosphericDeposition.VEERG_5_4_1_3__1_OrganicFertiliserAtmosphericDepositionN2OEmissions_Variable()</f>
        <v>E_adorganic</v>
      </c>
    </row>
    <row r="122" spans="1:12" ht="20.100000000000001" customHeight="1" x14ac:dyDescent="0.2">
      <c r="D122" s="75" t="s">
        <v>118</v>
      </c>
      <c r="E122" s="9" t="str" cm="1">
        <f t="array" ref="E122">Fertiliser_Equations_AtmosphericDeposition.VEERG_5_4_1_3__1_OrganicFertiliserAtmosphericDepositionN2OEmissions_Unit()</f>
        <v>t N2O</v>
      </c>
    </row>
    <row r="124" spans="1:12" ht="20.100000000000001" customHeight="1" x14ac:dyDescent="0.2">
      <c r="D124" s="113" t="str" cm="1">
        <f t="array" ref="D124:E129">_xlfn.CHOOSECOLS(Fertiliser_Equations_AtmosphericDeposition.VEERG_5_4_1_3__1_OrganicFertiliserAtmosphericDepositionN2OEmissions_Arguments(), 1, 2)</f>
        <v>M_volorganicjf</v>
      </c>
      <c r="E124" s="121" t="str">
        <v>mass of nitrogen volatilised from organic fertiliser applied to production system</v>
      </c>
      <c r="F124" s="122"/>
      <c r="G124" s="113" t="str" cm="1">
        <f t="array" ref="G124:H129">_xlfn.CHOOSECOLS(Fertiliser_Equations_AtmosphericDeposition.VEERG_5_4_1_3__1_OrganicFertiliserAtmosphericDepositionN2OEmissions_Arguments(), 3,4)</f>
        <v>kg N</v>
      </c>
      <c r="H124" s="115" t="str">
        <v>Calculated from 5.4.1.3 (2)</v>
      </c>
      <c r="I124" s="116" t="str" cm="1">
        <f t="array" aca="1" ref="I124" ca="1">HYPERLINK(Common_InputFunctions.Utility_SourceHyperlink($D$99), $D$99)</f>
        <v>Table_M_vol_organic_j_f</v>
      </c>
    </row>
    <row r="125" spans="1:12" ht="20.100000000000001" customHeight="1" x14ac:dyDescent="0.2">
      <c r="D125" s="113" t="str">
        <v>EF_N2Oj</v>
      </c>
      <c r="E125" s="121" t="str">
        <v>emission factor for atmospheric deposition in production system j</v>
      </c>
      <c r="F125" s="122"/>
      <c r="G125" s="113" t="str">
        <v>kg N2O-N/kg N</v>
      </c>
      <c r="H125" s="115" t="str">
        <v>Constant</v>
      </c>
      <c r="I125" s="113">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
      <c r="A126" s="79" t="str">
        <f>HYPERLINK("#A1", "▲ Back to top")</f>
        <v>▲ Back to top</v>
      </c>
      <c r="D126" s="113" t="str">
        <v>C_N2O</v>
      </c>
      <c r="E126" s="121" t="str">
        <v>factor to convert elemental mass of nitrous oxide to molecular mass</v>
      </c>
      <c r="F126" s="122"/>
      <c r="G126" s="113" t="str">
        <v/>
      </c>
      <c r="H126" s="115" t="str">
        <v>Constant</v>
      </c>
      <c r="I126" s="124">
        <f>Common_InputFunctions.Utility_LookupValueInTableNumber("N2O",Table_GasToMolecularConversionFactor[Gas],Table_GasToMolecularConversionFactor[Conversion factor combined])</f>
        <v>1.5714285714285714</v>
      </c>
    </row>
    <row r="127" spans="1:12" ht="20.100000000000001" customHeight="1" x14ac:dyDescent="0.2">
      <c r="D127" s="113" t="str">
        <v>j</v>
      </c>
      <c r="E127" s="121" t="str">
        <v>Production system</v>
      </c>
      <c r="F127" s="122"/>
      <c r="G127" s="113" t="str">
        <v/>
      </c>
      <c r="H127" s="114" t="str">
        <v>Input</v>
      </c>
      <c r="I127" s="113" t="str">
        <f>X_Cell_Fertiliser_ProductionSystem</f>
        <v>Crop</v>
      </c>
    </row>
    <row r="128" spans="1:12" ht="20.100000000000001" customHeight="1" x14ac:dyDescent="0.2">
      <c r="D128" s="113" t="str">
        <v>ir</v>
      </c>
      <c r="E128" s="121" t="str">
        <v>irrigation method</v>
      </c>
      <c r="F128" s="122"/>
      <c r="G128" s="113" t="str">
        <v/>
      </c>
      <c r="H128" s="114" t="str">
        <v>Input</v>
      </c>
      <c r="I128" s="113" t="str">
        <f>X_Cell_Fertiliser_IrrigationMethod</f>
        <v>Drip irrigation</v>
      </c>
    </row>
    <row r="129" spans="4:9" ht="20.100000000000001" customHeight="1" x14ac:dyDescent="0.2">
      <c r="D129" s="113" t="str">
        <v>r</v>
      </c>
      <c r="E129" s="121" t="str">
        <v>rainfall region</v>
      </c>
      <c r="F129" s="122"/>
      <c r="G129" s="113" t="str">
        <v/>
      </c>
      <c r="H129" s="114" t="str">
        <v>Input</v>
      </c>
      <c r="I129" s="113" t="str">
        <f>X_Cell_Site_RainfallZone</f>
        <v>High rainfall</v>
      </c>
    </row>
    <row r="131" spans="4:9" ht="20.100000000000001" customHeight="1" x14ac:dyDescent="0.2">
      <c r="D131" s="118" t="s">
        <v>822</v>
      </c>
    </row>
    <row r="132" spans="4:9" ht="20.100000000000001" customHeight="1" x14ac:dyDescent="0.2">
      <c r="D132" s="119" t="s">
        <v>823</v>
      </c>
    </row>
    <row r="133" spans="4:9" ht="20.100000000000001" customHeight="1" x14ac:dyDescent="0.2">
      <c r="D133" s="78" t="s">
        <v>793</v>
      </c>
      <c r="E133" s="128" t="s">
        <v>821</v>
      </c>
      <c r="F133" s="128" t="s">
        <v>824</v>
      </c>
    </row>
    <row r="134" spans="4:9" ht="20.100000000000001" customHeight="1" x14ac:dyDescent="0.2">
      <c r="D134" s="15" t="str" cm="1">
        <f t="array" ref="D134:D136">Table_Input_OrganicFertiliser[Organic fertiliser type (select)]</f>
        <v>Manure - Other</v>
      </c>
      <c r="E134" s="15">
        <f>F102</f>
        <v>63</v>
      </c>
      <c r="F134" s="15" cm="1">
        <f t="array" ref="F134">Fertiliser_Equations_AtmosphericDeposition.VEERG_5_4_1_3__1_OrganicFertiliserAtmosphericDepositionN2OEmissions(E134,$I$125,$I$126)</f>
        <v>6.9299999999999993E-4</v>
      </c>
    </row>
    <row r="135" spans="4:9" ht="20.100000000000001" customHeight="1" x14ac:dyDescent="0.2">
      <c r="D135" s="15" t="str">
        <v>Manure - Poultry</v>
      </c>
      <c r="E135" s="15">
        <f t="shared" ref="E135:E144" si="1">F103</f>
        <v>52.5</v>
      </c>
      <c r="F135" s="15" cm="1">
        <f t="array" ref="F135">Fertiliser_Equations_AtmosphericDeposition.VEERG_5_4_1_3__1_OrganicFertiliserAtmosphericDepositionN2OEmissions(E135,$I$125,$I$126)</f>
        <v>5.775E-4</v>
      </c>
    </row>
    <row r="136" spans="4:9" ht="20.100000000000001" customHeight="1" x14ac:dyDescent="0.2">
      <c r="D136" s="15" t="str">
        <v>Other organic fertiliser</v>
      </c>
      <c r="E136" s="15">
        <f t="shared" si="1"/>
        <v>33.6</v>
      </c>
      <c r="F136" s="15" cm="1">
        <f t="array" ref="F136">Fertiliser_Equations_AtmosphericDeposition.VEERG_5_4_1_3__1_OrganicFertiliserAtmosphericDepositionN2OEmissions(E136,$I$125,$I$126)</f>
        <v>3.6960000000000004E-4</v>
      </c>
    </row>
    <row r="137" spans="4:9" ht="20.100000000000001" customHeight="1" x14ac:dyDescent="0.2">
      <c r="D137" s="15"/>
      <c r="E137" s="15">
        <f t="shared" si="1"/>
        <v>0</v>
      </c>
      <c r="F137" s="15" cm="1">
        <f t="array" ref="F137">Fertiliser_Equations_AtmosphericDeposition.VEERG_5_4_1_3__1_OrganicFertiliserAtmosphericDepositionN2OEmissions(E137,$I$125,$I$126)</f>
        <v>0</v>
      </c>
    </row>
    <row r="138" spans="4:9" ht="20.100000000000001" customHeight="1" x14ac:dyDescent="0.2">
      <c r="D138" s="15"/>
      <c r="E138" s="15">
        <f t="shared" si="1"/>
        <v>0</v>
      </c>
      <c r="F138" s="15" cm="1">
        <f t="array" ref="F138">Fertiliser_Equations_AtmosphericDeposition.VEERG_5_4_1_3__1_OrganicFertiliserAtmosphericDepositionN2OEmissions(E138,$I$125,$I$126)</f>
        <v>0</v>
      </c>
    </row>
    <row r="139" spans="4:9" ht="20.100000000000001" customHeight="1" x14ac:dyDescent="0.2">
      <c r="D139" s="15"/>
      <c r="E139" s="15">
        <f t="shared" si="1"/>
        <v>0</v>
      </c>
      <c r="F139" s="15" cm="1">
        <f t="array" ref="F139">Fertiliser_Equations_AtmosphericDeposition.VEERG_5_4_1_3__1_OrganicFertiliserAtmosphericDepositionN2OEmissions(E139,$I$125,$I$126)</f>
        <v>0</v>
      </c>
    </row>
    <row r="140" spans="4:9" ht="20.100000000000001" customHeight="1" x14ac:dyDescent="0.2">
      <c r="D140" s="15"/>
      <c r="E140" s="15">
        <f t="shared" si="1"/>
        <v>0</v>
      </c>
      <c r="F140" s="15" cm="1">
        <f t="array" ref="F140">Fertiliser_Equations_AtmosphericDeposition.VEERG_5_4_1_3__1_OrganicFertiliserAtmosphericDepositionN2OEmissions(E140,$I$125,$I$126)</f>
        <v>0</v>
      </c>
    </row>
    <row r="141" spans="4:9" ht="20.100000000000001" customHeight="1" x14ac:dyDescent="0.2">
      <c r="D141" s="15"/>
      <c r="E141" s="15">
        <f t="shared" si="1"/>
        <v>0</v>
      </c>
      <c r="F141" s="15" cm="1">
        <f t="array" ref="F141">Fertiliser_Equations_AtmosphericDeposition.VEERG_5_4_1_3__1_OrganicFertiliserAtmosphericDepositionN2OEmissions(E141,$I$125,$I$126)</f>
        <v>0</v>
      </c>
    </row>
    <row r="142" spans="4:9" ht="20.100000000000001" customHeight="1" x14ac:dyDescent="0.2">
      <c r="D142" s="15"/>
      <c r="E142" s="15">
        <f t="shared" si="1"/>
        <v>0</v>
      </c>
      <c r="F142" s="15" cm="1">
        <f t="array" ref="F142">Fertiliser_Equations_AtmosphericDeposition.VEERG_5_4_1_3__1_OrganicFertiliserAtmosphericDepositionN2OEmissions(E142,$I$125,$I$126)</f>
        <v>0</v>
      </c>
    </row>
    <row r="143" spans="4:9" ht="20.100000000000001" customHeight="1" x14ac:dyDescent="0.2">
      <c r="D143" s="15"/>
      <c r="E143" s="15">
        <f t="shared" si="1"/>
        <v>0</v>
      </c>
      <c r="F143" s="15" cm="1">
        <f t="array" ref="F143">Fertiliser_Equations_AtmosphericDeposition.VEERG_5_4_1_3__1_OrganicFertiliserAtmosphericDepositionN2OEmissions(E143,$I$125,$I$126)</f>
        <v>0</v>
      </c>
    </row>
    <row r="144" spans="4:9" ht="20.100000000000001" customHeight="1" x14ac:dyDescent="0.2">
      <c r="D144" s="15"/>
      <c r="E144" s="15">
        <f t="shared" si="1"/>
        <v>0</v>
      </c>
      <c r="F144" s="15" cm="1">
        <f t="array" ref="F144">Fertiliser_Equations_AtmosphericDeposition.VEERG_5_4_1_3__1_OrganicFertiliserAtmosphericDepositionN2OEmissions(E144,$I$125,$I$126)</f>
        <v>0</v>
      </c>
    </row>
    <row r="146" spans="4:7" ht="20.100000000000001" customHeight="1" x14ac:dyDescent="0.2">
      <c r="D146" s="85" t="s">
        <v>825</v>
      </c>
      <c r="E146" s="86">
        <f>SUM(F134:F144)</f>
        <v>1.6401E-3</v>
      </c>
      <c r="F146" s="95" t="str">
        <f>$E$122</f>
        <v>t N2O</v>
      </c>
    </row>
    <row r="148" spans="4:7" ht="20.100000000000001" customHeight="1" x14ac:dyDescent="0.2">
      <c r="D148" s="124" t="str" cm="1">
        <f t="array" ref="D148:E149">Common_Equations.Common_ConvertN2OToCO2e_Arguments()</f>
        <v>EN2O</v>
      </c>
      <c r="E148" s="126" t="str">
        <v>Nitrous oxide emissions (t N2O)</v>
      </c>
      <c r="F148" s="127"/>
      <c r="G148" s="15">
        <f>VEERG_5_4_1_3__1_OrganicFertiliserAtmosphericDepositionN2OEmissions_Result_Method1</f>
        <v>1.6401E-3</v>
      </c>
    </row>
    <row r="149" spans="4:7" ht="20.100000000000001" customHeight="1" x14ac:dyDescent="0.2">
      <c r="D149" s="124" t="str">
        <v>GWPN2O</v>
      </c>
      <c r="E149" s="126" t="str">
        <v>Global warming potential for nitrous oxide (t CO2-e / t N2O)</v>
      </c>
      <c r="F149" s="127"/>
      <c r="G149" s="15">
        <f>Common_InputFunctions.Utility_LookupValueInTableNumber("N2O",Table_GWPData[Gas],Table_GWPData[CO2-e factor])</f>
        <v>265</v>
      </c>
    </row>
    <row r="151" spans="4:7" ht="20.100000000000001" customHeight="1" x14ac:dyDescent="0.2">
      <c r="D151" s="83" t="s">
        <v>428</v>
      </c>
      <c r="E151" s="83" cm="1">
        <f t="array" ref="E151">Common_Equations.Common_ConvertN2OToCO2e(G148,G149)</f>
        <v>0.43462650000000003</v>
      </c>
      <c r="F151" s="89" t="str" cm="1">
        <f t="array" ref="F151">Common_Equations.Common_ConvertN2OToCO2e_Unit()</f>
        <v>t CO2e</v>
      </c>
    </row>
  </sheetData>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A6192-B7FC-4856-9DE7-55DB376416EE}">
  <sheetPr>
    <tabColor rgb="FF008000"/>
  </sheetPr>
  <dimension ref="A1:T99"/>
  <sheetViews>
    <sheetView showGridLines="0" zoomScaleNormal="100" workbookViewId="0">
      <pane xSplit="1" topLeftCell="B1" activePane="topRight" state="frozenSplit"/>
      <selection pane="topRight" activeCell="A54" sqref="A54"/>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0" customFormat="1" ht="30" customHeight="1" x14ac:dyDescent="0.35">
      <c r="A1" s="10" t="e" vm="1">
        <v>#VALUE!</v>
      </c>
      <c r="C1" s="20" t="s">
        <v>826</v>
      </c>
    </row>
    <row r="2" spans="1:20" s="3" customFormat="1" ht="20.100000000000001" customHeight="1" x14ac:dyDescent="0.2">
      <c r="A2"/>
    </row>
    <row r="3" spans="1:20" ht="20.100000000000001" customHeight="1" x14ac:dyDescent="0.2">
      <c r="A3" s="5" t="str">
        <f>HYPERLINK("#'Home'!A1", "Home")</f>
        <v>Home</v>
      </c>
      <c r="C3" s="22"/>
      <c r="D3" s="22" t="s">
        <v>130</v>
      </c>
      <c r="E3" s="22"/>
      <c r="F3" s="22"/>
      <c r="G3" s="22"/>
      <c r="H3" s="22"/>
      <c r="I3" s="22"/>
      <c r="J3" s="22"/>
      <c r="K3" s="22"/>
      <c r="M3" s="22"/>
      <c r="N3" s="22" t="s">
        <v>131</v>
      </c>
      <c r="O3" s="22"/>
      <c r="P3" s="22"/>
      <c r="Q3" s="22"/>
      <c r="R3" s="22"/>
      <c r="S3" s="22"/>
      <c r="T3" s="22"/>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
      <c r="D6" s="17" t="str" cm="1">
        <f t="array" ref="D6">Fertiliser_Equations_LeachingAndRunoff.VEERG_5_5_1_1__2_MassOfNitrogenLeachedFromInorganicFertiliser_Source()</f>
        <v>VEERG 2026: 5.5, Equation (2)</v>
      </c>
    </row>
    <row r="7" spans="1:20" ht="20.100000000000001" customHeight="1" x14ac:dyDescent="0.2">
      <c r="D7" s="112" t="s">
        <v>321</v>
      </c>
      <c r="E7" s="112" t="str" cm="1">
        <f t="array" aca="1" ref="E7" ca="1">Common_InputFunctions.Utility_DisplayFunctionName(F23)</f>
        <v>=Fertiliser_Equations_LeachingAndRunoff.VEERG_5_5_1_1__2_MassOfNitrogenLeachedFromInorganicFertiliser</v>
      </c>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5" t="s">
        <v>322</v>
      </c>
      <c r="E10" s="1" t="str" cm="1">
        <f t="array" ref="E10">Fertiliser_Equations_LeachingAndRunoff.VEERG_5_5_1_1__2_MassOfNitrogenLeachedFromInorganicFertiliser_Variable()</f>
        <v>M_leachinorganicj</v>
      </c>
    </row>
    <row r="11" spans="1:20" ht="20.100000000000001" customHeight="1" x14ac:dyDescent="0.2">
      <c r="A11" s="5" t="str">
        <f>HYPERLINK("#'Input - Feedlot'!A1", "Feedlot")</f>
        <v>Feedlot</v>
      </c>
      <c r="D11" s="75" t="s">
        <v>118</v>
      </c>
      <c r="E11" s="9" t="str" cm="1">
        <f t="array" ref="E11">Fertiliser_Equations_LeachingAndRunoff.VEERG_5_5_1_1__2_MassOfNitrogenLeachedFromInorganicFertiliser_Unit()</f>
        <v>kg N</v>
      </c>
    </row>
    <row r="12" spans="1:20" ht="20.100000000000001" customHeight="1" x14ac:dyDescent="0.2">
      <c r="A12" s="5" t="str">
        <f>HYPERLINK("#'Input - Livestock sales'!A1", "Livestock sales")</f>
        <v>Livestock sales</v>
      </c>
    </row>
    <row r="13" spans="1:20" ht="20.100000000000001" customHeight="1" x14ac:dyDescent="0.2">
      <c r="A13" s="5" t="str">
        <f>HYPERLINK("#'Input - Beef cattle purchases'!A1", "Beef cattle purchases")</f>
        <v>Beef cattle purchases</v>
      </c>
      <c r="D13" s="113" t="str" cm="1">
        <f t="array" ref="D13:E18">_xlfn.CHOOSECOLS(Fertiliser_Equations_LeachingAndRunoff.VEERG_5_5_1_1__2_MassOfNitrogenLeachedFromInorganicFertiliser_Arguments(), 1, 2)</f>
        <v>MN_jf</v>
      </c>
      <c r="E13" s="121" t="str">
        <v>mass of nitrogen in inorganic fertiliser</v>
      </c>
      <c r="F13" s="122"/>
      <c r="G13" s="113" t="str" cm="1">
        <f t="array" ref="G13:H18">_xlfn.CHOOSECOLS(Fertiliser_Equations_LeachingAndRunoff.VEERG_5_5_1_1__2_MassOfNitrogenLeachedFromInorganicFertiliser_Arguments(), 3,4)</f>
        <v>kg N</v>
      </c>
      <c r="H13" s="115" t="str">
        <v>Calculated from 5.1.1.1 (2)</v>
      </c>
      <c r="I13" s="116" t="str" cm="1">
        <f t="array" aca="1" ref="I13" ca="1">HYPERLINK(Common_InputFunctions.Utility_SourceHyperlink(D20), D20)</f>
        <v>Table_M_leach_inorganic_j</v>
      </c>
    </row>
    <row r="14" spans="1:20" ht="20.100000000000001" customHeight="1" x14ac:dyDescent="0.2">
      <c r="A14" s="5" t="str">
        <f>HYPERLINK("#'Input - Fuel'!A1", "Fuel")</f>
        <v>Fuel</v>
      </c>
      <c r="D14" s="113" t="str">
        <v>FracWETj</v>
      </c>
      <c r="E14" s="121" t="str">
        <v>fraction of N available for leaching and runoff</v>
      </c>
      <c r="F14" s="122"/>
      <c r="G14" s="113" t="str">
        <v>fraction</v>
      </c>
      <c r="H14" s="115" t="str">
        <v>Constant</v>
      </c>
      <c r="I14" s="113">
        <f>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
      <c r="A15" s="5" t="str">
        <f>HYPERLINK("#'Input - Electricity'!A1", "Electricity")</f>
        <v>Electricity</v>
      </c>
      <c r="D15" s="113" t="str">
        <v>FracLEACH</v>
      </c>
      <c r="E15" s="121" t="str">
        <v>fraction of N that is lost through leaching and runoff</v>
      </c>
      <c r="F15" s="122"/>
      <c r="G15" s="113" t="str">
        <v>fraction</v>
      </c>
      <c r="H15" s="115" t="str">
        <v>Constant</v>
      </c>
      <c r="I15" s="113">
        <f>Fertiliser_FracLEACH_Data</f>
        <v>0.24</v>
      </c>
    </row>
    <row r="16" spans="1:20" ht="20.100000000000001" customHeight="1" x14ac:dyDescent="0.2">
      <c r="A16" s="5" t="str">
        <f>HYPERLINK("#'Input - Common farm inputs'!A1", "Common farm inputs")</f>
        <v>Common farm inputs</v>
      </c>
      <c r="D16" s="113" t="str">
        <v>z</v>
      </c>
      <c r="E16" s="121" t="str">
        <v>location in leaching zone</v>
      </c>
      <c r="F16" s="122"/>
      <c r="G16" s="113" t="str">
        <v/>
      </c>
      <c r="H16" s="114" t="str">
        <v>Input</v>
      </c>
      <c r="I16" s="113" t="str">
        <f>X_Cell_Site_LeachingZone</f>
        <v>NO - Not in leaching zone</v>
      </c>
    </row>
    <row r="17" spans="1:9" ht="20.100000000000001" customHeight="1" x14ac:dyDescent="0.2">
      <c r="A17" s="5" t="str">
        <f>HYPERLINK("#'Input - Livestock farm Inputs'!A1", "Livestock farm Inputs")</f>
        <v>Livestock farm Inputs</v>
      </c>
      <c r="D17" s="113" t="str">
        <v>j</v>
      </c>
      <c r="E17" s="121" t="str">
        <v>production system</v>
      </c>
      <c r="F17" s="122"/>
      <c r="G17" s="113" t="str">
        <v/>
      </c>
      <c r="H17" s="114" t="str">
        <v>Input</v>
      </c>
      <c r="I17" s="113" t="str">
        <f>X_Cell_Fertiliser_ProductionSystem</f>
        <v>Crop</v>
      </c>
    </row>
    <row r="18" spans="1:9" ht="20.100000000000001" customHeight="1" x14ac:dyDescent="0.2">
      <c r="A18" s="5" t="str">
        <f>HYPERLINK("#'Input - Freight'!A1", "Freight")</f>
        <v>Freight</v>
      </c>
      <c r="D18" s="113" t="str">
        <v>ir</v>
      </c>
      <c r="E18" s="121" t="str">
        <v>irrigation method</v>
      </c>
      <c r="F18" s="122"/>
      <c r="G18" s="113" t="str">
        <v/>
      </c>
      <c r="H18" s="114" t="str">
        <v>Input</v>
      </c>
      <c r="I18" s="113" t="str">
        <f>X_Cell_Fertiliser_IrrigationMethod</f>
        <v>Drip irrigation</v>
      </c>
    </row>
    <row r="19" spans="1:9" ht="20.100000000000001" customHeight="1" x14ac:dyDescent="0.2">
      <c r="A19" s="5" t="str">
        <f>HYPERLINK("#'Input - Solid waste'!A1", "Solid waste")</f>
        <v>Solid waste</v>
      </c>
    </row>
    <row r="20" spans="1:9" ht="20.100000000000001" customHeight="1" x14ac:dyDescent="0.2">
      <c r="A20" s="5" t="str">
        <f>HYPERLINK("#'Input - Manure sent off-site'!A1", "Manure sent off-site")</f>
        <v>Manure sent off-site</v>
      </c>
      <c r="D20" s="118" t="s">
        <v>827</v>
      </c>
    </row>
    <row r="21" spans="1:9" ht="20.100000000000001" customHeight="1" x14ac:dyDescent="0.2">
      <c r="A21" s="5" t="str">
        <f>HYPERLINK("#'Input - Data quality'!A1", "Data quality")</f>
        <v>Data quality</v>
      </c>
      <c r="D21" s="119" t="s">
        <v>828</v>
      </c>
    </row>
    <row r="22" spans="1:9" ht="20.100000000000001" customHeight="1" x14ac:dyDescent="0.2">
      <c r="A22" s="5" t="str">
        <f>HYPERLINK("#'Input - Fert Prod System'!A1", "Fert Prod System")</f>
        <v>Fert Prod System</v>
      </c>
      <c r="D22" s="120" t="s">
        <v>757</v>
      </c>
      <c r="E22" s="120" t="s">
        <v>811</v>
      </c>
      <c r="F22" s="120" t="s">
        <v>829</v>
      </c>
    </row>
    <row r="23" spans="1:9" ht="20.100000000000001" customHeight="1" x14ac:dyDescent="0.2">
      <c r="A23" s="5" t="str">
        <f>HYPERLINK("#'Input - Fertiliser'!A1", "Fertiliser")</f>
        <v>Fertiliser</v>
      </c>
      <c r="D23" s="15" t="str" cm="1">
        <f t="array" ref="D23:D41">Table_Fertiliser_ChemicalCompounds[Fertiliser type f]</f>
        <v>Monoammonium phosphate (MAP)</v>
      </c>
      <c r="E23" s="15">
        <f>INDEX(Table_MN_j_f,2,4)</f>
        <v>0</v>
      </c>
      <c r="F23" s="15" cm="1">
        <f t="array" ref="F23">Fertiliser_Equations_LeachingAndRunoff.VEERG_5_5_1_1__2_MassOfNitrogenLeachedFromInorganicFertiliser(E23, $I$14, $I$15)</f>
        <v>0</v>
      </c>
    </row>
    <row r="24" spans="1:9" ht="20.100000000000001" customHeight="1" x14ac:dyDescent="0.2">
      <c r="D24" s="15" t="str">
        <v>Diammonium phosphate (DAP)</v>
      </c>
      <c r="E24" s="15">
        <f>INDEX(Table_MN_j_f,3,4)</f>
        <v>0</v>
      </c>
      <c r="F24" s="15" cm="1">
        <f t="array" ref="F24">Fertiliser_Equations_LeachingAndRunoff.VEERG_5_5_1_1__2_MassOfNitrogenLeachedFromInorganicFertiliser(E24, $I$14, $I$15)</f>
        <v>0</v>
      </c>
    </row>
    <row r="25" spans="1:9" ht="20.100000000000001" customHeight="1" x14ac:dyDescent="0.2">
      <c r="D25" s="15" t="str">
        <v>Urea</v>
      </c>
      <c r="E25" s="15">
        <f>INDEX(Table_MN_j_f,4,4)</f>
        <v>11599.999400000001</v>
      </c>
      <c r="F25" s="15" cm="1">
        <f t="array" ref="F25">Fertiliser_Equations_LeachingAndRunoff.VEERG_5_5_1_1__2_MassOfNitrogenLeachedFromInorganicFertiliser(E25, $I$14, $I$15)</f>
        <v>0</v>
      </c>
    </row>
    <row r="26" spans="1:9" ht="20.100000000000001" customHeight="1" x14ac:dyDescent="0.2">
      <c r="A26" s="6" t="s">
        <v>2</v>
      </c>
      <c r="D26" s="15" t="str">
        <v>Sulphate of ammonia (SOA)</v>
      </c>
      <c r="E26" s="15">
        <f>INDEX(Table_MN_j_f,5,4)</f>
        <v>0</v>
      </c>
      <c r="F26" s="15" cm="1">
        <f t="array" ref="F26">Fertiliser_Equations_LeachingAndRunoff.VEERG_5_5_1_1__2_MassOfNitrogenLeachedFromInorganicFertiliser(E26, $I$14, $I$15)</f>
        <v>0</v>
      </c>
    </row>
    <row r="27" spans="1:9" ht="20.100000000000001" customHeight="1" x14ac:dyDescent="0.2">
      <c r="A27" s="5" t="str">
        <f>HYPERLINK("#'3.1.1.1-2 Enteric Methane'!A1", "3.1.1.1-2 Enteric Methane")</f>
        <v>3.1.1.1-2 Enteric Methane</v>
      </c>
      <c r="D27" s="15" t="str">
        <v>Urea-ammonium nitrate (UAN)</v>
      </c>
      <c r="E27" s="15">
        <f>INDEX(Table_MN_j_f,6,4)</f>
        <v>0</v>
      </c>
      <c r="F27" s="15" cm="1">
        <f t="array" ref="F27">Fertiliser_Equations_LeachingAndRunoff.VEERG_5_5_1_1__2_MassOfNitrogenLeachedFromInorganicFertiliser(E27, $I$14, $I$15)</f>
        <v>0</v>
      </c>
    </row>
    <row r="28" spans="1:9" ht="20.100000000000001" customHeight="1" x14ac:dyDescent="0.2">
      <c r="A28" s="5" t="str">
        <f>HYPERLINK("#'4.1.1.1-2 Methane'!A1", "4.1.1.1-2 Manure Methane")</f>
        <v>4.1.1.1-2 Manure Methane</v>
      </c>
      <c r="D28" s="15" t="str">
        <v>Ammonium nitrate (AN)</v>
      </c>
      <c r="E28" s="15">
        <f>INDEX(Table_MN_j_f,7,4)</f>
        <v>0</v>
      </c>
      <c r="F28" s="15" cm="1">
        <f t="array" ref="F28">Fertiliser_Equations_LeachingAndRunoff.VEERG_5_5_1_1__2_MassOfNitrogenLeachedFromInorganicFertiliser(E28, $I$14, $I$15)</f>
        <v>0</v>
      </c>
    </row>
    <row r="29" spans="1:9" ht="20.100000000000001" customHeight="1" x14ac:dyDescent="0.2">
      <c r="A29" s="5" t="str">
        <f>HYPERLINK("#'4.1.1.3-4 Direct N20'!A1", "4.1.1.3-4 Manure Direct N2O")</f>
        <v>4.1.1.3-4 Manure Direct N2O</v>
      </c>
      <c r="D29" s="15" t="str">
        <v>Calcium ammonium nitrate (CAN)</v>
      </c>
      <c r="E29" s="15">
        <f>INDEX(Table_MN_j_f,8,4)</f>
        <v>0</v>
      </c>
      <c r="F29" s="15" cm="1">
        <f t="array" ref="F29">Fertiliser_Equations_LeachingAndRunoff.VEERG_5_5_1_1__2_MassOfNitrogenLeachedFromInorganicFertiliser(E29, $I$14, $I$15)</f>
        <v>0</v>
      </c>
    </row>
    <row r="30" spans="1:9" ht="20.100000000000001" customHeight="1" x14ac:dyDescent="0.2">
      <c r="A30" s="5" t="str">
        <f>HYPERLINK("#'4.1.1.5-6 Atmos Deposition'!A1", "4.1.1.5-6 Manure Atmos Dep")</f>
        <v>4.1.1.5-6 Manure Atmos Dep</v>
      </c>
      <c r="D30" s="15" t="str">
        <v>Nitrogen - Ammoniacal</v>
      </c>
      <c r="E30" s="15">
        <f>INDEX(Table_MN_j_f,9,4)</f>
        <v>1240</v>
      </c>
      <c r="F30" s="15" cm="1">
        <f t="array" ref="F30">Fertiliser_Equations_LeachingAndRunoff.VEERG_5_5_1_1__2_MassOfNitrogenLeachedFromInorganicFertiliser(E30, $I$14, $I$15)</f>
        <v>0</v>
      </c>
    </row>
    <row r="31" spans="1:9" ht="20.100000000000001" customHeight="1" x14ac:dyDescent="0.2">
      <c r="A31" s="5" t="str">
        <f>HYPERLINK("#'4.1.1.9 Manure applied to soils'!A1", "4.1.1.9 Manure applied to soils")</f>
        <v>4.1.1.9 Manure applied to soils</v>
      </c>
      <c r="D31" s="15" t="str">
        <v>Nitrogen - Nitrate</v>
      </c>
      <c r="E31" s="15">
        <f>INDEX(Table_MN_j_f,10,4)</f>
        <v>550</v>
      </c>
      <c r="F31" s="15" cm="1">
        <f t="array" ref="F31">Fertiliser_Equations_LeachingAndRunoff.VEERG_5_5_1_1__2_MassOfNitrogenLeachedFromInorganicFertiliser(E31, $I$14, $I$15)</f>
        <v>0</v>
      </c>
    </row>
    <row r="32" spans="1:9" ht="20.100000000000001" customHeight="1" x14ac:dyDescent="0.2">
      <c r="A32" s="5" t="str">
        <f>HYPERLINK("#'8.1.1.1-2 Transport fuel'!A1", "8.1.1.1-2 Transport fuel")</f>
        <v>8.1.1.1-2 Transport fuel</v>
      </c>
      <c r="D32" s="15" t="str">
        <v>Nitrogen - Generic</v>
      </c>
      <c r="E32" s="15">
        <f>INDEX(Table_MN_j_f,11,4)</f>
        <v>0</v>
      </c>
      <c r="F32" s="15" cm="1">
        <f t="array" ref="F32">Fertiliser_Equations_LeachingAndRunoff.VEERG_5_5_1_1__2_MassOfNitrogenLeachedFromInorganicFertiliser(E32, $I$14, $I$15)</f>
        <v>0</v>
      </c>
    </row>
    <row r="33" spans="1:11" ht="20.100000000000001" customHeight="1" x14ac:dyDescent="0.2">
      <c r="A33" s="5" t="str">
        <f>HYPERLINK("#'8.2.1.1-2 Stationary fuel'!A1", "8.2.1.1-2 Stationary fuel")</f>
        <v>8.2.1.1-2 Stationary fuel</v>
      </c>
      <c r="D33" s="15" t="str">
        <v>Phosphorus - Generic</v>
      </c>
      <c r="E33" s="15">
        <f>INDEX(Table_MN_j_f,12,4)</f>
        <v>0</v>
      </c>
      <c r="F33" s="15" cm="1">
        <f t="array" ref="F33">Fertiliser_Equations_LeachingAndRunoff.VEERG_5_5_1_1__2_MassOfNitrogenLeachedFromInorganicFertiliser(E33, $I$14, $I$15)</f>
        <v>0</v>
      </c>
    </row>
    <row r="34" spans="1:11" ht="20.100000000000001" customHeight="1" x14ac:dyDescent="0.2">
      <c r="A34" s="5" t="str">
        <f>HYPERLINK("#'10.1.1-2 Solid waste treatment'!A1", "10.1.1.1-2 Solid waste")</f>
        <v>10.1.1.1-2 Solid waste</v>
      </c>
      <c r="D34" s="15" t="str">
        <v>Potassium - Generic</v>
      </c>
      <c r="E34" s="15">
        <f>INDEX(Table_MN_j_f,13,4)</f>
        <v>0</v>
      </c>
      <c r="F34" s="15" cm="1">
        <f t="array" ref="F34">Fertiliser_Equations_LeachingAndRunoff.VEERG_5_5_1_1__2_MassOfNitrogenLeachedFromInorganicFertiliser(E34, $I$14, $I$15)</f>
        <v>0</v>
      </c>
    </row>
    <row r="35" spans="1:11" ht="20.100000000000001" customHeight="1" x14ac:dyDescent="0.2">
      <c r="A35" s="5" t="str">
        <f>HYPERLINK("#'14.1.1-2 Purchased electricity'!A1", "14.1.1-2 Purchased electricity")</f>
        <v>14.1.1-2 Purchased electricity</v>
      </c>
      <c r="D35" s="15" t="str">
        <v>Sulfur - Generic</v>
      </c>
      <c r="E35" s="15">
        <f>INDEX(Table_MN_j_f,14,4)</f>
        <v>0</v>
      </c>
      <c r="F35" s="15" cm="1">
        <f t="array" ref="F35">Fertiliser_Equations_LeachingAndRunoff.VEERG_5_5_1_1__2_MassOfNitrogenLeachedFromInorganicFertiliser(E35, $I$14, $I$15)</f>
        <v>0</v>
      </c>
    </row>
    <row r="36" spans="1:11" ht="20.100000000000001" customHeight="1" x14ac:dyDescent="0.2">
      <c r="A36" s="5" t="str">
        <f>HYPERLINK("#'15 Scope 3'!A1", "15 Scope 3")</f>
        <v>15 Scope 3</v>
      </c>
      <c r="D36" s="15" t="str">
        <v>Zinc - Generic</v>
      </c>
      <c r="E36" s="15">
        <f>INDEX(Table_MN_j_f,15,4)</f>
        <v>0</v>
      </c>
      <c r="F36" s="15" cm="1">
        <f t="array" ref="F36">Fertiliser_Equations_LeachingAndRunoff.VEERG_5_5_1_1__2_MassOfNitrogenLeachedFromInorganicFertiliser(E36, $I$14, $I$15)</f>
        <v>0</v>
      </c>
    </row>
    <row r="37" spans="1:11" ht="20.100000000000001" customHeight="1" x14ac:dyDescent="0.2">
      <c r="A37" s="5" t="str">
        <f>HYPERLINK("#'Calcs - Manure sent off-site'!A1", "Calcs - Manure sent off-site")</f>
        <v>Calcs - Manure sent off-site</v>
      </c>
      <c r="D37" s="15" t="str">
        <v>Muriate of potash (MOP)</v>
      </c>
      <c r="E37" s="15">
        <f>INDEX(Table_MN_j_f,16,4)</f>
        <v>0</v>
      </c>
      <c r="F37" s="15" cm="1">
        <f t="array" ref="F37">Fertiliser_Equations_LeachingAndRunoff.VEERG_5_5_1_1__2_MassOfNitrogenLeachedFromInorganicFertiliser(E37, $I$14, $I$15)</f>
        <v>0</v>
      </c>
    </row>
    <row r="38" spans="1:11" ht="20.100000000000001" customHeight="1" x14ac:dyDescent="0.2">
      <c r="A38" s="5" t="str">
        <f>HYPERLINK("#'5.1.1.1-2 Inorganic fert N2O'!A1", "5.1.1.1-2 Inorganic fert N2O")</f>
        <v>5.1.1.1-2 Inorganic fert N2O</v>
      </c>
      <c r="D38" s="15" t="str">
        <v>Double superphosphate</v>
      </c>
      <c r="E38" s="15">
        <f>INDEX(Table_MN_j_f,17,4)</f>
        <v>0</v>
      </c>
      <c r="F38" s="15" cm="1">
        <f t="array" ref="F38">Fertiliser_Equations_LeachingAndRunoff.VEERG_5_5_1_1__2_MassOfNitrogenLeachedFromInorganicFertiliser(E38, $I$14, $I$15)</f>
        <v>0</v>
      </c>
    </row>
    <row r="39" spans="1:11" ht="20.100000000000001" customHeight="1" x14ac:dyDescent="0.2">
      <c r="A39" s="5" t="str">
        <f>HYPERLINK("#'5.1.1.3-4 Inorganic fert CO2'!A1", "5.1.1.3-4 Inorganic fert CO2")</f>
        <v>5.1.1.3-4 Inorganic fert CO2</v>
      </c>
      <c r="D39" s="15" t="str">
        <v>Single superphosphate (SSP)</v>
      </c>
      <c r="E39" s="15">
        <f>INDEX(Table_MN_j_f,18,4)</f>
        <v>0</v>
      </c>
      <c r="F39" s="15" cm="1">
        <f t="array" ref="F39">Fertiliser_Equations_LeachingAndRunoff.VEERG_5_5_1_1__2_MassOfNitrogenLeachedFromInorganicFertiliser(E39, $I$14, $I$15)</f>
        <v>0</v>
      </c>
    </row>
    <row r="40" spans="1:11" ht="20.100000000000001" customHeight="1" x14ac:dyDescent="0.2">
      <c r="A40" s="5" t="str">
        <f>HYPERLINK("#'5.2.1.1-2 Organic Fert N2O'!A1", "5.2.1.1-2 Organic Fert N2O")</f>
        <v>5.2.1.1-2 Organic Fert N2O</v>
      </c>
      <c r="D40" s="15" t="str">
        <v>Ammonia</v>
      </c>
      <c r="E40" s="15">
        <f>INDEX(Table_MN_j_f,19,4)</f>
        <v>4117.5</v>
      </c>
      <c r="F40" s="15" cm="1">
        <f t="array" ref="F40">Fertiliser_Equations_LeachingAndRunoff.VEERG_5_5_1_1__2_MassOfNitrogenLeachedFromInorganicFertiliser(E40, $I$14, $I$15)</f>
        <v>0</v>
      </c>
    </row>
    <row r="41" spans="1:11" ht="20.100000000000001" customHeight="1" x14ac:dyDescent="0.2">
      <c r="A41" s="5" t="str">
        <f>HYPERLINK("#'5.3.1.1-2 Lime CO2'!A1", "5.3.1.1-2 Lime CO2")</f>
        <v>5.3.1.1-2 Lime CO2</v>
      </c>
      <c r="D41" s="15" t="str">
        <v>Calcium nitrate</v>
      </c>
      <c r="E41" s="15">
        <f>INDEX(Table_MN_j_f,20,4)</f>
        <v>775</v>
      </c>
      <c r="F41" s="15" cm="1">
        <f t="array" ref="F41">Fertiliser_Equations_LeachingAndRunoff.VEERG_5_5_1_1__2_MassOfNitrogenLeachedFromInorganicFertiliser(E41, $I$14, $I$15)</f>
        <v>0</v>
      </c>
    </row>
    <row r="42" spans="1:11" ht="20.100000000000001" customHeight="1" x14ac:dyDescent="0.2">
      <c r="A42" s="5" t="str">
        <f>HYPERLINK("#'5.4.1.1-4 Atmos deposition'!A1", "5.4.1.1-4 Atmos deposition")</f>
        <v>5.4.1.1-4 Atmos deposition</v>
      </c>
    </row>
    <row r="43" spans="1:11" ht="20.100000000000001" customHeight="1" x14ac:dyDescent="0.2">
      <c r="A43" s="117" t="str">
        <f>HYPERLINK("#'5.5.1.1-2 Leaching and runoff'!A1", "5.5.1.1-2 Leaching and runoff")</f>
        <v>5.5.1.1-2 Leaching and runoff</v>
      </c>
      <c r="D43" s="88" t="s">
        <v>830</v>
      </c>
      <c r="E43" s="83">
        <f>SUM(F23:F41)</f>
        <v>0</v>
      </c>
      <c r="F43" s="89" t="str">
        <f>$E$11</f>
        <v>kg N</v>
      </c>
    </row>
    <row r="45" spans="1:11" ht="20.100000000000001" customHeight="1" x14ac:dyDescent="0.2">
      <c r="C45" s="131"/>
      <c r="D45" s="131"/>
      <c r="E45" s="131"/>
      <c r="F45" s="131"/>
      <c r="G45" s="131"/>
      <c r="H45" s="131"/>
      <c r="I45" s="131"/>
      <c r="J45" s="131"/>
      <c r="K45" s="131"/>
    </row>
    <row r="46" spans="1:11" ht="20.100000000000001" customHeight="1" x14ac:dyDescent="0.2">
      <c r="A46" s="80" t="s">
        <v>1</v>
      </c>
    </row>
    <row r="47" spans="1:11" ht="20.100000000000001" customHeight="1" x14ac:dyDescent="0.2">
      <c r="A47" s="5" t="str">
        <f>HYPERLINK("#'Constants - Feedlot'!A1", "Constants - Feedlot")</f>
        <v>Constants - Feedlot</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
      <c r="A48" s="5" t="str">
        <f>HYPERLINK("#'Constants - Common livestock'!A1", "Constants - Common Livestock")</f>
        <v>Constants - Common Livestock</v>
      </c>
      <c r="D48" s="17" t="str" cm="1">
        <f t="array" ref="D48">Fertiliser_Equations_LeachingAndRunoff.VEERG_5_5_1_1__3_MassOfNitrogenLeachedFromOrganicFertiliser_Source()</f>
        <v>VEERG 2026: 5.5, Equation (3)</v>
      </c>
    </row>
    <row r="49" spans="1:9" ht="20.100000000000001" customHeight="1" x14ac:dyDescent="0.2">
      <c r="A49" s="5" t="str">
        <f>HYPERLINK("#'Constants - Electricity'!A1", "Constants - Electricity")</f>
        <v>Constants - Electricity</v>
      </c>
      <c r="D49" s="112" t="s">
        <v>321</v>
      </c>
      <c r="E49" s="112" t="str" cm="1">
        <f t="array" aca="1" ref="E49" ca="1">Common_InputFunctions.Utility_DisplayFunctionName(F65)</f>
        <v>=Fertiliser_Equations_LeachingAndRunoff.VEERG_5_5_1_1__3_MassOfNitrogenLeachedFromOrganicFertiliser</v>
      </c>
    </row>
    <row r="50" spans="1:9" ht="20.100000000000001" customHeight="1" x14ac:dyDescent="0.2">
      <c r="A50" s="5" t="str">
        <f>HYPERLINK("#'Constants - Fertiliser'!A1", "Constants - Fertiliser")</f>
        <v>Constants - Fertiliser</v>
      </c>
    </row>
    <row r="51" spans="1:9" ht="20.100000000000001" customHeight="1" x14ac:dyDescent="0.2">
      <c r="A51" s="5" t="str">
        <f>HYPERLINK("#'Constants - Fuel'!A1", "Constants - Fuel")</f>
        <v>Constants - Fuel</v>
      </c>
    </row>
    <row r="52" spans="1:9" ht="20.100000000000001" customHeight="1" x14ac:dyDescent="0.2">
      <c r="A52" s="5" t="str">
        <f>HYPERLINK("#'Constants - Scope 3'!A1", "Constants - Scope 3")</f>
        <v>Constants - Scope 3</v>
      </c>
      <c r="D52" s="75" t="s">
        <v>322</v>
      </c>
      <c r="E52" s="1" t="str" cm="1">
        <f t="array" ref="E52">Fertiliser_Equations_LeachingAndRunoff.VEERG_5_5_1_1__3_MassOfNitrogenLeachedFromOrganicFertiliser_Variable()</f>
        <v>M_leachorganicj</v>
      </c>
    </row>
    <row r="53" spans="1:9" ht="20.100000000000001" customHeight="1" x14ac:dyDescent="0.2">
      <c r="A53" s="5" t="str">
        <f>HYPERLINK("#'Constants - Solid Waste'!A1", "Constants - Solid Waste")</f>
        <v>Constants - Solid Waste</v>
      </c>
      <c r="D53" s="75" t="s">
        <v>118</v>
      </c>
      <c r="E53" s="9" t="str" cm="1">
        <f t="array" ref="E53">Fertiliser_Equations_LeachingAndRunoff.VEERG_5_5_1_1__3_MassOfNitrogenLeachedFromOrganicFertiliser_Unit()</f>
        <v>kg N</v>
      </c>
    </row>
    <row r="54" spans="1:9" ht="20.100000000000001" customHeight="1" x14ac:dyDescent="0.2">
      <c r="A54" s="5" t="str">
        <f>HYPERLINK("#'Constants - Common'!A1", "Constants - Common")</f>
        <v>Constants - Common</v>
      </c>
    </row>
    <row r="55" spans="1:9" ht="20.100000000000001" customHeight="1" x14ac:dyDescent="0.2">
      <c r="A55" s="5" t="str">
        <f>HYPERLINK("#'Acknowledgements'!A1", "Acknowledgements")</f>
        <v>Acknowledgements</v>
      </c>
      <c r="D55" s="113" t="str" cm="1">
        <f t="array" ref="D55:E60">_xlfn.CHOOSECOLS(Fertiliser_Equations_LeachingAndRunoff.VEERG_5_5_1_1__3_MassOfNitrogenLeachedFromOrganicFertiliser_Arguments(), 1, 2)</f>
        <v>MNSoil_jf</v>
      </c>
      <c r="E55" s="121" t="str">
        <v>mass of nitrogen in organic fertiliser</v>
      </c>
      <c r="F55" s="122"/>
      <c r="G55" s="113" t="str" cm="1">
        <f t="array" ref="G55:H60">_xlfn.CHOOSECOLS(Fertiliser_Equations_LeachingAndRunoff.VEERG_5_5_1_1__3_MassOfNitrogenLeachedFromOrganicFertiliser_Arguments(), 3,4)</f>
        <v>kg N</v>
      </c>
      <c r="H55" s="115" t="str">
        <v>Calculated from 5.2.1.1 (2)</v>
      </c>
      <c r="I55" s="116" t="str" cm="1">
        <f t="array" aca="1" ref="I55" ca="1">HYPERLINK(Common_InputFunctions.Utility_SourceHyperlink(D62), D62)</f>
        <v>Table_M_leach_organic_j</v>
      </c>
    </row>
    <row r="56" spans="1:9" ht="20.100000000000001" customHeight="1" x14ac:dyDescent="0.2">
      <c r="D56" s="113" t="str">
        <v>FracWETj</v>
      </c>
      <c r="E56" s="121" t="str">
        <v>fraction of N available for leaching and runoff</v>
      </c>
      <c r="F56" s="122"/>
      <c r="G56" s="113" t="str">
        <v>fraction</v>
      </c>
      <c r="H56" s="115" t="str">
        <v>Constant</v>
      </c>
      <c r="I56" s="113">
        <f>Common_InputFunctions.CommonCropping_GetFracWET(I58,I60,Table_SourceData_FracWET[Is in leaching zone],Table_SourceData_FracWET[FracWET],Table_SourceData_FracWETIrrigation[Irrigation type i],Table_SourceData_FracWETIrrigation[FracWET])</f>
        <v>0</v>
      </c>
    </row>
    <row r="57" spans="1:9" ht="20.100000000000001" customHeight="1" x14ac:dyDescent="0.2">
      <c r="D57" s="113" t="str">
        <v>FracLEACH</v>
      </c>
      <c r="E57" s="121" t="str">
        <v>fraction of N that is lost through leaching and runoff</v>
      </c>
      <c r="F57" s="122"/>
      <c r="G57" s="113" t="str">
        <v>fraction</v>
      </c>
      <c r="H57" s="115" t="str">
        <v>Constant</v>
      </c>
      <c r="I57" s="113">
        <f>Fertiliser_FracLEACH_Data</f>
        <v>0.24</v>
      </c>
    </row>
    <row r="58" spans="1:9" ht="20.100000000000001" customHeight="1" x14ac:dyDescent="0.2">
      <c r="D58" s="113" t="str">
        <v>z</v>
      </c>
      <c r="E58" s="121" t="str">
        <v>location in leaching zone</v>
      </c>
      <c r="F58" s="122"/>
      <c r="G58" s="113" t="str">
        <v/>
      </c>
      <c r="H58" s="114" t="str">
        <v>Input</v>
      </c>
      <c r="I58" s="113" t="str">
        <f>X_Cell_Site_LeachingZone</f>
        <v>NO - Not in leaching zone</v>
      </c>
    </row>
    <row r="59" spans="1:9" ht="20.100000000000001" customHeight="1" x14ac:dyDescent="0.2">
      <c r="D59" s="113" t="str">
        <v>j</v>
      </c>
      <c r="E59" s="121" t="str">
        <v>production system</v>
      </c>
      <c r="F59" s="122"/>
      <c r="G59" s="113" t="str">
        <v/>
      </c>
      <c r="H59" s="114" t="str">
        <v>Input</v>
      </c>
      <c r="I59" s="113" t="str">
        <f>X_Cell_Fertiliser_ProductionSystem</f>
        <v>Crop</v>
      </c>
    </row>
    <row r="60" spans="1:9" ht="20.100000000000001" customHeight="1" x14ac:dyDescent="0.2">
      <c r="D60" s="113" t="str">
        <v>ir</v>
      </c>
      <c r="E60" s="121" t="str">
        <v>irrigation method</v>
      </c>
      <c r="F60" s="122"/>
      <c r="G60" s="113" t="str">
        <v/>
      </c>
      <c r="H60" s="114" t="str">
        <v>Input</v>
      </c>
      <c r="I60" s="113" t="str">
        <f>X_Cell_Fertiliser_IrrigationMethod</f>
        <v>Drip irrigation</v>
      </c>
    </row>
    <row r="62" spans="1:9" ht="20.100000000000001" customHeight="1" x14ac:dyDescent="0.2">
      <c r="D62" s="118" t="s">
        <v>831</v>
      </c>
    </row>
    <row r="63" spans="1:9" ht="20.100000000000001" customHeight="1" x14ac:dyDescent="0.2">
      <c r="D63" s="119" t="s">
        <v>832</v>
      </c>
    </row>
    <row r="64" spans="1:9" ht="20.100000000000001" customHeight="1" x14ac:dyDescent="0.2">
      <c r="D64" s="78" t="s">
        <v>793</v>
      </c>
      <c r="E64" s="233" t="s">
        <v>797</v>
      </c>
      <c r="F64" s="120" t="s">
        <v>833</v>
      </c>
    </row>
    <row r="65" spans="1:11" ht="20.100000000000001" customHeight="1" x14ac:dyDescent="0.2">
      <c r="D65" s="15" t="str">
        <f>INDEX(Table_MNSoil_j_f,2,1)</f>
        <v>Manure - Other</v>
      </c>
      <c r="E65" s="15">
        <f>INDEX(Table_MNSoil_j_f,2,6)</f>
        <v>300</v>
      </c>
      <c r="F65" s="15" cm="1">
        <f t="array" ref="F65">Fertiliser_Equations_LeachingAndRunoff.VEERG_5_5_1_1__3_MassOfNitrogenLeachedFromOrganicFertiliser(E65,$I$56, $I$57)</f>
        <v>0</v>
      </c>
    </row>
    <row r="66" spans="1:11" ht="20.100000000000001" customHeight="1" x14ac:dyDescent="0.2">
      <c r="A66" s="79" t="str">
        <f>HYPERLINK("#A1", "▲ Back to top")</f>
        <v>▲ Back to top</v>
      </c>
      <c r="D66" s="15" t="str">
        <f>INDEX(Table_MNSoil_j_f,3,1)</f>
        <v>Manure - Poultry</v>
      </c>
      <c r="E66" s="15">
        <f>INDEX(Table_MNSoil_j_f,3,6)</f>
        <v>250</v>
      </c>
      <c r="F66" s="15" cm="1">
        <f t="array" ref="F66">Fertiliser_Equations_LeachingAndRunoff.VEERG_5_5_1_1__3_MassOfNitrogenLeachedFromOrganicFertiliser(E66,$I$56, $I$57)</f>
        <v>0</v>
      </c>
    </row>
    <row r="67" spans="1:11" ht="20.100000000000001" customHeight="1" x14ac:dyDescent="0.2">
      <c r="D67" s="15" t="str">
        <f>INDEX(Table_MNSoil_j_f,4,1)</f>
        <v>Other organic fertiliser</v>
      </c>
      <c r="E67" s="15">
        <f>INDEX(Table_MNSoil_j_f,4,6)</f>
        <v>160</v>
      </c>
      <c r="F67" s="15" cm="1">
        <f t="array" ref="F67">Fertiliser_Equations_LeachingAndRunoff.VEERG_5_5_1_1__3_MassOfNitrogenLeachedFromOrganicFertiliser(E67,$I$56, $I$57)</f>
        <v>0</v>
      </c>
    </row>
    <row r="68" spans="1:11" ht="20.100000000000001" customHeight="1" x14ac:dyDescent="0.2">
      <c r="D68" s="15">
        <f>'5.2.1.1-2 Organic Fert N2O'!D23</f>
        <v>0</v>
      </c>
      <c r="E68" s="15">
        <f>'5.2.1.1-2 Organic Fert N2O'!I23</f>
        <v>0</v>
      </c>
      <c r="F68" s="15" cm="1">
        <f t="array" ref="F68">Fertiliser_Equations_LeachingAndRunoff.VEERG_5_5_1_1__3_MassOfNitrogenLeachedFromOrganicFertiliser(E68,$I$56, $I$57)</f>
        <v>0</v>
      </c>
    </row>
    <row r="69" spans="1:11" ht="20.100000000000001" customHeight="1" x14ac:dyDescent="0.2">
      <c r="D69" s="15">
        <f>'5.2.1.1-2 Organic Fert N2O'!D24</f>
        <v>0</v>
      </c>
      <c r="E69" s="15">
        <f>'5.2.1.1-2 Organic Fert N2O'!I24</f>
        <v>0</v>
      </c>
      <c r="F69" s="15" cm="1">
        <f t="array" ref="F69">Fertiliser_Equations_LeachingAndRunoff.VEERG_5_5_1_1__3_MassOfNitrogenLeachedFromOrganicFertiliser(E69,$I$56, $I$57)</f>
        <v>0</v>
      </c>
    </row>
    <row r="70" spans="1:11" ht="20.100000000000001" customHeight="1" x14ac:dyDescent="0.2">
      <c r="D70" s="15">
        <f>'5.2.1.1-2 Organic Fert N2O'!D25</f>
        <v>0</v>
      </c>
      <c r="E70" s="15">
        <f>'5.2.1.1-2 Organic Fert N2O'!I25</f>
        <v>0</v>
      </c>
      <c r="F70" s="15" cm="1">
        <f t="array" ref="F70">Fertiliser_Equations_LeachingAndRunoff.VEERG_5_5_1_1__3_MassOfNitrogenLeachedFromOrganicFertiliser(E70,$I$56, $I$57)</f>
        <v>0</v>
      </c>
    </row>
    <row r="71" spans="1:11" ht="20.100000000000001" customHeight="1" x14ac:dyDescent="0.2">
      <c r="D71" s="15">
        <f>'5.2.1.1-2 Organic Fert N2O'!D26</f>
        <v>0</v>
      </c>
      <c r="E71" s="15">
        <f>'5.2.1.1-2 Organic Fert N2O'!I26</f>
        <v>0</v>
      </c>
      <c r="F71" s="15" cm="1">
        <f t="array" ref="F71">Fertiliser_Equations_LeachingAndRunoff.VEERG_5_5_1_1__3_MassOfNitrogenLeachedFromOrganicFertiliser(E71,$I$56, $I$57)</f>
        <v>0</v>
      </c>
    </row>
    <row r="72" spans="1:11" ht="20.100000000000001" customHeight="1" x14ac:dyDescent="0.2">
      <c r="D72" s="15">
        <f>'5.2.1.1-2 Organic Fert N2O'!D27</f>
        <v>0</v>
      </c>
      <c r="E72" s="15">
        <f>'5.2.1.1-2 Organic Fert N2O'!I27</f>
        <v>0</v>
      </c>
      <c r="F72" s="15" cm="1">
        <f t="array" ref="F72">Fertiliser_Equations_LeachingAndRunoff.VEERG_5_5_1_1__3_MassOfNitrogenLeachedFromOrganicFertiliser(E72,$I$56, $I$57)</f>
        <v>0</v>
      </c>
    </row>
    <row r="73" spans="1:11" ht="20.100000000000001" customHeight="1" x14ac:dyDescent="0.2">
      <c r="D73" s="15">
        <f>'5.2.1.1-2 Organic Fert N2O'!D28</f>
        <v>0</v>
      </c>
      <c r="E73" s="15">
        <f>'5.2.1.1-2 Organic Fert N2O'!I28</f>
        <v>0</v>
      </c>
      <c r="F73" s="15" cm="1">
        <f t="array" ref="F73">Fertiliser_Equations_LeachingAndRunoff.VEERG_5_5_1_1__3_MassOfNitrogenLeachedFromOrganicFertiliser(E73,$I$56, $I$57)</f>
        <v>0</v>
      </c>
    </row>
    <row r="74" spans="1:11" ht="20.100000000000001" customHeight="1" x14ac:dyDescent="0.2">
      <c r="D74" s="15">
        <f>'5.2.1.1-2 Organic Fert N2O'!D29</f>
        <v>0</v>
      </c>
      <c r="E74" s="15">
        <f>'5.2.1.1-2 Organic Fert N2O'!I29</f>
        <v>0</v>
      </c>
      <c r="F74" s="15" cm="1">
        <f t="array" ref="F74">Fertiliser_Equations_LeachingAndRunoff.VEERG_5_5_1_1__3_MassOfNitrogenLeachedFromOrganicFertiliser(E74,$I$56, $I$57)</f>
        <v>0</v>
      </c>
    </row>
    <row r="75" spans="1:11" ht="20.100000000000001" customHeight="1" x14ac:dyDescent="0.2">
      <c r="D75" s="15">
        <f>'5.2.1.1-2 Organic Fert N2O'!D30</f>
        <v>0</v>
      </c>
      <c r="E75" s="15">
        <f>'5.2.1.1-2 Organic Fert N2O'!I30</f>
        <v>0</v>
      </c>
      <c r="F75" s="15" cm="1">
        <f t="array" ref="F75">Fertiliser_Equations_LeachingAndRunoff.VEERG_5_5_1_1__3_MassOfNitrogenLeachedFromOrganicFertiliser(E75,$I$56, $I$57)</f>
        <v>0</v>
      </c>
    </row>
    <row r="77" spans="1:11" ht="20.100000000000001" customHeight="1" x14ac:dyDescent="0.2">
      <c r="D77" s="88" t="s">
        <v>834</v>
      </c>
      <c r="E77" s="83">
        <f>SUM(F65:F75)</f>
        <v>0</v>
      </c>
      <c r="F77" s="89" t="str">
        <f>$E$53</f>
        <v>kg N</v>
      </c>
    </row>
    <row r="79" spans="1:11" ht="20.100000000000001" customHeight="1" x14ac:dyDescent="0.2">
      <c r="C79" s="131"/>
      <c r="D79" s="131"/>
      <c r="E79" s="131"/>
      <c r="F79" s="131"/>
      <c r="G79" s="131"/>
      <c r="H79" s="131"/>
      <c r="I79" s="131"/>
      <c r="J79" s="131"/>
      <c r="K79" s="131"/>
    </row>
    <row r="81" spans="1:10" ht="20.100000000000001" customHeight="1" x14ac:dyDescent="0.2">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1:10" ht="20.100000000000001" customHeight="1" x14ac:dyDescent="0.2">
      <c r="D82" s="17" t="str" cm="1">
        <f t="array" ref="D82">Fertiliser_Equations_LeachingAndRunoff.VEERG_5_5_1_1__1_FertiliserLeachingAndRunoffN2OEmissions_Source()</f>
        <v>VEERG 2026: 5.5, Equation (1)</v>
      </c>
    </row>
    <row r="83" spans="1:10" ht="20.100000000000001" customHeight="1" x14ac:dyDescent="0.2">
      <c r="D83" s="112" t="s">
        <v>321</v>
      </c>
      <c r="E83" s="112" t="str">
        <f ca="1">Common_InputFunctions.Utility_DisplayFunctionName(VEERG_5_5_1_1__1_FertiliserLeachingAndRunoffN2OEmissions_Result_Method1)</f>
        <v>=Fertiliser_Equations_LeachingAndRunoff.VEERG_5_5_1_1__1_FertiliserLeachingAndRunoffN2OEmissions</v>
      </c>
    </row>
    <row r="86" spans="1:10" ht="20.100000000000001" customHeight="1" x14ac:dyDescent="0.2">
      <c r="D86" s="75" t="s">
        <v>322</v>
      </c>
      <c r="E86" s="1" t="str" cm="1">
        <f t="array" ref="E86">Fertiliser_Equations_LeachingAndRunoff.VEERG_5_5_1_1__1_FertiliserLeachingAndRunoffN2OEmissions_Variable()</f>
        <v>E_fertleach</v>
      </c>
    </row>
    <row r="87" spans="1:10" ht="20.100000000000001" customHeight="1" x14ac:dyDescent="0.2">
      <c r="D87" s="75" t="s">
        <v>118</v>
      </c>
      <c r="E87" s="9" t="str" cm="1">
        <f t="array" ref="E87">Fertiliser_Equations_LeachingAndRunoff.VEERG_5_5_1_1__1_FertiliserLeachingAndRunoffN2OEmissions_Unit()</f>
        <v>t N2O</v>
      </c>
    </row>
    <row r="89" spans="1:10" ht="20.100000000000001" customHeight="1" x14ac:dyDescent="0.2">
      <c r="D89" s="113" t="str" cm="1">
        <f t="array" ref="D89:E92">_xlfn.CHOOSECOLS(Fertiliser_Equations_LeachingAndRunoff.VEERG_5_5_1_1__1_FertiliserLeachingAndRunoffN2OEmissions_Arguments(), 1, 2)</f>
        <v>M_leachinorganicj</v>
      </c>
      <c r="E89" s="121" t="str">
        <v>mass of nitrogen lost through leaching and runoff from inorganic fertiliser application in production system j</v>
      </c>
      <c r="F89" s="132"/>
      <c r="G89" s="122"/>
      <c r="H89" s="113" t="str" cm="1">
        <f t="array" ref="H89:I92">_xlfn.CHOOSECOLS(Fertiliser_Equations_LeachingAndRunoff.VEERG_5_5_1_1__1_FertiliserLeachingAndRunoffN2OEmissions_Arguments(), 3,4)</f>
        <v>kg N</v>
      </c>
      <c r="I89" s="115" t="str">
        <v>Calculated from 5.5.1.1 (2)</v>
      </c>
      <c r="J89" s="113">
        <f>$E$43</f>
        <v>0</v>
      </c>
    </row>
    <row r="90" spans="1:10" ht="20.100000000000001" customHeight="1" x14ac:dyDescent="0.2">
      <c r="D90" s="113" t="str">
        <v>M_leachorganicj</v>
      </c>
      <c r="E90" s="121" t="str">
        <v>mass of nitrogen lost through leaching and runoff from organic fertiliser application</v>
      </c>
      <c r="F90" s="132"/>
      <c r="G90" s="122"/>
      <c r="H90" s="113" t="str">
        <v>kg N</v>
      </c>
      <c r="I90" s="115" t="str">
        <v>Calculated from 5.5.1.1 (3)</v>
      </c>
      <c r="J90" s="113">
        <f>$E$77</f>
        <v>0</v>
      </c>
    </row>
    <row r="91" spans="1:10" ht="20.100000000000001" customHeight="1" x14ac:dyDescent="0.2">
      <c r="D91" s="113" t="str">
        <v>EF_leach</v>
      </c>
      <c r="E91" s="121" t="str">
        <v>emission factor for nitrogen leaching and runoff</v>
      </c>
      <c r="F91" s="132"/>
      <c r="G91" s="122"/>
      <c r="H91" s="113" t="str">
        <v>kg N2O-N/kg N</v>
      </c>
      <c r="I91" s="115" t="str">
        <v>Constant</v>
      </c>
      <c r="J91" s="113">
        <f>Fertiliser_EFLeach_Data</f>
        <v>1.0999999999999999E-2</v>
      </c>
    </row>
    <row r="92" spans="1:10" ht="20.100000000000001" customHeight="1" x14ac:dyDescent="0.2">
      <c r="D92" s="113" t="str">
        <v>C_N2O</v>
      </c>
      <c r="E92" s="121" t="str">
        <v>factor to convert elemental mass of nitrous oxide to molecular mass</v>
      </c>
      <c r="F92" s="132"/>
      <c r="G92" s="122"/>
      <c r="H92" s="113" t="str">
        <v/>
      </c>
      <c r="I92" s="115" t="str">
        <v>Constant</v>
      </c>
      <c r="J92" s="124">
        <f>Common_InputFunctions.Utility_LookupValueInTableNumber("N2O",Table_GasToMolecularConversionFactor[Gas],Table_GasToMolecularConversionFactor[Conversion factor combined])</f>
        <v>1.5714285714285714</v>
      </c>
    </row>
    <row r="94" spans="1:10" ht="20.100000000000001" customHeight="1" x14ac:dyDescent="0.2">
      <c r="D94" s="85" t="s">
        <v>835</v>
      </c>
      <c r="E94" s="86" cm="1">
        <f t="array" ref="E94">Fertiliser_Equations_LeachingAndRunoff.VEERG_5_5_1_1__1_FertiliserLeachingAndRunoffN2OEmissions(J89,J90,J91,J92)</f>
        <v>0</v>
      </c>
      <c r="F94" s="95" t="str">
        <f>$E$87</f>
        <v>t N2O</v>
      </c>
    </row>
    <row r="96" spans="1:10" ht="20.100000000000001" customHeight="1" x14ac:dyDescent="0.2">
      <c r="A96" s="79" t="str">
        <f>HYPERLINK("#A1", "▲ Back to top")</f>
        <v>▲ Back to top</v>
      </c>
      <c r="D96" s="124" t="str" cm="1">
        <f t="array" ref="D96:E97">Common_Equations.Common_ConvertN2OToCO2e_Arguments()</f>
        <v>EN2O</v>
      </c>
      <c r="E96" s="126" t="str">
        <v>Nitrous oxide emissions (t N2O)</v>
      </c>
      <c r="F96" s="127"/>
      <c r="G96" s="15">
        <f>VEERG_5_5_1_1__1_FertiliserLeachingAndRunoffN2OEmissions_Result_Method1</f>
        <v>0</v>
      </c>
    </row>
    <row r="97" spans="4:7" ht="20.100000000000001" customHeight="1" x14ac:dyDescent="0.2">
      <c r="D97" s="124" t="str">
        <v>GWPN2O</v>
      </c>
      <c r="E97" s="126" t="str">
        <v>Global warming potential for nitrous oxide (t CO2-e / t N2O)</v>
      </c>
      <c r="F97" s="127"/>
      <c r="G97" s="15">
        <f>Common_InputFunctions.Utility_LookupValueInTableNumber("N2O",Table_GWPData[Gas],Table_GWPData[CO2-e factor])</f>
        <v>265</v>
      </c>
    </row>
    <row r="99" spans="4:7" ht="20.100000000000001" customHeight="1" x14ac:dyDescent="0.2">
      <c r="D99" s="83" t="s">
        <v>428</v>
      </c>
      <c r="E99" s="83" cm="1">
        <f t="array" ref="E99">Common_Equations.Common_ConvertN2OToCO2e(G96,G97)</f>
        <v>0</v>
      </c>
      <c r="F99" s="89" t="str" cm="1">
        <f t="array" ref="F99">Common_Equations.Common_ConvertN2OToCO2e_Unit()</f>
        <v>t CO2e</v>
      </c>
    </row>
  </sheetData>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2545A-BB3A-4AF9-822A-051F02714658}">
  <sheetPr>
    <tabColor theme="2" tint="-0.499984740745262"/>
  </sheetPr>
  <dimension ref="A1:A55"/>
  <sheetViews>
    <sheetView zoomScaleNormal="100" workbookViewId="0">
      <pane xSplit="1" topLeftCell="B1" activePane="topRight" state="frozenSplit"/>
      <selection pane="topRight" activeCell="A4" sqref="A4"/>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5"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Feedlot'!A1", "Feedlot")</f>
        <v>Feedlot</v>
      </c>
    </row>
    <row r="12" spans="1:1" ht="20.100000000000001" customHeight="1" x14ac:dyDescent="0.2">
      <c r="A12" s="5" t="str">
        <f>HYPERLINK("#'Input - Livestock sales'!A1", "Livestock sales")</f>
        <v>Livestock sales</v>
      </c>
    </row>
    <row r="13" spans="1:1" ht="20.100000000000001" customHeight="1" x14ac:dyDescent="0.2">
      <c r="A13" s="5" t="str">
        <f>HYPERLINK("#'Input - Beef cattle purchases'!A1", "Beef cattle purchases")</f>
        <v>Beef cattle purchases</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Livestock farm Inputs'!A1", "Livestock farm Inputs")</f>
        <v>Livestock farm Inputs</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Manure sent off-site'!A1", "Manure sent off-site")</f>
        <v>Manure sent off-site</v>
      </c>
    </row>
    <row r="21" spans="1:1" ht="20.100000000000001" customHeight="1" x14ac:dyDescent="0.2">
      <c r="A21" s="5" t="str">
        <f>HYPERLINK("#'Input - Data quality'!A1", "Data quality")</f>
        <v>Data quality</v>
      </c>
    </row>
    <row r="22" spans="1:1" ht="20.100000000000001" customHeight="1" x14ac:dyDescent="0.2">
      <c r="A22" s="5" t="str">
        <f>HYPERLINK("#'Input - Fert Prod System'!A1", "Fert Prod System")</f>
        <v>Fert Prod System</v>
      </c>
    </row>
    <row r="23" spans="1:1" ht="20.100000000000001" customHeight="1" x14ac:dyDescent="0.2">
      <c r="A23" s="5" t="str">
        <f>HYPERLINK("#'Input - Fertiliser'!A1", "Fertiliser")</f>
        <v>Fertiliser</v>
      </c>
    </row>
    <row r="26" spans="1:1" ht="20.100000000000001" customHeight="1" x14ac:dyDescent="0.2">
      <c r="A26" s="6" t="s">
        <v>2</v>
      </c>
    </row>
    <row r="27" spans="1:1" ht="20.100000000000001" customHeight="1" x14ac:dyDescent="0.2">
      <c r="A27" s="5" t="str">
        <f>HYPERLINK("#'3.1.1.1-2 Enteric Methane'!A1", "3.1.1.1-2 Enteric Methane")</f>
        <v>3.1.1.1-2 Enteric Methane</v>
      </c>
    </row>
    <row r="28" spans="1:1" ht="20.100000000000001" customHeight="1" x14ac:dyDescent="0.2">
      <c r="A28" s="5" t="str">
        <f>HYPERLINK("#'4.1.1.1-2 Methane'!A1", "4.1.1.1-2 Manure Methane")</f>
        <v>4.1.1.1-2 Manure Methane</v>
      </c>
    </row>
    <row r="29" spans="1:1" ht="20.100000000000001" customHeight="1" x14ac:dyDescent="0.2">
      <c r="A29" s="5" t="str">
        <f>HYPERLINK("#'4.1.1.3-4 Direct N20'!A1", "4.1.1.3-4 Manure Direct N2O")</f>
        <v>4.1.1.3-4 Manure Direct N2O</v>
      </c>
    </row>
    <row r="30" spans="1:1" ht="20.100000000000001" customHeight="1" x14ac:dyDescent="0.2">
      <c r="A30" s="5" t="str">
        <f>HYPERLINK("#'4.1.1.5-6 Atmos Deposition'!A1", "4.1.1.5-6 Manure Atmos Dep")</f>
        <v>4.1.1.5-6 Manure Atmos Dep</v>
      </c>
    </row>
    <row r="31" spans="1:1" ht="20.100000000000001" customHeight="1" x14ac:dyDescent="0.2">
      <c r="A31" s="5" t="str">
        <f>HYPERLINK("#'4.1.1.9 Manure applied to soils'!A1", "4.1.1.9 Manure applied to soils")</f>
        <v>4.1.1.9 Manure applied to soils</v>
      </c>
    </row>
    <row r="32" spans="1:1" ht="20.100000000000001" customHeight="1" x14ac:dyDescent="0.2">
      <c r="A32" s="5" t="str">
        <f>HYPERLINK("#'8.1.1.1-2 Transport fuel'!A1", "8.1.1.1-2 Transport fuel")</f>
        <v>8.1.1.1-2 Transport fuel</v>
      </c>
    </row>
    <row r="33" spans="1:1" ht="20.100000000000001" customHeight="1" x14ac:dyDescent="0.2">
      <c r="A33" s="5" t="str">
        <f>HYPERLINK("#'8.2.1.1-2 Stationary fuel'!A1", "8.2.1.1-2 Stationary fuel")</f>
        <v>8.2.1.1-2 Stationary fuel</v>
      </c>
    </row>
    <row r="34" spans="1:1" ht="20.100000000000001" customHeight="1" x14ac:dyDescent="0.2">
      <c r="A34" s="5" t="str">
        <f>HYPERLINK("#'10.1.1-2 Solid waste treatment'!A1", "10.1.1.1-2 Solid waste")</f>
        <v>10.1.1.1-2 Solid waste</v>
      </c>
    </row>
    <row r="35" spans="1:1" ht="20.100000000000001" customHeight="1" x14ac:dyDescent="0.2">
      <c r="A35" s="5" t="str">
        <f>HYPERLINK("#'14.1.1-2 Purchased electricity'!A1", "14.1.1-2 Purchased electricity")</f>
        <v>14.1.1-2 Purchased electricity</v>
      </c>
    </row>
    <row r="36" spans="1:1" ht="20.100000000000001" customHeight="1" x14ac:dyDescent="0.2">
      <c r="A36" s="5" t="str">
        <f>HYPERLINK("#'15 Scope 3'!A1", "15 Scope 3")</f>
        <v>15 Scope 3</v>
      </c>
    </row>
    <row r="37" spans="1:1" ht="20.100000000000001" customHeight="1" x14ac:dyDescent="0.2">
      <c r="A37" s="5" t="str">
        <f>HYPERLINK("#'Calcs - Manure sent off-site'!A1", "Calcs - Manure sent off-site")</f>
        <v>Calcs - Manure sent off-site</v>
      </c>
    </row>
    <row r="38" spans="1:1" ht="20.100000000000001" customHeight="1" x14ac:dyDescent="0.2">
      <c r="A38" s="5" t="str">
        <f>HYPERLINK("#'5.1.1.1-2 Inorganic fert N2O'!A1", "5.1.1.1-2 Inorganic fert N2O")</f>
        <v>5.1.1.1-2 Inorganic fert N2O</v>
      </c>
    </row>
    <row r="39" spans="1:1" ht="20.100000000000001" customHeight="1" x14ac:dyDescent="0.2">
      <c r="A39" s="5" t="str">
        <f>HYPERLINK("#'5.1.1.3-4 Inorganic fert CO2'!A1", "5.1.1.3-4 Inorganic fert CO2")</f>
        <v>5.1.1.3-4 Inorganic fert CO2</v>
      </c>
    </row>
    <row r="40" spans="1:1" ht="20.100000000000001" customHeight="1" x14ac:dyDescent="0.2">
      <c r="A40" s="5" t="str">
        <f>HYPERLINK("#'5.2.1.1-2 Organic Fert N2O'!A1", "5.2.1.1-2 Organic Fert N2O")</f>
        <v>5.2.1.1-2 Organic Fert N2O</v>
      </c>
    </row>
    <row r="41" spans="1:1" ht="20.100000000000001" customHeight="1" x14ac:dyDescent="0.2">
      <c r="A41" s="5" t="str">
        <f>HYPERLINK("#'5.3.1.1-2 Lime CO2'!A1", "5.3.1.1-2 Lime CO2")</f>
        <v>5.3.1.1-2 Lime CO2</v>
      </c>
    </row>
    <row r="42" spans="1:1" ht="20.100000000000001" customHeight="1" x14ac:dyDescent="0.2">
      <c r="A42" s="5" t="str">
        <f>HYPERLINK("#'5.4.1.1-4 Atmos deposition'!A1", "5.4.1.1-4 Atmos deposition")</f>
        <v>5.4.1.1-4 Atmos deposition</v>
      </c>
    </row>
    <row r="43" spans="1:1" ht="20.100000000000001" customHeight="1" x14ac:dyDescent="0.2">
      <c r="A43" s="5" t="str">
        <f>HYPERLINK("#'5.5.1.1-2 Leaching and runoff'!A1", "5.5.1.1-2 Leaching and runoff")</f>
        <v>5.5.1.1-2 Leaching and runoff</v>
      </c>
    </row>
    <row r="46" spans="1:1" ht="20.100000000000001" customHeight="1" x14ac:dyDescent="0.2">
      <c r="A46" s="80" t="s">
        <v>1</v>
      </c>
    </row>
    <row r="47" spans="1:1" ht="20.100000000000001" customHeight="1" x14ac:dyDescent="0.2">
      <c r="A47" s="5" t="str">
        <f>HYPERLINK("#'Constants - Feedlot'!A1", "Constants - Feedlot")</f>
        <v>Constants - Feedlot</v>
      </c>
    </row>
    <row r="48" spans="1:1" ht="20.100000000000001" customHeight="1" x14ac:dyDescent="0.2">
      <c r="A48" s="5" t="str">
        <f>HYPERLINK("#'Constants - Common livestock'!A1", "Constants - Common Livestock")</f>
        <v>Constants - Common Livestock</v>
      </c>
    </row>
    <row r="49" spans="1:1" ht="20.100000000000001" customHeight="1" x14ac:dyDescent="0.2">
      <c r="A49" s="5" t="str">
        <f>HYPERLINK("#'Constants - Electricity'!A1", "Constants - Electricity")</f>
        <v>Constants - Electricity</v>
      </c>
    </row>
    <row r="50" spans="1:1" ht="20.100000000000001" customHeight="1" x14ac:dyDescent="0.2">
      <c r="A50" s="5" t="str">
        <f>HYPERLINK("#'Constants - Fertiliser'!A1", "Constants - Fertiliser")</f>
        <v>Constants - Fertiliser</v>
      </c>
    </row>
    <row r="51" spans="1:1" ht="20.100000000000001" customHeight="1" x14ac:dyDescent="0.2">
      <c r="A51" s="5" t="str">
        <f>HYPERLINK("#'Constants - Fuel'!A1", "Constants - Fuel")</f>
        <v>Constants - Fuel</v>
      </c>
    </row>
    <row r="52" spans="1:1" ht="20.100000000000001" customHeight="1" x14ac:dyDescent="0.2">
      <c r="A52" s="5" t="str">
        <f>HYPERLINK("#'Constants - Scope 3'!A1", "Constants - Scope 3")</f>
        <v>Constants - Scope 3</v>
      </c>
    </row>
    <row r="53" spans="1:1" ht="20.100000000000001" customHeight="1" x14ac:dyDescent="0.2">
      <c r="A53" s="5" t="str">
        <f>HYPERLINK("#'Constants - Solid Waste'!A1", "Constants - Solid Waste")</f>
        <v>Constants - Solid Waste</v>
      </c>
    </row>
    <row r="54" spans="1:1" ht="20.100000000000001" customHeight="1" x14ac:dyDescent="0.2">
      <c r="A54" s="5" t="str">
        <f>HYPERLINK("#'Constants - Common'!A1", "Constants - Common")</f>
        <v>Constants - Common</v>
      </c>
    </row>
    <row r="55" spans="1:1" ht="20.100000000000001" customHeight="1" x14ac:dyDescent="0.2">
      <c r="A55" s="81"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A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E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GAGUAZQBkAGwAbwB0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EAIABNAGUAdABoAG8AZAAgADEAIAAtACAATQBhAG4AdQByAGUAIABNAGUAdABoAGEAbgBl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HsARQB9AF8AewBDAEgANAB9AD0AXABcAHMAdQBtAF8AewBqAH0AXABcAHMAdQBtAF8AewBtAH0AXABcAHMAdQBtAF8AewBUAH0AKABEAF8AewBqAH0AXABcAHQAaQBtAGUAcwAgAE0AXwB7AGoAbQBUAH0AXABcAHQAaQBtAGUAcwAgAE4AXwB7AGoAfQApAFwAXAB0AGkAbQBlAHMAMQAwAF4AewAtADMAfQBcAG4ARABfAGoAIAA9ACAAbABlAG4AZwB0AGgAIABvAGYAIABzAHQAYQB5ACAAbwBmACAAZQBhAGMAaAAgAGMAYQB0AHQAbABlACAAZwByAG8AdQBwACAAOgAgAGQAYQB5AHMAXABuAE0AXwBqAG0AVAAgAD0AIABtAGUAdABoAGEAbgBlACAAcAByAG8AZAB1AGMAdABpAG8AbgAgAGYAcgBvAG0AIABtAGEAbgB1AHIAZQAgAHAAZQByACAAYwBhAHQAdABsAGUAIABnAHIAbwB1AHAALAAgAE0ATQBTACwAIABhAG4AZAAgAHQAcgBlAGEAdABtAGUAbgB0ACAAcwB0AGEAZwBlACAAOgAgAGsAZwAgAEMASAA0AC8AaABlAGEAZAAvAGQAYQB5AFwAbgBOAF8AagAgAD0AIABuAHUAbQBiAGUAcgBzACAAbwBmACAAYgBlAGUAZgAgAGMAYQB0AHQAbABlACAAaQBuACAAZQBhAGMAaAAgAGcAcgBvAHUAcAAgADoAIABoAGUAYQBkAFwAbgAtAC0ALQAtAC0ALQAtAC0ALQAtAC0ALQAtAC0ALQAtAC0ALQAtAC0ALQAtAC0ALQAtAC0ALQAtAC0ALQAtAC0ALQAtAC0ALQAtAC0AXABuACoALwBcAG4AXABuAFYARQBFAFIARwBfADQAXwAxAF8AMQBfADEAXwBfADEAXwBUAG8AdABhAGwAQQBuAG4AdQBhAGwATQBlAHQAaABhAG4AZQBFAG0AaQBzAHMAaQBvAG4AcwBcAG4AIAAgAD0ATABBAE0AQgBEAEEAKABcAG4AIAAgACAAIABEAF8AagAsACAATQBfAGoAbQBUACwAIABOAF8AagAsAFwAbgAgACAAIAAgACgARABfAGoAIAAqACAATQBfAGoAbQBUACAAKgAgAE4AXwBqACkAIAAqACAAMQAwACAAXgAgAC0AMwBcAG4AIAAgACkAOwBcAG4AXABuAFYARQBFAFIARwBfADQAXwAx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MQBfADEAXwAxAF8AXwAxAF8AVABvAHQAYQBsAEEAbgBuAHUAYQBsAE0AZQB0AGgAYQBuAGUARQBtAGkAcwBzAGkAbwBuAHMAXwBWAGEAcgBpAGEAYgBsAGUAXABuACAAIAA9AEwAQQBNAEIARABBACgAXAAiAEUAXwBDAEgANABcACIAKQA7AFwAbgBcAG4AVgBFAEUAUgBHAF8ANABfADEAXwAxAF8AMQBfAF8AMQBfAFQAbwB0AGEAbABBAG4AbgB1AGEAbABNAGUAdABoAGEAbgBlAEUAbQBpAHMAcwBpAG8AbgBzAF8AVQBuAGkAdABcAG4AIAAgAD0ATABBAE0AQgBEAEEAKABcACIAdAAgAEMASAA0AFwAIgApADsAXABuAFwAbgBWAEUARQBSAEcAXwA0AF8AMQBfADEAXwAxAF8AXwAxAF8AVABvAHQAYQBsAEEAbgBuAHUAYQBsAE0AZQB0AGgAYQBuAGUARQBtAGkAcwBzAGkAbwBuAHMAXwBTAG8AdQByAGMAZQBcAG4AIAAgAD0ATABBAE0AQgBEAEEAKABcACIAVgBFAEUAUgBHACAAMgAwADIANgA6ACAANAAuADEALgAxAC4AMQAsACAARQBxAHUAYQB0AGkAbwBuACAAKAAxACkAXAAiACkAOwBcAG4AXABuAFYARQBFAFIARwBfADQAXwAxAF8AMQBfADEAXwBfADEAXwBUAG8AdABhAGwAQQBuAG4AdQBhAGwATQBlAHQAaABhAG4AZQBFAG0AaQBzAHMAaQBvAG4AcwBfAE4ASQBSAFIAZQBmAGUAcgBlAG4AYwBlAFwAbgAgACAAPQBMAEEATQBCAEQAQQAoAFwAIgBcACIAKQA7AFwAbgBcAG4AVgBFAEUAUgBHAF8ANABfADEAXwAxAF8AMQBfAF8AMQBfAFQAbwB0AGEAbABBAG4AbgB1AGEAbABNAGUAdABoAGEAbgBlAEUAbQBpAHMAcwBpAG8AbgBzAF8ATABhAHQAZQB4AEUAcQB1AGEAdABpAG8AbgBcAG4AIAAgAD0ATABBAE0AQgBEAEEAKABcACIAewBFAH0AXwB7AEMASAA0AH0APQBcAFwAcwB1AG0AXwB7AGoAfQBcAFwAcwB1AG0AXwB7AG0AfQBcAFwAcwB1AG0AXwB7AFQAfQAoAEQAXwB7AGoAfQBcAFwAdABpAG0AZQBzACAATQBfAHsAagBtAFQAfQBcAFwAdABpAG0AZQBzACAATgBfAHsAagB9ACkAXABcAHQAaQBtAGUAcwAxADAAXgB7AC0AMwB9AFwAIgApADsAXABuAFwAbgBWAEUARQBSAEcAXwA0AF8AM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fAGoAXAAiACwAXAAiAGwAZQBuAGcAdABoACAAbwBmACAAcwB0AGEAeQAgAG8AZgAgAGUAYQBjAGgAIABjAGEAdAB0AGwAZQAgAGcAcgBvAHUAcABcACIALAAgAFwAIgBkAGEAeQBzAFwAIgAsACAAXAAiAEkAbgBwAHUAdABcACIAOwBcAG4AIAAgACAAIAAgACAAIAAgACAAIABcACIATQBfAGoAbQBUAFwAIgAsAFwAIgBtAGUAdABoAGEAbgBlACAAcAByAG8AZAB1AGMAdABpAG8AbgAgAGYAcgBvAG0AIABtAGEAbgB1AHIAZQAgAHAAZQByACAAYwBhAHQAdABsAGUAIABnAHIAbwB1AHAALAAgAE0ATQBTACwAIABhAG4AZAAgAHQAcgBlAGEAdABtAGUAbgB0ACAAcwB0AGEAZwBlAFwAIgAsACAAXAAiAGsAZwAgAEMASAA0AC8AaABlAGEAZAAvAGQAYQB5AFwAIgAsACAAXAAiAEMAYQBsAGMAdQBsAGEAdABlAGQAIABmAHIAbwBtACAANAAuADEALgAxAC4AMQAgACgAMgApACgAMwApACgANAApAFwAIgA7AFwAbgAgACAAIAAgACAAIAAgACAAIAAgAFwAIgBOAF8AagBcACIALABcACIAbgB1AG0AYgBlAHIAcwAgAG8AZgAgAGIAZQBlAGYAIABjAGEAdAB0AGwAZQAgAGkAbgAgAGUAYQBjAGgAIABnAHIAbwB1AHA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tAGUAYQBuACAAYQBuAG4AdQBhAGwAIAB0AGUAbQBwAGUAcgBhAHQAdQBy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yAF8AUwB0AGEAZwBlADEATQBlAHQAaABhAG4AZQBQAHIAbwBkAHUAYwB0AGkAbwBuAEQAcgB5AGwAbw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NQBUADEAXAAiACwAXAAiAGYAcgBhAGMAdABpAG8AbgAgAG8AZgAgAG0AYQBuAHUAcgBlACAAaQBuACAAcAByAGkAbQBhAHIAeQAgAHMAeQBzAHQAZQBtACAAZAByAHkAbABvAHQAIABNAE0AUwBcACIALAAgAFwAIgBmAHIAYQBjAHQAaQBvAG4AXAAiACwAIABcACIASQBuAHAAdQB0AFwAIgA7AFwAbgAgACAAIAAgACAAIAAgACAAIAAgAFwAIgBNAEMARgBfAGkAbQA1AFwAIgAsAFwAIgBtAGUAdABoAGEAbgBlACAAYwBvAG4AdgBlAHIAcwBpAG8AbgAgAGYAYQBjAHQAbwByACAAZgBvAHIAIABzAHQAYQB0AGUAIABhAG4AZAAgAGQAcgB5AGwAbwB0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bQBlAGEAbgAgAGEAbgBuAHUAYQBsACAAdABlAG0AcABlAHIAYQB0AHUAc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zAF8AUwB0AGEAZwBlADIATQBlAHQAaABhAG4AZQBQAHIAbwBkAHUAYwB0AGkAbwBuAFwAbgAgACAAPQBMAEEATQBCAEQAQQAoAFwAbgAgACAAIAAgAFYAUwBMACwAIABWAFMAXwBqACwAIABCAE8ALAAgAE0ATQBTAF8AbQBUADIALAAgAE0AQwBGAF8AaQBtACwAIAByAGgAbwAsAFwAbgAgACAAIAAgACgAMQAgAC0AIABWAFMATAApACAAKgAgAFYAUwBfAGoAIAAqACAAQgBPACAAKgAgAE0ATQBTAF8AbQBUADIAIAAqACAATQBDAEYAXwBpAG0AIAAqACAAcgBoAG8AXABuACAAIAApADsAXABuAFwAbgBWAEUARQBSAEcAXwA0AF8AMQ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MQBfADEAXwAxAF8AXwAzAF8AUwB0AGEAZwBlADIATQBlAHQAaABhAG4AZQBQAHIAbwBkAHUAYwB0AGkAbwBuAF8AVgBhAHIAaQBhAGIAbABlAFwAbgAgACAAPQBMAEEATQBCAEQAQQAoAFwAIgBNAF8AagBtAFQAMgBcACIAKQA7AFwAbgBcAG4AVgBFAEUAUgBHAF8ANABfADEAXwAxAF8AMQBfAF8AMwBfAFMAdABhAGcAZQAyAE0AZQB0AGgAYQBuAGUAUAByAG8AZAB1AGMAdABpAG8AbgBfAFUAbgBpAHQAXABuACAAIAA9AEwAQQBNAEIARABBACgAXAAiAGsAZwAgAEMASAA0AC8AaABlAGEAZAAvAGQAYQB5AFwAIgApADsAXABuAFwAbgBWAEUARQBSAEcAXwA0AF8AMQBfADEAXwAxAF8AXwAzAF8AUwB0AGEAZwBlADIATQBlAHQAaABhAG4AZQBQAHIAbwBkAHUAYwB0AGkAbwBuAF8AUwBvAHUAcgBjAGUAXABuACAAIAA9AEwAQQBNAEIARABBACgAXAAiAFYARQBFAFIARwAgADIAMAAyADYAOgAgADQALgAxAC4AMQAuADEALAAgAEUAcQB1AGEAdABpAG8AbgAgACgAMwApAFwAIgApADsAXABuAFwAbgBWAEUARQBSAEcAXwA0AF8AMQBfADEAXwAxAF8AXwAzAF8AUwB0AGEAZwBlADIATQBlAHQAaABhAG4AZQBQAHIAbwBkAHUAYwB0AGkAbwBuAF8ATgBJAFIAUgBlAGYAZQByAGUAbgBjAGUAXABuACAAIAA9AEwAQQBNAEIARABBACgAXAAiAFwAIgApADsAXABuAFwAbgBWAEUARQBSAEcAXwA0AF8AMQBfADEAXwAxAF8AXwAzAF8AUwB0AGEAZwBlADIATQBlAHQAaABhAG4AZQBQAHIAbwBkAHUAYwB0AGkAbwBuAF8ATABhAHQAZQB4AEUAcQB1AGEAdABpAG8AbgBcAG4AIAAgAD0ATABBAE0AQgBEAEEAKABcACIATQBfAHsAagBtAFQAPQAyAH0APQAoADEALQBWAFMATAApAFwAXAB0AGkAbQBlAHMAIABWAFMAXwB7AGoAfQBcAFwAdABpAG0AZQBzACAAQgBPAFwAXAB0AGkAbQBlAHMAIABNAE0AUwBfAHsAbQBUAD0AMgB9AFwAXAB0AGkAbQBlAHMAIABNAEMARgBfAHsAaQBtAH0AXABcAHQAaQBtAGUAcwAgAFwAXAByAGgAbwBcACIAKQA7AFwAbgBcAG4AVgBFAEUAUgBHAF8ANABfADEAXwAxAF8AMQBfAF8AMwBfAFMAdABhAGcAZQAyAE0AZQB0AGgAYQBuAGUAUAByAG8AZAB1AGMAdABpAG8AbgBfAEEAcgBnAHUAbQBlAG4AdABzAFwAbgAgACAAPQBMAEEATQBCAEQAQQAoAFwAbgAgACAAIAAgAE0AQQBLAEUAQQBSAFIAQQBZACgANwAsACAANAAsAFwAbgAgACAAIAAgACAAIABMAEEATQBCAEQAQQAoAHIALABjACwAXABuACAAIAAgACAAIAAgACAAIABJAE4ARABFAFgAKAB7AFwAbgAgACAAIAAgACAAIAAgACAAIAAgAFwAIgBWAFMATABcACIALABcACIAZgByAGEAYwB0AGkAbwBuACAAbwBmACAAdgBvAGwAYQB0AGkAbABlACAAcwBvAGwAaQBkAHMAIABsAG8AcwB0ACAAZAB1AHIAaQBuAGcAIABzAHQAbwByAGEAZwBlACAAaQBuACAAdABoAGUAIABwAHIAaQBtAGEAcgB5ACAAcwB5AHMAdABlAG0AXAAiACwAIABcACIAZgByAGEAYwB0AGkAbwBuAFwAIgAsACAAXAAiAEMAbwBuAHMAdABhAG4AdABcACIAO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cwB0AGEAdA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wBfAFMAdABhAGcAZQAyAE0AZQB0AGgAYQBuAGUAUAByAG8AZAB1AGMAdABpAG8AbgBfAEEAcgBnAHUAbQBlAG4AdABzAF8ATQBlAHQAaABvAGQAMg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G0AZQBhAG4AIABhAG4AbgB1AGEAbAAgAHQAZQBtAHAAZQByAGEAdAB1AHI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0AF8AUwB0AGEAZwBlADMATQBlAHQAaABhAG4AZQBQAHIAbwBkAHUAYwB0AGkAbwBuAEEAbgBhAGUAcgBvAGIAaQBjAEwAYQBnAG8AbwBuAFwAbgBQAHIAbwBkAHUAYwB0AGkAbwBuACAAbwBmACAAbQBlAHQAaABhAG4AZQAgAGkAbgAgAHQAcgBlAGEAdABtAGUAbgB0ACAAcwB0AGEAZwBlACAAMwAgAE0ATQBTAFwAbgBNAF8AagBtADEAVAAzAFwAbgBrAGcAIABDAEgANAAvAGgAZQBhAGQALwBkAGEAeQBcAG4ATQBfAHsAagBtAD0AMQAsAFQAPQAzAH0APQBWAFMAXwB7AGoAfQBcAFwAdABpAG0AZQBzACAAQgBPAFwAXAB0AGkAbQBlAHMAIABNAE0AUwBfAHsAbQA9ADEALABUAD0AMwB9AFwAXAB0AGkAbQBlAHMAIABNAEMARgBfAHsAaQBtAD0AM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xAFQAMwAgAD0AIABmAHIAYQBjAHQAaQBvAG4AIABvAGYAIABtAGEAbgB1AHIAZQAgAHQAbwAgAHQAZQByAHQAaQBhAHIAeQAgAGEAbgBhAGUAcgBvAGIAaQBjACAAbABhAGcAbwBvAG4AIABzAHkAcwB0AGUAbQAgADoAIABmAHIAYQBjAHQAaQBvAG4AXABuAE0AQwBGAF8AaQBtADEAIAA9ACAAbQBlAHQAaABhAG4AZQAgAGMAbwBuAHYAZQByAHMAaQBvAG4AIABmAGEAYwB0AG8AcgAgAGYAbwByACAAbQBlAGEAbgAgAGEAbgBuAHUAYQBsACAAdABlAG0AcABlAHIAYQB0AHUAc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MQBUADMAXAAiACwAXAAiAGYAcgBhAGMAdABpAG8AbgAgAG8AZgAgAG0AYQBuAHUAcgBlACAAdABvACAAdABlAHIAdABpAGEAcgB5ACAAYQBuAGEAZQByAG8AYgBpAGMAIABsAGEAZwBvAG8AbgAgAHMAeQBzAHQAZQBtAFwAIgAsACAAXAAiAGYAcgBhAGMAdABpAG8AbgBcACIALAAgAFwAIgBJAG4AcAB1AHQAXAAiADsAXABuACAAIAAgACAAIAAgACAAIAAgACAAXAAiAE0AQwBGAF8AaQBtADEAXAAiACwAXAAiAG0AZQB0AGgAYQBuAGUAIABjAG8AbgB2AGUAcgBzAGkAbwBuACAAZgBhAGMAdABvAHIAIABmAG8AcgAgAHMAdABhAHQAZQAgAGEAbgBkACAAYQBuAGEAZQByAG8AYgBpAGMAIABsAGEAZwBvAG8Abg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0AF8AUwB0AGEAZwBlADMATQBlAHQAaABhAG4AZQBQAHIAbwBkAHUAYwB0AGkAbwBuAEEAbgBhAGUAcgBvAGIAaQBjAEwAYQBnAG8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tAGUAYQBuACAAYQBuAG4AdQBhAGwAIAB0AGUAbQBwAGUAcgBhAHQAdQBy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NAGUAYQBuACAAYQBuAG4AdQBhAGwAIAB0AGUAbQBwAGUAcgBhAHQAdQBy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IABmAG8AcgAgAGUAYQBjAGgAIABnAHIAbwB1AHAAIABqAFwAIgAsACAAXAAiAGsAZwAgAEQATQAvAGgAZQBhAGQALwBkAGEAeQBcACIALAAgAFwAIgBJAG4AcAB1AHQAXAAiADsAXABuACAAIAAgACAAIAAgACAAIAAgACAAXAAiAEQATQBEAF8AagBcACIALABcACIAZAByAHkAIABtAGEAdAB0AGUAcgAgAGQAaQBnAGUAcwB0AGkAYgBpAGwAaQB0AHkAIABmAG8AcgAgAGUAYQBjAGgAIABnAHIAbwB1AHAAIABqAFwAIgAsACAAXAAiAGYAcgBhAGMAdABpAG8AbgBcACIALAAgAFwAIgBJAG4AcAB1AHQAXAAiADsAXABuACAAIAAgACAAIAAgACAAIAAgACAAXAAiAEEAXAAiACwAXAAiAGEAcwBoACAAYwBvAG4AdABlAG4AdAAgAG8AZgAgAG0AYQBuAHUAcgBlAFwAIgAsACAAXAAiAGYAcgBhAGMAdABpAG8AbgBcACIALAAgAFwAIgBDAG8AbgBzAHQAYQBuAHQAXAAiAFwAbgAgACAAIAAgACAAIAAgACAAfQAsACAAcgAsACAAYwApAFwAbgAgACAAIAAgACAAIAApAFwAbgAgACAAIAAgACkAXABuACAAIAApADsAXABuAFwAbgBcAG4AXABuAFwAbgBcAG4AXABuACIAfQAsAHsAIgBwAGEAdABoACIAOgAiAC8AcAByAG8AagBlAGMAdABzAC8ATQBNAFMAXwBGAGUAZQBkAGwAbwB0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zACAATQBlAHQAaABvAGQAIAAxACAALQAgAE0AYQBuAHUAcgBlACAARABpAHIAZQBjAHQAIABOADIATw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wBfAF8AMQBfAFQAbwB0AGEAbABBAG4AbgB1AGEAbABEAGkAcgBlAGMAdABOAGkAdAByAG8AdQBzAE8AeABpAGQAZQBFAG0AaQBzAHMAaQBvAG4Ac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tAH0AXABcAHMAdQBtAF8AewBUAH0AKABNAE4AXwB7AGoAbQBUAH0AXABcAHQAaQBtAGUAcwAgAEUARgBfAHsAagBtAH0AXABcAHQAaQBtAGUAcwAgAEMAXwB7AE4AMgBPAH0AKQBcAFwAdABpAG0AZQBzADEAMABeAHsALQAzAH0AXABuAE0ATgBfAGoAbQBUACAAPQAgAG4AaQB0AHIAbwBnAGUAbgAgAHAAZQByACAAYwBhAHQAdABsAGUAIABnAHIAbwB1AHA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EAXwAxAF8AMwBfAF8AMQBfAFQAbwB0AGEAbABBAG4AbgB1AGEAbABEAGkAcgBlAGMAdABOAGkAdAByAG8AdQBzAE8AeABpAGQAZQBFAG0AaQBzAHMAaQBvAG4AcwBcAG4AIAAgAD0ATABBAE0AQgBEAEEAKABcAG4AIAAgACAAIABNAE4AXwBqAG0AVAAsACAARQBGAF8AagBtACwAIABDAF8ATgAyAE8ALABcAG4AIAAgACAAIABTAFUATQBQAFIATwBEAFUAQwBUACgATQBOAF8AagBtAFQALAAgAEUARgBfAGoAbQAsACAAQwBfAE4AMgBPACkAIAAqACAAMQAwACAAXgAgAC0AMwBcAG4AIAAgACkAOwBcAG4AXABuAFYARQBFAFIARwBfADQAXwAxAF8AMQBfADMAXwBfADEAXwBUAG8AdABhAGwAQQBuAG4AdQBhAGwARABpAHIAZQBjAHQATgBpAHQAcgBvAHUAcwBPAHgAaQBkAGUARQBtAGkAcwBzAGkAbwBuAH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EAXwAxAF8AMwBfAF8AMQBfAFQAbwB0AGEAbABBAG4AbgB1AGEAbABEAGkAcgBlAGMAdABOAGkAdAByAG8AdQBzAE8AeABpAGQAZQBFAG0AaQBzAHMAaQBvAG4AcwBfAFYAYQByAGkAYQBiAGwAZQBcAG4AIAAgAD0ATABBAE0AQgBEAEEAKABcACIARQBfAE4AMgBPAGQAaQByAFwAIgApADsAXABuAFwAbgBWAEUARQBSAEcAXwA0AF8AMQBfADEAXwAzAF8AXwAxAF8AVABvAHQAYQBsAEEAbgBuAHUAYQBsAEQAaQByAGUAYwB0AE4AaQB0AHIAbwB1AHMATwB4AGkAZABlAEUAbQBpAHMAcwBpAG8AbgBzAF8AVQBuAGkAdABcAG4AIAAgAD0ATABBAE0AQgBEAEEAKABcACIAdAAgAE4AMgBPAFwAIgApADsAXABuAFwAbgBWAEUARQBSAEcAXwA0AF8AMQBfADEAXwAzAF8AXwAxAF8AVABvAHQAYQBsAEEAbgBuAHUAYQBsAEQAaQByAGUAYwB0AE4AaQB0AHIAbwB1AHMATwB4AGkAZABlAEUAbQBpAHMAcwBpAG8AbgBzAF8AUwBvAHUAcgBjAGUAXABuACAAIAA9AEwAQQBNAEIARABBACgAXAAiAFYARQBFAFIARwAgADIAMAAyADYAOgAgADQALgAxAC4AMQAuADMALAAgAEUAcQB1AGEAdABpAG8AbgAgACgAMQApAFwAIgApADsAXABuAFwAbgBWAEUARQBSAEcAXwA0AF8AMQBfADEAXwAzAF8AXwAxAF8AVABvAHQAYQBsAEEAbgBuAHUAYQBsAEQAaQByAGUAYwB0AE4AaQB0AHIAbwB1AHMATwB4AGkAZABlAEUAbQBpAHMAcwBpAG8AbgBzAF8ATgBJAFIAUgBlAGYAZQByAGUAbgBjAGUAXABuACAAIAA9AEwAQQBNAEIARABBACgAXAAiAFwAIgApADsAXABuAFwAbgBWAEUARQBSAEcAXwA0AF8AMQBfADEAXwAzAF8AXwAxAF8AVABvAHQAYQBsAEEAbgBuAHUAYQBsAEQAaQByAGUAYwB0AE4AaQB0AHIAbwB1AHMATwB4AGkAZABlAEUAbQBpAHMAcwBpAG8AbgBzAF8ATABhAHQAZQB4AEUAcQB1AGEAdABpAG8AbgBcAG4AIAAgAD0ATABBAE0AQgBEAEEAKABcACIARQBfAHsATgAyAE8ALABkAGkAcgB9AD0AXABcAHMAdQBtAF8AewBqAH0AXABcAHMAdQBtAF8AewBtAH0AXABcAHMAdQBtAF8AewBUAH0AKABNAE4AXwB7AGoAbQBUAH0AXABcAHQAaQBtAGUAcwAgAEUARgBfAHsAagBtAH0AXABcAHQAaQBtAGUAcwAgAEMAXwB7AE4AMgBPAH0AKQBcAFwAdABpAG0AZQBzADEAMABeAHsALQAzAH0AXAAiACkAOwBcAG4AXABuAFYARQBFAFIARwBfADQAXwAxAF8AMQBfADMAXwBfADEAXwBUAG8AdABhAGwAQQBuAG4AdQBhAGwARABpAHIAZQBjAHQATgBpAHQAcgBvAHUAcwBPAHgAaQBkAGUARQBtAGkAcwBzAGkAbwBuAHMAXwBBAHIAZwB1AG0AZQBuAHQAcwBcAG4AIAAgAD0ATABBAE0AQgBEAEEAKABcAG4AIAAgACAAIABNAEEASwBFAEEAUgBSAEEAWQAoADMALAAgADQALABcAG4AIAAgACAAIAAgACAATABBAE0AQgBEAEEAKAByACwAYwAsAFwAbgAgACAAIAAgACAAIAAgACAASQBOAEQARQBYACgAewBcAG4AIAAgACAAIAAgACAAIAAgACAAIABcACIATQBOAF8AagBtAFQAXAAiACwAXAAiAG4AaQB0AHIAbwBnAGUAbgAgAHAAZQByACAAYwBhAHQAdABsAGUAIABnAHIAbwB1AHAALAAgAE0ATQBTACAAYQBuAGQAIAB0AHIAZQBhAHQAbQBlAG4AdAAgAHMAdABhAGcAZQBcACIALAAgAFwAIgBrAGcAIABOAFwAIgAsACAAXAAiAEMAYQBsAGMAdQBsAGEAdABlAGQAIABmAHIAbwBtACAANAAuADEALgAxAC4AMwAgACgAMgApACgANgApACgAOAApAFwAIgA7AFwAbgAgACAAIAAgACAAIAAgACAAIAAgAFwAIgBFAEYAXwBqAG0AXAAiACwAXAAiAG4AaQB0AHIAbwB1AHMAIABvAHgAaQBkAGUAIABlAG0AaQBzAHMAaQBvAG4AIABmAGEAYwB0AG8AcgAgAGYAbwByACAATQBNAFMAXAAiACw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MgBfAFMAdABhAGcAZQAxAE4AaQB0AHIAbwBnAGUAbgBJAG4ATQBNAFMARAByAHkAbABvAHQAXABuAE4AaQB0AHIAbwBnAGUAbgAgAGkAbgAgAHQAcgBlAGEAdABtAGUAbgB0ACAAcwB0AGEAZwBlACAAMQAgAE0ATQBTAFwAbgBNAE4AXwBqAG0ANQBUADEAXABuAGsAZwAgAE4AXABuAE0ATgBfAHsAagBtAD0ANQAsAFQAPQAxAH0APQBBAEUAXwB7AGoAfQBcAFwAdABpAG0AZQBzACAATQBNAFMAXwB7AGoAbQA9ADUALABUAD0AMQB9AFwAbgBBAEUAXwBqACAAPQAgAHQAbwB0AGEAbAAgAG4AaQB0AHIAbwBnAGUAbgAgAGUAeABjAHIAZQB0AGUAZAAgAGIAeQAgAGUAYQBjAGgAIABjAGEAdAB0AGwAZQAgAGcAcgBvAHUAcAAgADoAIABrAGcAIABOAFwAbgBNAE0AUwBfAGoAbQA1AFQAMQAgAD0AIABmAHIAYQBjAHQAaQBvAG4AIABvAGYAIABtAGEAbgB1AHIAZQAgAGkAbgAgAHAAcgBpAG0AYQByAHkAIABzAHkAcwB0AGUAbQAgAGQAcgB5AGwAbwB0ACAATQBNAFMAIAA6ACAAZgByAGEAYwB0AGkAbwBuAFwAbgAtAC0ALQAtAC0ALQAtAC0ALQAtAC0ALQAtAC0ALQAtAC0ALQAtAC0ALQAtAC0ALQAtAC0ALQAtAC0ALQAtAC0ALQAtAC0ALQAtAC0AXABuACoALwBcAG4AXABuAFYARQBFAFIARwBfADQAXwAxAF8AMQBfADMAXwBfADIAXwBTAHQAYQBnAGUAMQBOAGkAdAByAG8AZwBlAG4ASQBuAE0ATQBTAEQAcgB5AGwAbwB0AFwAbgAgACAAPQBMAEEATQBCAEQAQQAoAFwAbgAgACAAIAAgAEEARQBfAGoALAAgAE0ATQBTAF8AagBtADUAVAAxACwAXABuACAAIAAgACAAQQBFAF8AagAgACoAIABNAE0AUwBfAGoAbQA1AFQAMQBcAG4AIAAgACkAOwBcAG4AXABuAFYARQBFAFIARwBfADQAXwAxAF8AMQBfADMAXwBfADIAXwBTAHQAYQBnAGUAMQBOAGkAdAByAG8AZwBlAG4ASQBuAE0ATQBTAEQAcgB5AGwAbwB0AF8AVABpAHQAbABlAFwAbgAgACAAPQBMAEEATQBCAEQAQQAoAFwAIgBOAGkAdAByAG8AZwBlAG4AIABpAG4AIAB0AHIAZQBhAHQAbQBlAG4AdAAgAHMAdABhAGcAZQAgADEAIABNAE0AUwBcACIAKQA7AFwAbgBcAG4AVgBFAEUAUgBHAF8ANABfADEAXwAxAF8AMwBfAF8AMgBfAFMAdABhAGcAZQAxAE4AaQB0AHIAbwBnAGUAbgBJAG4ATQBNAFMARAByAHkAbABvAHQAXwBWAGEAcgBpAGEAYgBsAGUAXABuACAAIAA9AEwAQQBNAEIARABBACgAXAAiAE0ATgBfAGoAbQA1AFQAMQBcACIAKQA7AFwAbgBcAG4AVgBFAEUAUgBHAF8ANABfADEAXwAxAF8AMwBfAF8AMgBfAFMAdABhAGcAZQAxAE4AaQB0AHIAbwBnAGUAbgBJAG4ATQBNAFMARAByAHkAbABvAHQAXwBVAG4AaQB0AFwAbgAgACAAPQBMAEEATQBCAEQAQQAoAFwAIgBrAGcAIABOAFwAIgApADsAXABuAFwAbgBWAEUARQBSAEcAXwA0AF8AMQBfADEAXwAzAF8AXwAyAF8AUwB0AGEAZwBlADEATgBpAHQAcgBvAGcAZQBuAEkAbgBNAE0AUwBEAHIAeQBsAG8AdABfAFMAbwB1AHIAYwBlAFwAbgAgACAAPQBMAEEATQBCAEQAQQAoAFwAIgBWAEUARQBSAEcAIAAyADAAMgA2ADoAIAA0AC4AMQAuADEALgAzACwAIABFAHEAdQBhAHQAaQBvAG4AIAAoADIAKQBcACIAKQA7AFwAbgBcAG4AVgBFAEUAUgBHAF8ANABfADEAXwAxAF8AMwBfAF8AMgBfAFMAdABhAGcAZQAxAE4AaQB0AHIAbwBnAGUAbgBJAG4ATQBNAFMARAByAHkAbABvAHQAXwBOAEkAUgBSAGUAZgBlAHIAZQBuAGMAZQBcAG4AIAAgAD0ATABBAE0AQgBEAEEAKABcACIAXAAiACkAOwBcAG4AXABuAFYARQBFAFIARwBfADQAXwAxAF8AMQBfADMAXwBfADIAXwBTAHQAYQBnAGUAMQBOAGkAdAByAG8AZwBlAG4ASQBuAE0ATQBTAEQAcgB5AGwAbwB0AF8ATABhAHQAZQB4AEUAcQB1AGEAdABpAG8AbgBcAG4AIAAgAD0ATABBAE0AQgBEAEEAKABcACIATQBOAF8AewBqAG0APQA1ACwAVAA9ADEAfQA9AEEARQBfAHsAagB9AFwAXAB0AGkAbQBlAHMAIABNAE0AUwBfAHsAagBtAD0ANQAsAFQAPQAxAH0AXAAiACkAOwBcAG4AXABuAFYARQBFAFIARwBfADQAXwAxAF8AMQBfADMAXwBfADIAXwBTAHQAYQBnAGUAMQBOAGkAdAByAG8AZwBlAG4ASQBuAE0ATQBTAEQAcgB5AGwAbwB0AF8AQQByAGcAdQBtAGUAbgB0AHMAXABuACAAIAA9AEwAQQBNAEIARABBACgAXABuACAAIAAgACAATQBBAEsARQBBAFIAUgBBAFkAKAAyACwAIAA0ACwAXABuACAAIAAgACAAIAAgAEwAQQBNAEIARABBACgAcgAsAGMALABcAG4AIAAgACAAIAAgACAAIAAgAEkATgBEAEUAWAAoAHsAXABuACAAIAAgACAAIAAgACAAIAAgACAAXAAiAEEARQBfAGoAXAAiACwAXAAiAHQAbwB0AGEAbAAgAG4AaQB0AHIAbwBnAGUAbgAgAGUAeABjAHIAZQB0AGUAZAAgAGIAeQAgAGUAYQBjAGgAIABjAGEAdAB0AGwAZQAgAGcAcgBvAHUAcABcACIALAAgAFwAIgBrAGcAIABOAFwAIgAsACAAXAAiAEMAYQBsAGMAdQBsAGEAdABlAGQAIABmAHIAbwBtACAANAAuADEALgAxAC4AMwAgACgAMwApAFwAIgA7AFwAbgAgACAAIAAgACAAIAAgACAAIAAgAFwAIgBNAE0AUwBfAGoAbQA1AFQAMQBcACIALABcACIAZgByAGEAYwB0AGkAbwBuACAAbwBmACAAbQBhAG4AdQByAGUAIABpAG4AIABwAHIAaQBtAGEAcgB5ACAAcwB5AHMAdABlAG0AIABkAHIAeQBsAG8Ad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MwBfAEEAbgBuAHUAYQBsAE4AaQB0AHIAbwBnAGUAbgBFAHgAYwByAGUAdABpAG8AbgBcAG4AQQBuAG4AdQBhAGwAIABuAGkAdAByAG8AZwBlAG4AIABlAHgAYwByAGUAdABpAG8AbgAgAGYAcgBvAG0AIABlAGEAYwBoACAAZgBlAGUAZABsAG8AdAAgAGMAYQB0AHQAbABlACAAZwByAG8AdQBwAFwAbgBBAEUAXwBqAFwAbgBrAGcAIABOAFwAbgBBAEUAXwB7AGoAfQA9AE4AXwB7AGoAfQBcAFwAdABpAG0AZQBzACAATgBFAF8AewBqAH0AXABcAHQAaQBtAGUAcwAgAEQAXwB7AGoAfQBcAG4ATgBfAGoAIAA9ACAAbgB1AG0AYgBlAHIAIABvAGYAIABjAGEAdAB0AGwAZQAgAGkAbgAgAGUAYQBjAGgAIABnAHIAbwB1AHAAIAA6ACAAaABlAGEAZABcAG4ATgBFAF8AagAgAD0AIABuAGkAdAByAG8AZwBlAG4AIABlAHgAYwByAGUAdABpAG8AbgAgADoAIABrAGcAIABOAC8AaABlAGEAZAAvAGQAYQB5AFwAbgBEAF8AagAgAD0AIABkAHUAcgBhAHQAaQBvAG4AIABvAGYAIABzAHQAYQB5ACAAbwBmACAAYwBhAHQAdABsAGUAIABnAHIAbwB1AHAAIAA6ACAAZABhAHkAcwBcAG4ALQAtAC0ALQAtAC0ALQAtAC0ALQAtAC0ALQAtAC0ALQAtAC0ALQAtAC0ALQAtAC0ALQAtAC0ALQAtAC0ALQAtAC0ALQAtAC0ALQAtAFwAbgAqAC8AXABuAFwAbgBWAEUARQBSAEcAXwA0AF8AMQBfADEAXwAzAF8AXwAzAF8AQQBuAG4AdQBhAGwATgBpAHQAcgBvAGcAZQBuAEUAeABjAHIAZQB0AGkAbwBuAFwAbgAgACAAPQBMAEEATQBCAEQAQQAoAFwAbgAgACAAIAAgAE4AXwBqACwAIABOAEUAXwBqACwAIABEAF8AagAsAFwAbgAgACAAIAAgAE4AXwBqACAAKgAgAE4ARQBfAGoAIAAqACAARABfAGoAXABuACAAIAApADsAXABuAFwAbgBWAEUARQBSAEcAXwA0AF8AMQBfADEAXwAzAF8AXwAzAF8AQQBuAG4AdQBhAGwATgBpAHQAcgBvAGcAZQBuAEUAeABjAHIAZQB0AGkAbwBuAF8AVABpAHQAbABlAFwAbgAgACAAPQBMAEEATQBCAEQAQQAoAFwAIgBBAG4AbgB1AGEAbAAgAG4AaQB0AHIAbwBnAGUAbgAgAGUAeABjAHIAZQB0AGkAbwBuACAAZgByAG8AbQAgAGUAYQBjAGgAIABmAGUAZQBkAGwAbwB0ACAAYwBhAHQAdABsAGUAIABnAHIAbwB1AHAAXAAiACkAOwBcAG4AXABuAFYARQBFAFIARwBfADQAXwAxAF8AMQBfADMAXwBfADMAXwBBAG4AbgB1AGEAbABOAGkAdAByAG8AZwBlAG4ARQB4AGMAcgBlAHQAaQBvAG4AXwBWAGEAcgBpAGEAYgBsAGUAXABuACAAIAA9AEwAQQBNAEIARABBACgAXAAiAEEARQBfAGoAXAAiACkAOwBcAG4AXABuAFYARQBFAFIARwBfADQAXwAxAF8AMQBfADMAXwBfADMAXwBBAG4AbgB1AGEAbABOAGkAdAByAG8AZwBlAG4ARQB4AGMAcgBlAHQAaQBvAG4AXwBVAG4AaQB0AFwAbgAgACAAPQBMAEEATQBCAEQAQQAoAFwAIgBrAGcAIABOAFwAIgApADsAXABuAFwAbgBWAEUARQBSAEcAXwA0AF8AMQBfADEAXwAzAF8AXwAzAF8AQQBuAG4AdQBhAGwATgBpAHQAcgBvAGcAZQBuAEUAeABjAHIAZQB0AGkAbwBuAF8AUwBvAHUAcgBjAGUAXABuACAAIAA9AEwAQQBNAEIARABBACgAXAAiAFYARQBFAFIARwAgADIAMAAyADYAOgAgADQALgAxAC4AMQAuADMALAAgAEUAcQB1AGEAdABpAG8AbgAgACgAMwApAFwAIgApADsAXABuAFwAbgBWAEUARQBSAEcAXwA0AF8AMQBfADEAXwAzAF8AXwAzAF8AQQBuAG4AdQBhAGwATgBpAHQAcgBvAGcAZQBuAEUAeABjAHIAZQB0AGkAbwBuAF8ATgBJAFIAUgBlAGYAZQByAGUAbgBjAGUAXABuACAAIAA9AEwAQQBNAEIARABBACgAXAAiAFwAIgApADsAXABuAFwAbgBWAEUARQBSAEcAXwA0AF8AMQBfADEAXwAzAF8AXwAzAF8AQQBuAG4AdQBhAGwATgBpAHQAcgBvAGcAZQBuAEUAeABjAHIAZQB0AGkAbwBuAF8ATABhAHQAZQB4AEUAcQB1AGEAdABpAG8AbgBcAG4AIAAgAD0ATABBAE0AQgBEAEEAKABcACIAQQBFAF8AewBqAH0APQBOAF8AewBqAH0AXABcAHQAaQBtAGUAcwAgAE4ARQBfAHsAagB9AFwAXAB0AGkAbQBlAHMAIABEAF8AewBqAH0AXAAiACkAOwBcAG4AXABuAFYARQBFAFIARwBfADQAXwAx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XAAiACwAXAAiAG4AdQBtAGIAZQByACAAbwBmACAAYwBhAHQAdABsAGUAIABpAG4AIABlAGEAYwBoACAAZwByAG8AdQBwAFwAIgAsACAAXAAiAGgAZQBhAGQAXAAiACwAIABcACIASQBuAHAAdQB0AFwAIgA7AFwAbgAgACAAIAAgACAAIAAgACAAIAAgAFwAIgBOAEUAXwBqAFwAIgAsAFwAIgBuAGkAdAByAG8AZwBlAG4AIABlAHgAYwByAGUAdABpAG8AbgBcACIALAAgAFwAIgBrAGcAIABOAC8AaABlAGEAZAAvAGQAYQB5AFwAIgAsACAAXAAiAEMAYQBsAGMAdQBsAGEAdABlAGQAIABmAHIAbwBtACAANAAuADEALgAxAC4AMwAgACgANAApAFwAIgA7AFwAbgAgACAAIAAgACAAIAAgACAAIAAgAFwAIgBEAF8AagBcACIALABcACIAZAB1AHIAYQB0AGkAbwBuACAAbwBmACAAcwB0AGEAeQAgAG8AZgAgAGMAYQB0AHQAbABlACAAZwByAG8AdQBw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QAXwBOAGkAdAByAG8AZwBlAG4ARQB4AGMAcgBlAHQAaQBvAG4AUABlAHIASABlAGEAZABcAG4ATgBpAHQAcgBvAGcAZQBuACAAZQB4AGMAcgBlAHQAaQBvAG4AIABwAGUAcgAgAGgAZQBhAGQAIABwAGUAcgAgAGQAYQB5AFwAbgBOAEUAXwBqAFwAbgBrAGcAIABOAC8AaABlAGEAZAAvAGQAYQB5AFwAbgBOAEUAXwB7AGoAfQA9AE4ASQBfAHsAagB9AFwAXAB0AGkAbQBlAHMAKAAxAC0ATgBSAF8AewBqAH0AKQBcAG4ATgBJAF8AagAgAD0AIABuAGkAdAByAG8AZwBlAG4AIABpAG4AdABhAGsAZQAgADoAIABrAGcAIABOAC8AaABlAGEAZAAvAGQAYQB5AFwAbgBOAFIAXwBq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xAF8AMQBfADMAXwBfADQAXwBOAGkAdAByAG8AZwBlAG4ARQB4AGMAcgBlAHQAaQBvAG4AUABlAHIASABlAGEAZABcAG4AIAAgAD0ATABBAE0AQgBEAEEAKABcAG4AIAAgACAAIABOAEkAXwBqACwAIABOAFIAXwBqACwAXABuACAAIAAgACAATgBJAF8AagAgACoAIAAoADEAIAAtACAATgBSAF8AagApAFwAbgAgACAAKQA7AFwAbgBcAG4AVgBFAEUAUgBHAF8ANABfADEAXwAxAF8AMwBfAF8ANABfAE4AaQB0AHIAbwBnAGUAbgBFAHgAYwByAGUAdABpAG8AbgBQAGUAcgBIAGUAYQBkAF8AVABpAHQAbABlAFwAbgAgACAAPQBMAEEATQBCAEQAQQAoAFwAIgBOAGkAdAByAG8AZwBlAG4AIABlAHgAYwByAGUAdABpAG8AbgAgAHAAZQByACAAaABlAGEAZAAgAHAAZQByACAAZABhAHkAXAAiACkAOwBcAG4AXABuAFYARQBFAFIARwBfADQAXwAxAF8AMQBfADMAXwBfADQAXwBOAGkAdAByAG8AZwBlAG4ARQB4AGMAcgBlAHQAaQBvAG4AUABlAHIASABlAGEAZABfAFYAYQByAGkAYQBiAGwAZQBcAG4AIAAgAD0ATABBAE0AQgBEAEEAKABcACIATgBFAF8AagBcACIAKQA7AFwAbgBcAG4AVgBFAEUAUgBHAF8ANABfADEAXwAxAF8AMwBfAF8ANABfAE4AaQB0AHIAbwBnAGUAbgBFAHgAYwByAGUAdABpAG8AbgBQAGUAcgBIAGUAYQBkAF8AVQBuAGkAdABcAG4AIAAgAD0ATABBAE0AQgBEAEEAKABcACIAawBnACAATgAvAGgAZQBhAGQALwBkAGEAeQBcACIAKQA7AFwAbgBcAG4AVgBFAEUAUgBHAF8ANABfADEAXwAxAF8AMwBfAF8ANABfAE4AaQB0AHIAbwBnAGUAbgBFAHgAYwByAGUAdABpAG8AbgBQAGUAcgBIAGUAYQBkAF8AUwBvAHUAcgBjAGUAXABuACAAIAA9AEwAQQBNAEIARABBACgAXAAiAFYARQBFAFIARwAgADIAMAAyADYAOgAgADQALgAxAC4AMQAuADMALAAgAEUAcQB1AGEAdABpAG8AbgAgACgANAApAFwAIgApADsAXABuAFwAbgBWAEUARQBSAEcAXwA0AF8AMQBfADEAXwAzAF8AXwA0AF8ATgBpAHQAcgBvAGcAZQBuAEUAeABjAHIAZQB0AGkAbwBuAFAAZQByAEgAZQBhAGQAXwBOAEkAUgBSAGUAZgBlAHIAZQBuAGMAZQBcAG4AIAAgAD0ATABBAE0AQgBEAEEAKABcACIAXAAiACkAOwBcAG4AXABuAFYARQBFAFIARwBfADQAXwAxAF8AMQBfADMAXwBfADQAXwBOAGkAdAByAG8AZwBlAG4ARQB4AGMAcgBlAHQAaQBvAG4AUABlAHIASABlAGEAZABfAEwAYQB0AGUAeABFAHEAdQBhAHQAaQBvAG4AXABuACAAIAA9AEwAQQBNAEIARABBACgAXAAiAE4ARQBfAHsAagB9AD0ATgBJAF8AewBqAH0AXABcAHQAaQBtAGUAcwAoADEALQBOAFIAXwB7AGoAfQApAFwAIgApADsAXABuAFwAbgBWAEUARQBSAEcAXwA0AF8AMQBfADEAXwAzAF8AXwA0AF8ATgBpAHQAcgBvAGcAZQBuAEUAeABjAHIAZQB0AGkAbwBuAFAAZQByAEgAZQBhAGQAXwBBAHIAZwB1AG0AZQBuAHQAcwBcAG4AIAAgAD0ATABBAE0AQgBEAEEAKABcAG4AIAAgACAAIABNAEEASwBFAEEAUgBSAEEAWQAoADIALAAgADQALABcAG4AIAAgACAAIAAgACAATABBAE0AQgBEAEEAKAByACwAYwAsAFwAbgAgACAAIAAgACAAIAAgACAASQBOAEQARQBYACgAewBcAG4AIAAgACAAIAAgACAAIAAgACAAIABcACIATgBJAF8AagBcACIALABcACIAbgBpAHQAcgBvAGcAZQBuACAAaQBuAHQAYQBrAGUAXAAiACwAIABcACIAawBnACAATgAvAGgAZQBhAGQALwBkAGEAeQBcACIALAAgAFwAIgBDAGEAbABjAHUAbABhAHQAZQBkACAAZgByAG8AbQAgADQALgAxAC4AMQAuADMAIAAoADUAKQBcACIAOwBcAG4AIAAgACAAIAAgACAAIAAgACAAIABcACIATgBSAF8AagBcACIALABcACIAbgBpAHQAcgBvAGcAZQBuACAAcgBlAHQAZQBuAHQAaQBvAG4AIABlAHgAcAByAGUAcwBzAGUAZAAgAGEAcwAgAGEAIABmAHIAYQBjAHQAaQBvAG4AIABvAGYAIABpAG4AdABhAGsAZ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UAXwBOAGkAdAByAG8AZwBlAG4ASQBuAHQAYQBrAGUAXABuAE4AaQB0AHIAbwBnAGUAbgAgAGkAbgB0AGEAawBlACAAbwBmACAAZgBlAGUAZABsAG8AdAAgAGMAYQB0AHQAbABlAFwAbgBOAEkAXwBqAFwAbgBrAGcAIABOAC8AaABlAGEAZAAvAGQAYQB5AFwAbgBOAEkAXwB7AGoAfQA9AEkAXwB7AGoAfQBcAFwAdABpAG0AZQBzACAAQwBQAF8AewBqAH0AXABcAGQAaQB2ACAANgAuADIANQBcAG4ASQBfAGoAIAA9ACAAZAByAHkAIABtAGEAdAB0AGUAcgAgAGkAbgB0AGEAawBlACAAOgAgAGsAZwAgAEQATQAvAGgAZQBhAGQALwBkAGEAeQBcAG4AQwBQAF8AagAgAD0AIABjAHIAdQBkAGUAIABwAHIAbwB0AGUAaQBuACAAYwBvAG4AdABlAG4AdAAgAG8AZgAgAGYAZQBlAGQAIAA6ACAAZgByAGEAYwB0AGkAbwBuAFwAbgA2AC4AMgA1ACAAPQAgAGYAYQBjAHQAbwByACAAZgBvAHIAIABjAG8AbgB2AGUAcgB0AGkAbgBnACAAYwByAHUAZABlACAAcAByAG8AdABlAGkAbgAgAGkAbgB0AG8AIABuAGkAdAByAG8AZwBlAG4AIAA6ACAAcgBhAHQAaQBvAFwAbgAtAC0ALQAtAC0ALQAtAC0ALQAtAC0ALQAtAC0ALQAtAC0ALQAtAC0ALQAtAC0ALQAtAC0ALQAtAC0ALQAtAC0ALQAtAC0ALQAtAC0AXABuACoALwBcAG4AXABuAFYARQBFAFIARwBfADQAXwAxAF8AMQBfADMAXwBfADUAXwBOAGkAdAByAG8AZwBlAG4ASQBuAHQAYQBrAGUAXABuACAAIAA9AEwAQQBNAEIARABBACgAXABuACAAIAAgACAASQBfAGoALAAgAEMAUABfAGoALABcAG4AIAAgACAAIABJAF8AagAgACoAIABDAFAAXwBqACAALwAgADYALgAyADUAXABuACAAIAApADsAXABuAFwAbgBWAEUARQBSAEcAXwA0AF8AMQBfADEAXwAzAF8AXwA1AF8ATgBpAHQAcgBvAGcAZQBuAEkAbgB0AGEAawBlAF8AVABpAHQAbABlAFwAbgAgACAAPQBMAEEATQBCAEQAQQAoAFwAIgBOAGkAdAByAG8AZwBlAG4AIABpAG4AdABhAGsAZQAgAG8AZgAgAGYAZQBlAGQAbABvAHQAIABjAGEAdAB0AGwAZQBcACIAKQA7AFwAbgBcAG4AVgBFAEUAUgBHAF8ANABfADEAXwAxAF8AMwBfAF8ANQBfAE4AaQB0AHIAbwBnAGUAbgBJAG4AdABhAGsAZQBfAFYAYQByAGkAYQBiAGwAZQBcAG4AIAAgAD0ATABBAE0AQgBEAEEAKABcACIATgBJAF8AagBcACIAKQA7AFwAbgBcAG4AVgBFAEUAUgBHAF8ANABfADEAXwAxAF8AMwBfAF8ANQBfAE4AaQB0AHIAbwBnAGUAbgBJAG4AdABhAGsAZQBfAFUAbgBpAHQAXABuACAAIAA9AEwAQQBNAEIARABBACgAXAAiAGsAZwAgAE4ALwBoAGUAYQBkAC8AZABhAHkAXAAiACkAOwBcAG4AXABuAFYARQBFAFIARwBfADQAXwAxAF8AMQBfADMAXwBfADUAXwBOAGkAdAByAG8AZwBlAG4ASQBuAHQAYQBrAGUAXwBTAG8AdQByAGMAZQBcAG4AIAAgAD0ATABBAE0AQgBEAEEAKABcACIAVgBFAEUAUgBHACAAMgAwADIANgA6ACAANAAuADEALgAxAC4AMwAsACAARQBxAHUAYQB0AGkAbwBuACAAKAA1ACkAXAAiACkAOwBcAG4AXABuAFYARQBFAFIARwBfADQAXwAxAF8AMQBfADMAXwBfADUAXwBOAGkAdAByAG8AZwBlAG4ASQBuAHQAYQBrAGUAXwBOAEkAUgBSAGUAZgBlAHIAZQBuAGMAZQBcAG4AIAAgAD0ATABBAE0AQgBEAEEAKABcACIAXAAiACkAOwBcAG4AXABuAFYARQBFAFIARwBfADQAXwAxAF8AMQBfADMAXwBfADUAXwBOAGkAdAByAG8AZwBlAG4ASQBuAHQAYQBrAGUAXwBMAGEAdABlAHgARQBxAHUAYQB0AGkAbwBuAFwAbgAgACAAPQBMAEEATQBCAEQAQQAoAFwAIgBOAEkAXwB7AGoAfQA9AEkAXwB7AGoAfQBcAFwAdABpAG0AZQBzACAAQwBQAF8AewBqAH0AXABcAGQAaQB2ACAANgAuADIANQBcACIAKQA7AFwAbgBcAG4AVgBFAEUAUgBHAF8ANABfADEAXwAxAF8AMwBfAF8ANQBfAE4AaQB0AHIAbwBnAGUAbgBJAG4AdABhAGsAZQ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FwAIgAsACAAXAAiAGsAZwAgAEQATQAvAGgAZQBhAGQALwBkAGEAeQBcACIALAAgAFwAIgBJAG4AcAB1AHQAXAAiADsAXABuACAAIAAgACAAIAAgACAAIAAgACAAXAAiAEMAUABfAGoAXAAiACwAXAAiAGMAcgB1AGQAZQAgAHAAcgBvAHQAZQBpAG4AIABjAG8AbgB0AGUAbgB0ACAAbwBmACAAZgBlAGUAZABcACIALAAgAFwAIgBmAHIAYQBjAHQAaQBvAG4AXAAiACwAIABcACIASQBuAHAAdQB0AFwAIgA7AFwAbgAgACAAIAAgACAAIAAgACAAIAAgAFwAIgA2AC4AMgA1AFwAIgAsAFwAIgBmAGEAYwB0AG8AcgAgAGYAbwByACAAYwBvAG4AdgBlAHIAdABpAG4AZwAgAGMAcgB1AGQAZQAgAHAAcgBvAHQAZQBpAG4AIABpAG4AdABvACAAbgBpAHQAcgBvAGcAZQBu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DoAIABrAGcAIABOAFwAbgBNAE0AUwBfAGoAbQBUADIAIAA9ACAAZgByAGEAYwB0AGkAbwBuACAAbwBmACAAbQBhAG4AdQByAGUAIABpAG4AIABlAGEAYwBoACAAcwBlAGMAbwBuAGQAYQByAHkAIABzAHkAcwB0AGUAbQAgADoAIABmAHIAYQBjAHQAaQBvAG4AXABuAC0ALQAtAC0ALQAtAC0ALQAtAC0ALQAtAC0ALQAtAC0ALQAtAC0ALQAtAC0ALQAtAC0ALQAtAC0ALQAtAC0ALQAtAC0ALQAtAC0ALQBcAG4AKgAvAFwAbgBcAG4AVgBFAEUAUgBHAF8ANABfADEAXwAxAF8AMwBfAF8ANgBfAFMAdABhAGcAZQAyAE4AaQB0AHIAbwBnAGUAbgBJAG4ATQBNAFMAXABuACAAIAA9AEwAQQBNAEIARABBACgAXABuACAAIAAgACAATgBUAF8AagBtAFQAMgAsACAATQBNAFMAXwBqAG0AVAAyACwAXABuACAAIAAgACAATgBUAF8AagBtAFQAMgAgACoAIABNAE0AUwBfAGoAbQBUADIAXABuACAAIAApADsAXABuAFwAbgBWAEUARQBSAEcAXwA0AF8AMQBfADEAXwAzAF8AXwA2AF8AUwB0AGEAZwBlADIATgBpAHQAcgBvAGcAZQBuAEkAbgBNAE0AUwBfAFQAaQB0AGwAZQBcAG4AIAAgAD0ATABBAE0AQgBEAEEAKABcACIATgBpAHQAcgBvAGcAZQBuACAAaQBuACAAdAByAGUAYQB0AG0AZQBuAHQAIABzAHQAYQBnAGUAIAAyACAATQBNAFMAXAAiACkAOwBcAG4AXABuAFYARQBFAFIARwBfADQAXwAxAF8AMQBfADMAXwBfADYAXwBTAHQAYQBnAGUAMgBOAGkAdAByAG8AZwBlAG4ASQBuAE0ATQBTAF8AVgBhAHIAaQBhAGIAbABlAFwAbgAgACAAPQBMAEEATQBCAEQAQQAoAFwAIgBNAE4AXwBqAG0AVAAyAFwAIgApADsAXABuAFwAbgBWAEUARQBSAEcAXwA0AF8AMQBfADEAXwAzAF8AXwA2AF8AUwB0AGEAZwBlADIATgBpAHQAcgBvAGcAZQBuAEkAbgBNAE0AUwBfAFUAbgBpAHQAXABuACAAIAA9AEwAQQBNAEIARABBACgAXAAiAGsAZwAgAE4AXAAiACkAOwBcAG4AXABuAFYARQBFAFIARwBfADQAXwAxAF8AMQBfADMAXwBfADYAXwBTAHQAYQBnAGUAMgBOAGkAdAByAG8AZwBlAG4ASQBuAE0ATQBTAF8AUwBvAHUAcgBjAGUAXABuACAAIAA9AEwAQQBNAEIARABBACgAXAAiAFYARQBFAFIARwAgADIAMAAyADYAOgAgADQALgAxAC4AMQAuADMALAAgAEUAcQB1AGEAdABpAG8AbgAgACgANgApAFwAIgApADsAXABuAFwAbgBWAEUARQBSAEcAXwA0AF8AMQBfADEAXwAzAF8AXwA2AF8AUwB0AGEAZwBlADIATgBpAHQAcgBvAGcAZQBuAEkAbgBNAE0AUwBfAE4ASQBSAFIAZQBmAGUAcgBlAG4AYwBlAFwAbgAgACAAPQBMAEEATQBCAEQAQQAoAFwAIgBcACIAKQA7AFwAbgBcAG4AVgBFAEUAUgBHAF8ANABfADEAXwAxAF8AMwBfAF8ANgBfAFMAdABhAGcAZQAyAE4AaQB0AHIAbwBnAGUAbgBJAG4ATQBNAFMAXwBMAGEAdABlAHgARQBxAHUAYQB0AGkAbwBuAFwAbgAgACAAPQBMAEEATQBCAEQAQQAoAFwAIgBNAE4AXwB7AGoAbQAsAFQAPQAyAH0APQBOAFQAXwB7AGoAbQAsAFQAPQAyAH0AXABcAHQAaQBtAGUAcwAgAE0ATQBTAF8AewBqAG0ALABUAD0AMgB9AFwAIgApADsAXABuAFwAbgBWAEUARQBSAEcAXwA0AF8AMQ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0AVAAyAFwAIgAsAFwAIgBuAGkAdAByAG8AZwBlAG4AIAB0AHIAYQBuAHMAZgBlAHIAcgBlAGQAIAB0AG8AIABzAGUAYwBvAG4AZABhAHIAeQAgAHQAcgBlAGEAdABtAGUAbgB0ACAATQBNAFMAXAAiACwAIABcACIAawBnACAATgBcACIALAAgAFwAIgBDAGEAbABjAHUAbABhAHQAZQBkACAAZgByAG8AbQAgADQALgAxAC4AMQAuADMAIAAoADcAKQBcACIAOwBcAG4AIAAgACAAIAAgACAAIAAgACAAIABcACIATQBNAFMAXwBqAG0AVAAyAFwAIgAs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wBfAE4AaQB0AHIAbwBnAGUAbgBUAHIAYQBuAHMAZgBlAHIAcgBlAGQAVABvAFMAdABhAGcAZQAyAFwAbgBOAGkAdAByAG8AZwBlAG4AIAB0AHIAYQBuAHMAZgBlAHIAcgBlAGQAIAB0AG8AIAB0AHIAZQBhAHQAbQBlAG4AdAAgAHMAdABhAGcAZQAgADIAIABNAE0AUwBcAG4ATgBUAF8AagBtAFQAMgBcAG4AawBnACAATgBcAG4ATgBUAF8AewBqAG0ALABUAD0AMgB9AD0AKABNAE4AXwB7AGoAbQA9ADUALABUAD0AMQB9AFwAXAB0AGkAbQBlAHMAKAAxAC0ARgByAGEAYwBHAEEAUwBNAF8AewBtAD0ANQB9AC0ARQBGAF8AewBtAD0ANQB9ACkAKQAtAE0ATgBfAHsAagBtACwAVAA9ADMAfQBcAG4ATQBOAF8AagBtADUAVAAxACAAPQAgAG4AaQB0AHIAbwBnAGUAbgAgAGkAbgAgAE0ATQBTACAAdAByAGUAYQB0AG0AZQBuAHQAIABzAHQAYQBnAGUAIAAxACAAOgAgAGsAZwAgAE4AXABuAEYAcgBhAGMARwBBAFMATQBfAG0ANQAgAD0AIABmAHIAYQBjAHQAaQBvAG4AIABvAGYAIABOACAAdgBvAGwAYQB0AGkAbABpAHMAZQBkACAAZgByAG8AbQAgAGQAcgB5AGwAbwB0ACAATQBNAFMAIAA6ACAAZgByAGEAYwB0AGkAbwBuAFwAbgBFAEYAXwBtADUAIAA9ACAAbgBpAHQAcgBvAHUAcwAgAG8AeABpAGQAZQAgAGUAbQBpAHMAcwBpAG8AbgAgAGYAYQBjAHQAbwByACAAZgBvAHIAIABkAHIAeQBsAG8AdAAgAE0ATQBTACAAOgAgAGsAZwAgAE4AMgBPAC0ATgAvAGsAZwAgAE4AIABkAGUAcABvAHMAaQB0AGUAZABcAG4ATQBOAF8AagBtAFQAMwAgAD0AIABuAGkAdAByAG8AZwBlAG4AIABpAG4AIABNAE0AUwAgAHQAcgBlAGEAdABtAGUAbgB0ACAAcwB0AGEAZwBlACAAMwAgADoAIABrAGcAIABOAFwAbgAtAC0ALQAtAC0ALQAtAC0ALQAtAC0ALQAtAC0ALQAtAC0ALQAtAC0ALQAtAC0ALQAtAC0ALQAtAC0ALQAtAC0ALQAtAC0ALQAtAC0AXABuACoALwBcAG4AXABuAFYARQBFAFIARwBfADQAXwAxAF8AMQBfADMAXwBfADcAXwBOAGkAdAByAG8AZwBlAG4AVAByAGEAbgBzAGYAZQByAHIAZQBkAFQAbwBTAHQAYQBnAGUAMgBcAG4AIAAgAD0ATABBAE0AQgBEAEEAKABcAG4AIAAgACAAIABNAE4AXwBqAG0ANQBUADEALAAgAEYAcgBhAGMARwBBAFMATQBfAG0ANQAsACAARQBGAF8AbQA1ACwAIABNAE4AXwBqAG0AVAAzACwAXABuACAAIAAgACAAKABNAE4AXwBqAG0ANQBUADEAIAAqACAAKAAxACAALQAgAEYAcgBhAGMARwBBAFMATQBfAG0ANQAgAC0AIABFAEYAXwBtADUAKQApACAALQAgAE0ATgBfAGoAbQBUADMAXABuACAAIAApADsAXABuAFwAbgBWAEUARQBSAEcAXwA0AF8AMQBfADEAXwAzAF8AXwA3AF8ATgBpAHQAcgBvAGcAZQBuAFQAcgBhAG4AcwBmAGUAcgByAGUAZABUAG8AUwB0AGEAZwBlADIAXwBUAGkAdABsAGUAXABuACAAIAA9AEwAQQBNAEIARABBACgAXAAiAE4AaQB0AHIAbwBnAGUAbgAgAHQAcgBhAG4AcwBmAGUAcgByAGUAZAAgAHQAbwAgAHQAcgBlAGEAdABtAGUAbgB0ACAAcwB0AGEAZwBlACAAMgAgAE0ATQBTAFwAIgApADsAXABuAFwAbgBWAEUARQBSAEcAXwA0AF8AMQBfADEAXwAzAF8AXwA3AF8ATgBpAHQAcgBvAGcAZQBuAFQAcgBhAG4AcwBmAGUAcgByAGUAZABUAG8AUwB0AGEAZwBlADIAXwBWAGEAcgBpAGEAYgBsAGUAXABuACAAIAA9AEwAQQBNAEIARABBACgAXAAiAE4AVABfAGoAbQBUADIAXAAiACkAOwBcAG4AXABuAFYARQBFAFIARwBfADQAXwAxAF8AMQBfADMAXwBfADcAXwBOAGkAdAByAG8AZwBlAG4AVAByAGEAbgBzAGYAZQByAHIAZQBkAFQAbwBTAHQAYQBnAGUAMgBfAFUAbgBpAHQAXABuACAAIAA9AEwAQQBNAEIARABBACgAXAAiAGsAZwAgAE4AXAAiACkAOwBcAG4AXABuAFYARQBFAFIARwBfADQAXwAxAF8AMQBfADMAXwBfADcAXwBOAGkAdAByAG8AZwBlAG4AVAByAGEAbgBzAGYAZQByAHIAZQBkAFQAbwBTAHQAYQBnAGUAMgBfAFMAbwB1AHIAYwBlAFwAbgAgACAAPQBMAEEATQBCAEQAQQAoAFwAIgBWAEUARQBSAEcAIAAyADAAMgA2ADoAIAA0AC4AMQAuADEALgAzACwAIABFAHEAdQBhAHQAaQBvAG4AIAAoADcAKQBcACIAKQA7AFwAbgBcAG4AVgBFAEUAUgBHAF8ANABfADEAXwAxAF8AMwBfAF8ANwBfAE4AaQB0AHIAbwBnAGUAbgBUAHIAYQBuAHMAZgBlAHIAcgBlAGQAVABvAFMAdABhAGcAZQAyAF8ATgBJAFIAUgBlAGYAZQByAGUAbgBjAGUAXABuACAAIAA9AEwAQQBNAEIARABBACgAXAAiAFwAIgApADsAXABuAFwAbgBWAEUARQBSAEcAXwA0AF8AMQBfADEAXwAzAF8AXwA3AF8ATgBpAHQAcgBvAGcAZQBuAFQAcgBhAG4AcwBmAGUAcgByAGUAZABUAG8AUwB0AGEAZwBlADIAXwBMAGEAdABlAHgARQBxAHUAYQB0AGkAbwBuAFwAbgAgACAAPQBMAEEATQBCAEQAQQAoAFwAIgBOAFQAXwB7AGoAbQAsAFQAPQAyAH0APQAoAE0ATgBfAHsAagBtAD0ANQAsAFQAPQAxAH0AXABcAHQAaQBtAGUAcwAoADEALQBGAHIAYQBjAEcAQQBTAE0AXwB7AG0APQA1AH0ALQBFAEYAXwB7AG0APQA1AH0AKQApAC0ATQBOAF8AewBqAG0ALABUAD0AMwB9AFwAIgApADsAXABuAFwAbgBWAEUARQBSAEcAXwA0AF8AMQBfADEAXwAzAF8AXwA3AF8ATgBpAHQAcgBvAGcAZQBuAFQAcgBhAG4AcwBmAGUAcgByAGUAZABUAG8AUwB0AGEAZwBlADIAXwBBAHIAZwB1AG0AZQBuAHQAcwBcAG4AIAAgAD0ATABBAE0AQgBEAEEAKABcAG4AIAAgACAAIABNAEEASwBFAEEAUgBSAEEAWQAoADQALAAgADQALABcAG4AIAAgACAAIAAgACAATABBAE0AQgBEAEEAKAByACwAYwAsAFwAbgAgACAAIAAgACAAIAAgACAASQBOAEQARQBYACgAewBcAG4AIAAgACAAIAAgACAAIAAgACAAIABcACIATQBOAF8AagBtADUAVAAxAFwAIgAsAFwAIgBuAGkAdAByAG8AZwBlAG4AIABpAG4AIABNAE0AUwAgAHQAcgBlAGEAdABtAGUAbgB0ACAAcwB0AGEAZwBlACAAMQBcACIALAAgAFwAIgBrAGcAIABOAFwAIgAsACAAXAAiAEMAYQBsAGMAdQBsAGEAdABlAGQAIABmAHIAbwBtACAANAAuADEALgAxAC4AMwAgACgAMgApAFwAIgA7AFwAbgAgACAAIAAgACAAIAAgACAAIAAgAFwAIgBGAHIAYQBjAEcAQQBTAE0AXwBtADUAXAAiACwAXAAiAGYAcgBhAGMAdABpAG8AbgAgAG8AZgAgAE4AIAB2AG8AbABhAHQAaQBsAGkAcwBlAGQAIABmAHIAbwBtACAAZAByAHkAbABvAHQAIABNAE0AUwBcACIALAAgAFwAIgBmAHIAYQBjAHQAaQBvAG4AXAAiACwAIABcACIAQwBvAG4AcwB0AGEAbgB0AFwAIgA7AFwAbgAgACAAIAAgACAAIAAgACAAIAAgAFwAIgBFAEYAXwBtADUAXAAiACwAXAAiAG4AaQB0AHIAbwB1AHMAIABvAHgAaQBkAGUAIABlAG0AaQBzAHMAaQBvAG4AIABmAGEAYwB0AG8AcgAgAGYAbwByACAAZAByAHkAbABvAHQAIABNAE0AUwBcACIALAAgAFwAIgBrAGcAIABOADIATwAtAE4ALwBrAGcAIABOACAAZABlAHAAbwBzAGkAdABlAGQAXAAiACwAIABcACIAQwBvAG4AcwB0AGEAbgB0AFwAIgA7AFwAbgAgACAAIAAgACAAIAAgACAAIAAgAFwAIgBNAE4AXwBqAG0AVAAzAFwAIgAsAFwAIgBuAGkAdAByAG8AZwBlAG4AIABpAG4AIABNAE0AUwAgAHQAcgBlAGEAdABtAGUAbgB0ACAAcwB0AGEAZwBlACAAMwBcACIALAAgAFwAIgBrAGcAIABOAFwAIgAsACAAXAAiAEMAYQBsAGMAdQBsAGEAdABlAGQAIABmAHIAbwBtACAANAAuADEALgAxAC4AMwAgACgAOAAp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gAXwBTAHQAYQBnAGUAMwBOAGkAdAByAG8AZwBlAG4ASQBuAE0ATQBTAEEAbgBhAGUAcgBvAGIAaQBjAEwAYQBnAG8AbwBuAFwAbgBOAGkAdAByAG8AZwBlAG4AIABpAG4AIAB0AHIAZQBhAHQAbQBlAG4AdAAgAHMAdABhAGcAZQAgADMAIABNAE0AUwBcAG4ATQBOAF8AagBtADEAVAAzAFwAbgBrAGcAIABOAFwAbgBNAE4AXwB7AGoAbQA9ADEALABUAD0AMwB9AD0AQQBFAF8AewBqAH0AXABcAHQAaQBtAGUAcwAgAE0ATQBTAF8AewBqAG0APQAxACwAVAA9ADMAfQBcAG4AQQBFAF8AagAgAD0AIAB0AG8AdABhAGwAIABuAGkAdAByAG8AZwBlAG4AIABlAHgAYwByAGUAdABlAGQAIABiAHkAIABlAGEAYwBoACAAYwBhAHQAdABsAGUAIABnAHIAbwB1AHAAIAA6ACAAawBnACAATgBcAG4ATQBNAFMAXwBqAG0AMQBUADMAIAA9ACAAZgByAGEAYwB0AGkAbwBuACAAbwBmACAAbQBhAG4AdQByAGUAIAB0AG8AIAB0AGUAcgB0AGkAYQByAHkAIABhAG4AYQBlAHIAbwBiAGkAYwAgAGwAYQBnAG8AbwBuACAAcwB5AHMAdABlAG0AIAA6ACAAZgByAGEAYwB0AGkAbwBuAFwAbgAtAC0ALQAtAC0ALQAtAC0ALQAtAC0ALQAtAC0ALQAtAC0ALQAtAC0ALQAtAC0ALQAtAC0ALQAtAC0ALQAtAC0ALQAtAC0ALQAtAC0AXABuACoALwBcAG4AXABuAFYARQBFAFIARwBfADQAXwAxAF8AMQBfADMAXwBfADgAXwBTAHQAYQBnAGUAMwBOAGkAdAByAG8AZwBlAG4ASQBuAE0ATQBTAEEAbgBhAGUAcgBvAGIAaQBjAEwAYQBnAG8AbwBuAFwAbgAgACAAPQBMAEEATQBCAEQAQQAoAFwAbgAgACAAIAAgAEEARQBfAGoALAAgAE0ATQBTAF8AagBtADEAVAAzACwAXABuACAAIAAgACAAQQBFAF8AagAgACoAIABNAE0AUwBfAGoAbQAxAFQAMwBcAG4AIAAgACkAOwBcAG4AXABuAFYARQBFAFIARwBfADQAXwAxAF8AMQBfADMAXwBfADgAXwBTAHQAYQBnAGUAMwBOAGkAdAByAG8AZwBlAG4ASQBuAE0ATQBTAEEAbgBhAGUAcgBvAGIAaQBjAEwAYQBnAG8AbwBuAF8AVABpAHQAbABlAFwAbgAgACAAPQBMAEEATQBCAEQAQQAoAFwAIgBOAGkAdAByAG8AZwBlAG4AIABpAG4AIAB0AHIAZQBhAHQAbQBlAG4AdAAgAHMAdABhAGcAZQAgADMAIABNAE0AUwBcACIAKQA7AFwAbgBcAG4AVgBFAEUAUgBHAF8ANABfADEAXwAxAF8AMwBfAF8AOABfAFMAdABhAGcAZQAzAE4AaQB0AHIAbwBnAGUAbgBJAG4ATQBNAFMAQQBuAGEAZQByAG8AYgBpAGMATABhAGcAbwBvAG4AXwBWAGEAcgBpAGEAYgBsAGUAXABuACAAIAA9AEwAQQBNAEIARABBACgAXAAiAE0ATgBfAGoAbQAxAFQAMwBcACIAKQA7AFwAbgBcAG4AVgBFAEUAUgBHAF8ANABfADEAXwAxAF8AMwBfAF8AOABfAFMAdABhAGcAZQAzAE4AaQB0AHIAbwBnAGUAbgBJAG4ATQBNAFMAQQBuAGEAZQByAG8AYgBpAGMATABhAGcAbwBvAG4AXwBVAG4AaQB0AFwAbgAgACAAPQBMAEEATQBCAEQAQQAoAFwAIgBrAGcAIABOAFwAIgApADsAXABuAFwAbgBWAEUARQBSAEcAXwA0AF8AMQBfADEAXwAzAF8AXwA4AF8AUwB0AGEAZwBlADMATgBpAHQAcgBvAGcAZQBuAEkAbgBNAE0AUwBBAG4AYQBlAHIAbwBiAGkAYwBMAGEAZwBvAG8AbgBfAFMAbwB1AHIAYwBlAFwAbgAgACAAPQBMAEEATQBCAEQAQQAoAFwAIgBWAEUARQBSAEcAIAAyADAAMgA2ADoAIAA0AC4AMQAuADEALgAzACwAIABFAHEAdQBhAHQAaQBvAG4AIAAoADgAKQBcACIAKQA7AFwAbgBcAG4AVgBFAEUAUgBHAF8ANABfADEAXwAxAF8AMwBfAF8AOABfAFMAdABhAGcAZQAzAE4AaQB0AHIAbwBnAGUAbgBJAG4ATQBNAFMAQQBuAGEAZQByAG8AYgBpAGMATABhAGcAbwBvAG4AXwBOAEkAUgBSAGUAZgBlAHIAZQBuAGMAZQBcAG4AIAAgAD0ATABBAE0AQgBEAEEAKABcACIAXAAiACkAOwBcAG4AXABuAFYARQBFAFIARwBfADQAXwAxAF8AMQBfADMAXwBfADgAXwBTAHQAYQBnAGUAMwBOAGkAdAByAG8AZwBlAG4ASQBuAE0ATQBTAEEAbgBhAGUAcgBvAGIAaQBjAEwAYQBnAG8AbwBuAF8ATABhAHQAZQB4AEUAcQB1AGEAdABpAG8AbgBcAG4AIAAgAD0ATABBAE0AQgBEAEEAKABcACIATQBOAF8AewBqAG0APQAxACwAVAA9ADMAfQA9AEEARQBfAHsAagB9AFwAXAB0AGkAbQBlAHMAIABNAE0AUwBfAHsAagBtAD0AMQAsAFQAPQAzAH0AXAAiACkAOwBcAG4AXABuAFYARQBFAFIARwBfADQAXwAxAF8AMQBfADMAXwBfADgAXwBTAHQAYQBnAGUAMwBOAGkAdAByAG8AZwBlAG4ASQBuAE0ATQBTAEEAbgBhAGUAcgBvAGIAaQBjAEwAYQBnAG8AbwBuAF8AQQByAGcAdQBtAGUAbgB0AHMAXABuACAAIAA9AEwAQQBNAEIARABBACgAXABuACAAIAAgACAATQBBAEsARQBBAFIAUgBBAFkAKAAyACwAIAA0ACwAXABuACAAIAAgACAAIAAgAEwAQQBNAEIARABBACgAcgAsAGMALABcAG4AIAAgACAAIAAgACAAIAAgAEkATgBEAEUAWAAoAHsAXABuACAAIAAgACAAIAAgACAAIAAgACAAXAAiAEEARQBfAGoAXAAiACwAXAAiAHQAbwB0AGEAbAAgAG4AaQB0AHIAbwBnAGUAbgAgAGUAeABjAHIAZQB0AGUAZAAgAGIAeQAgAGUAYQBjAGgAIABjAGEAdAB0AGwAZQAgAGcAcgBvAHUAcABcACIALAAgAFwAIgBrAGcAIABOAFwAIgAsACAAXAAiAEMAYQBsAGMAdQBsAGEAdABlAGQAIABmAHIAbwBtACAANAAuADEALgAxAC4AMwAgACgAMwApAFwAIgA7AFwAbgAgACAAIAAgACAAIAAgACAAIAAgAFwAIgBNAE0AUwBfAGoAbQAxAFQAMwBcACIALABcACIAZgByAGEAYwB0AGkAbwBuACAAbwBmACAAbQBhAG4AdQByAGUAIAB0AG8AIAB0AGUAcgB0AGkAYQByAHkAIABhAG4AYQBlAHIAbwBiAGkAYwAgAGwAYQBnAG8AbwBuACAAcwB5AHMAdABlAG0AXAAiACwAIABcACIAZgByAGEAYwB0AGkAbwBuAFwAIgAsACAAXAAiAEkAbgBwAHUAdABcACIAXABuACAAIAAgACAAIAAgACAAIAB9ACwAIAByACwAIABjACkAXABuACAAIAAgACAAIAAgACkAXABuACAAIAAgACAAKQBcAG4AIAAgACkAOwBcAG4AXABuACIAfQAsAHsAIgBwAGEAdABoACIAOgAiAC8AcAByAG8AagBlAGMAdABzAC8ATQBNAFMAXwBGAGUAZQBkAGwAbwB0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1ACAATQBlAHQAaABvAGQAIAAxACAALQAgAE0AYQBuAHUAcgBlACAAQQB0AG0AbwBzAHAAaABlAHIAaQBjACAARABlAHAAbwBzAGkAdABpAG8Abg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NQBfAF8AMQBfAFQAbwB0AGEAbABBAG4AbgB1AGEAbABBAHQAbQBvAHMAcABoAGUAcgBpAGMARABlAHAAbwBzAGkAdABpAG8AbgBFAG0AaQBzAHMAaQBvAG4Ac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UAXwBfADEAXwBUAG8AdABhAGwAQQBuAG4AdQBhAGwAQQB0AG0AbwBzAHAAaABlAHIAaQBjAEQAZQBwAG8AcwBpAHQAaQBvAG4ARQBtAGkAcwBzAGkAbwBuAH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MQBfADEAXwA1AF8AXwAxAF8AVABvAHQAYQBsAEEAbgBuAHUAYQBsAEEAdABtAG8AcwBwAGgAZQByAGkAYwBEAGUAcABvAHMAaQB0AGkAbwBuAEUAbQBpAHMAcwBpAG8AbgBzAF8AVABpAHQAbABlAFwAbgAgACAAPQBMAEEATQBCAEQAQQAoAFwAIgBUAG8AdABhAGwAIABhAG4AbgB1AGEAbAAgAGEAdABtAG8AcwBwAGgAZQByAGkAYwAgAGQAZQBwAG8AcwBpAHQAaQBvAG4AIABlAG0AaQBzAHMAaQBvAG4AcwAgAGYAcgBvAG0AIABtAGEAbgB1AHIAZQAgAG0AYQBuAGEAZwBlAG0AZQBuAHQAXAAiACkAOwBcAG4AXABuAFYARQBFAFIARwBfADQAXwAxAF8AMQBfADUAXwBfADEAXwBUAG8AdABhAGwAQQBuAG4AdQBhAGwAQQB0AG0AbwBzAHAAaABlAHIAaQBjAEQAZQBwAG8AcwBpAHQAaQBvAG4ARQBtAGkAcwBzAGkAbwBuAHMAXwBWAGEAcgBpAGEAYgBsAGUAXABuACAAIAA9AEwAQQBNAEIARABBACgAXAAiAEUAXwBOADIATwBhAGQAXAAiACkAOwBcAG4AXABuAFYARQBFAFIARwBfADQAXwAxAF8AMQBfADUAXwBfADEAXwBUAG8AdABhAGwAQQBuAG4AdQBhAGwAQQB0AG0AbwBzAHAAaABlAHIAaQBjAEQAZQBwAG8AcwBpAHQAaQBvAG4ARQBtAGkAcwBzAGkAbwBuAHMAXwBVAG4AaQB0AFwAbgAgACAAPQBMAEEATQBCAEQAQQAoAFwAIgB0ACAATgAyAE8AXAAiACkAOwBcAG4AXABuAFYARQBFAFIARwBfADQAXwAxAF8AMQBfADUAXwBfADEAXwBUAG8AdABhAGwAQQBuAG4AdQBhAGwAQQB0AG0AbwBzAHAAaABlAHIAaQBjAEQAZQBwAG8AcwBpAHQAaQBvAG4ARQBtAGkAcwBzAGkAbwBuAHMAXwBTAG8AdQByAGMAZQBcAG4AIAAgAD0ATABBAE0AQgBEAEEAKABcACIAVgBFAEUAUgBHACAAMgAwADIANgA6ACAANAAuADEALgAxAC4ANQAsACAARQBxAHUAYQB0AGkAbwBuACAAKAAxACkAXAAiACkAOwBcAG4AXABuAFYARQBFAFIARwBfADQAXwAxAF8AMQBfADUAXwBfADEAXwBUAG8AdABhAGwAQQBuAG4AdQBhAGwAQQB0AG0AbwBzAHAAaABlAHIAaQBjAEQAZQBwAG8AcwBpAHQAaQBvAG4ARQBtAGkAcwBzAGkAbwBuAHMAXwBOAEkAUgBSAGUAZgBlAHIAZQBuAGMAZQBcAG4AIAAgAD0ATABBAE0AQgBEAEEAKABcACIAXAAiACkAOwBcAG4AXABuAFYARQBFAFIARwBfADQAXwAxAF8AMQBfADUAXwBfADEAXwBUAG8AdABhAGwAQQBuAG4AdQBhAGwAQQB0AG0AbwBzAHAAaABlAHIAaQBjAEQAZQBwAG8AcwBpAHQAaQBvAG4ARQBtAGkAcwBzAGkAbwBuAH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EAXwAxAF8ANQBfAF8AMQBfAFQAbwB0AGEAbABBAG4AbgB1AGEAbABBAHQAbQBvAHMAcABoAGUAcgBpAGMARABlAHAAbwBzAGkAdABpAG8AbgBFAG0AaQBzAHMAaQBvAG4Ac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x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NA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FwAIgAsACAAXAAiAGsAZwAgAE4AXAAiACwAIABcACIAQwBhAGwAYwB1AGwAYQB0AGUAZAAgAGYAcgBvAG0AIAA0AC4AMQAuADEALgAzACAAKAAyACkAKAA2ACkAKAA4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UAbgB0AGUAcgBpAGMATQBlAHQAaABhAG4AZQBfAEYAZQBlAGQAbABvAHQAXwBFAHEAdQBhAHQAaQBvAG4AcwAiACwAIgB0AGUAeAB0ACIAOgAiAC8AKgBcAG4APQA9AD0APQA9AD0APQA9AD0APQA9AD0APQA9AD0APQA9AD0APQA9AD0APQA9AD0APQA9AD0APQA9AD0APQA9AD0APQA9AD0APQA9AD0APQA9AD0APQA9AD0APQA9AD0APQA9AD0APQA9AD0APQA9AD0APQA9AD0APQA9AD0APQA9AD0APQA9AD0APQA9AD0APQA9AD0APQBcAG4AMwAuADEAOgAgAEUAbgB0AGUAcgBpAGMAIABNAGUAdABoAGEAbgBlACAALQAgAEYAZQBlAGQAbABvAHQAIABCAGUAZQBmAFwAbgA9AD0APQA9AD0APQA9AD0APQA9AD0APQA9AD0APQA9AD0APQA9AD0APQA9AD0APQA9AD0APQA9AD0APQA9AD0APQA9AD0APQA9AD0APQA9AD0APQA9AD0APQA9AD0APQA9AD0APQA9AD0APQA9AD0APQA9AD0APQA9AD0APQA9AD0APQA9AD0APQA9AD0APQA9AD0APQA9AFwAbgAzAC4AMQAuADEALgAxACAATQBlAHQAaABvAGQAIAAxACAALQAgAEUAbgB0AGUAcgBpAGM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x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gBlAGUAZABsAG8AdAAgAGIAZQBlAGYAIABjAGEAdAB0AGwAZQBcAG4ARQBfAGUAbgB0AGUAcgBpAGMAXABuAHQAIABDAEgANABcAG4ARQBfAHsAZQBuAHQAZQByAGkAYwB9AD0AXABcAHMAdQBtAFwAXABuAG8AbABpAG0AaQB0AHMAXwBqACgARABfAGoAXABcAHQAaQBtAGUAcwAgAE0AXwBqAFwAXAB0AGkAbQBlAHMAIABOAF8AagApAFwAXAB0AGkAbQBlAHMAIAAxADAAXgB7AC0AMwB9AFwAbgBEAF8AagAgAD0AIABkAHUAcgBhAHQAaQBvAG4AIABvAGYAIABzAHQAYQB5ACAAbwBmACAAZQBhAGMAaAAgAGMAYQB0AHQAbABlACAAbABvAHQAIAAoAGQAYQB5AHMAKQBcAG4ATQBfAGoAIAA9ACAAZABhAGkAbAB5ACAAbQBlAHQAaABhAG4AZQAgAHAAcgBvAGQAdQBjAHQAaQBvAG4AIAAoAGsAZwAgAEMASAA0AC8AaABlAGEAZAAvAGQAYQB5ACkAXABuAE4AXwBqACAAPQAgAG4AdQBtAGIAZQByAHMAIABvAGYAIABmAGUAZQBkAGwAbwB0ACAAYwBhAHQAdABsAGUAIABpAG4AIABlAGEAYwBoACAAYwBhAHQAdABsAGUAIABsAG8AdAAgACgAaABlAGEAZAApAFwAbgAtAC0ALQAtAC0ALQAtAC0ALQAtAC0ALQAtAC0ALQAtAC0ALQAtAC0ALQAtAC0ALQAtAC0ALQAtAC0ALQAtAC0ALQAtAC0ALQAtAC0AXABuACoALwBcAG4AXABuAFYARQBFAFIARwBfADMAXwAxAF8AMQBfADEAXwBfADEAXwBUAG8AdABhAGwAQQBuAG4AdQBhAGwATQBlAHQAaABhAG4AZQBGAHIAbwBtAEUAbgB0AGUAcgBpAGMARgBlAHIAbQBlAG4AdABhAHQAaQBvAG4AXABuACAAIAA9AEwAQQBNAEIARABBACgAXABuACAAIAAgACAARABfAGoALAAgAE0AXwBqACwAIABOAF8AagAsAFwAbgAgACAAIAAgACgARABfAGoAIAAqACAATQBfAGoAIAAqACAATgBfAGoAKQAgACoAIAAxADAAIABeACAALQAzAFwAbgAgACAAKQA7AFwAbgBcAG4AVgBFAEUAUgBHAF8AMwBfADE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mAGUAZQBkAGwAbwB0ACAAYgBlAGUAZgAgAGMAYQB0AHQAbABlAFwAIgApADsAXABuAFwAbgBWAEUARQBSAEcAXwAzAF8AMQBfADEAXwAxAF8AXwAxAF8AVABvAHQAYQBsAEEAbgBuAHUAYQBsAE0AZQB0AGgAYQBuAGUARgByAG8AbQBFAG4AdABlAHIAaQBjAEYAZQByAG0AZQBuAHQAYQB0AGkAbwBuAF8AVgBhAHIAaQBhAGIAbABlAFwAbgAgACAAPQBMAEEATQBCAEQAQQAoAFwAIgBFAF8AZQBuAHQAZQByAGkAYwBcACIAKQA7AFwAbgBcAG4AVgBFAEUAUgBHAF8AMwBfADEAXwAxAF8AMQBfAF8AMQBfAFQAbwB0AGEAbABBAG4AbgB1AGEAbABNAGUAdABoAGEAbgBlAEYAcgBvAG0ARQBuAHQAZQByAGkAYwBGAGUAcgBtAGUAbgB0AGEAdABpAG8AbgBfAFUAbgBpAHQAXABuACAAIAA9AEwAQQBNAEIARABBACgAXAAiAHQAIABDAEgANABcACIAKQA7AFwAbgBcAG4AVgBFAEUAUgBHAF8AMwBfADEAXwAxAF8AMQBfAF8AMQBfAFQAbwB0AGEAbABBAG4AbgB1AGEAbABNAGUAdABoAGEAbgBlAEYAcgBvAG0ARQBuAHQAZQByAGkAYwBGAGUAcgBtAGUAbgB0AGEAdABpAG8AbgBfAFMAbwB1AHIAYwBlAFwAbgAgACAAPQBMAEEATQBCAEQAQQAoAFwAIgBWAEUARQBSAEcAIAAyADAAMgA2ADoAIAAzAC4AMQAuADEALgAxACwAIABFAHEAdQBhAHQAaQBvAG4AIAAoADEAKQBcACIAKQA7AFwAbgBcAG4AVgBFAEUAUgBHAF8AMwBfADEAXwAxAF8AMQBfAF8AMQBfAFQAbwB0AGEAbABBAG4AbgB1AGEAbABNAGUAdABoAGEAbgBlAEYAcgBvAG0ARQBuAHQAZQByAGkAYwBGAGUAcgBtAGUAbgB0AGEAdABpAG8AbgBfAE4ASQBSAFIAZQBmAGUAcgBlAG4AYwBlAFwAbgAgACAAPQBMAEEATQBCAEQAQQAoAFwAIgBcACIAKQA7AFwAbgBcAG4AVgBFAEUAUgBHAF8AMwBfADE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EQAXwBqAFwAXAB0AGkAbQBlAHMAIABNAF8AagBcAFwAdABpAG0AZQBzACAATgBfAGoAKQBcAFwAdABpAG0AZQBzACAAMQAwAF4AewAtADMAfQBcACIAKQA7AFwAbgBcAG4AVgBFAEUAUgBHAF8AMwBfADE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kAHUAcgBhAHQAaQBvAG4AIABvAGYAIABzAHQAYQB5ACAAbwBmACAAZQBhAGMAaAAgAGMAYQB0AHQAbABlACAAbABvAHQAXAAiACwAIABcACIAZABhAHkAcwBcACIALAAgAFwAIgBJAG4AcAB1AHQAXAAiADsAXABuACAAIAAgACAAIAAgACAAIAAgACAAXAAiAE0AXwBqAFwAIgAsACAAXAAiAGQAYQBpAGwAeQAgAG0AZQB0AGgAYQBuAGUAIABwAHIAbwBkAHUAYwB0AGkAbwBuAFwAIgAsACAAXAAiAGsAZwAgAEMASAA0AC8AaABlAGEAZAAvAGQAYQB5AFwAIgAsACAAXAAiAEMAYQBsAGMAdQBsAGEAdABlAGQAIABmAHIAbwBtACAAMwAuADEALgAxAC4AMQAsACAAKAAyACkAXAAiADsAXABuACAAIAAgACAAIAAgACAAIAAgACAAXAAiAE4AXwBqAFwAIgAsACAAXAAiAG4AdQBtAGIAZQByAHMAIABvAGYAIABmAGUAZQBkAGwAbwB0ACAAYwBhAHQAdABsAGUAIABpAG4AIABlAGEAYwBoACAAYwBhAHQAdABsAGUAIABsAG8AdA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QBfADEAXwAxAF8AXwAyAF8ARABhAGkAbAB5AEUAbgB0AGUAcgBpAGMATQBlAHQAaABhAG4AZQBQAHIAbwBkAHUAYwB0AGkAbwBuAFwAbgBEAGEAaQBsAHkAIABwAHIAbwBkAHUAYwB0AGkAbwBuACAAbwBmACAAZQBuAHQAZQByAGkAYwAgAG0AZQB0AGgAYQBuAGUAXABuAE0AXwBqAFwAbgBrAGcAIABDAEgANAAvAGgAZQBhAGQALwBkAGEAeQBcAG4ATQBfAGoAPQAoADUALgAxADEAXABcAHQAaQBtAGUAcwAgAEkAXwBqAC0ANAAuADAAMABcAFwAdABpAG0AZQBzACAARQBFAF8AagArADIALgAyADYAXABcAHQAaQBtAGUAcwAgAE4ARABGAF8AagApAFwAXAB0AGkAbQBlAHMAIAAxADAAXgB7AC0AMwB9AFwAbgBJAF8AagAgAD0AIABkAHIAeQAgAG0AYQB0AHQAZQByACAAaQBuAHQAYQBrAGUAIAAoAGsAZwAgAEQATQAvAGgAZQBhAGQALwBkAGEAeQApAFwAbgBFAEUAXwBqACAAPQAgAGUAdABoAGUAcgAgAGUAeAB0AHIAYQBjAHQAIABhAHMAIABhACAAcABlAHIAYwBlAG4AdABhAGcAZQAgAG8AZgAgAEkAXwBqACAAKABwAGUAcgAgAGMAZQBuAHQAKQBcAG4ATgBEAEYAXwBqACAAPQAgAG4AZQB1AHQAcgBhAGwAIABkAGUAdABlAHIAZwBlAG4AdAAgAGYAaQBiAHIAZQAgAGEAcwAgAGEAIABwAGUAcgBjAGUAbgB0AGEAZwBlACAAbwBmACAASQBfAGoAIAAoAHAAZQByACAAYwBlAG4AdAApAFwAbgAtAC0ALQAtAC0ALQAtAC0ALQAtAC0ALQAtAC0ALQAtAC0ALQAtAC0ALQAtAC0ALQAtAC0ALQAtAC0ALQAtAC0ALQAtAC0ALQAtAC0AXABuACoALwBcAG4AXABuAFYARQBFAFIARwBfADMAXwAxAF8AMQBfADEAXwBfADIAXwBEAGEAaQBsAHkARQBuAHQAZQByAGkAYwBNAGUAdABoAGEAbgBlAFAAcgBvAGQAdQBjAHQAaQBvAG4AXABuACAAIAA9AEwAQQBNAEIARABBACgAXABuACAAIAAgACAASQBfAGoALAAgAEUARQBfAGoALAAgAE4ARABGAF8AagAsAFwAbgAgACAAIAAgACgANQAuADEAMQAgACoAIABJAF8AagAgAC0AIAA0AC4AMAAwACAAKgAgAEUARQBfAGoAIAArACAAMgAuADIANgAgACoAIABOAEQARgBfAGoAKQAgACoAIAAxADAAIABeACAALQAzAFwAbgAgACAAKQA7AFwAbgBcAG4AVgBFAEUAUgBHAF8AMwBfADE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QBfADEAXwAxAF8AXwAyAF8ARABhAGkAbAB5AEUAbgB0AGUAcgBpAGMATQBlAHQAaABhAG4AZQBQAHIAbwBkAHUAYwB0AGkAbwBuAF8AVgBhAHIAaQBhAGIAbABlAFwAbgAgACAAPQBMAEEATQBCAEQAQQAoAFwAIgBNAF8AagBcACIAKQA7AFwAbgBcAG4AVgBFAEUAUgBHAF8AMwBfADEAXwAxAF8AMQBfAF8AMgBfAEQAYQBpAGwAeQBFAG4AdABlAHIAaQBjAE0AZQB0AGgAYQBuAGUAUAByAG8AZAB1AGMAdABpAG8AbgBfAFUAbgBpAHQAXABuACAAIAA9AEwAQQBNAEIARABBACgAXAAiAGsAZwAgAEMASAA0AC8AaABlAGEAZAAvAGQAYQB5AFwAIgApADsAXABuAFwAbgBWAEUARQBSAEcAXwAzAF8AMQBfADEAXwAxAF8AXwAyAF8ARABhAGkAbAB5AEUAbgB0AGUAcgBpAGMATQBlAHQAaABhAG4AZQBQAHIAbwBkAHUAYwB0AGkAbwBuAF8AUwBvAHUAcgBjAGUAXABuACAAIAA9AEwAQQBNAEIARABBACgAXAAiAFYARQBFAFIARwAgADIAMAAyADYAOgAgADMALgAxAC4AMQAuADEALAAgAEUAcQB1AGEAdABpAG8AbgAgACgAMgApAFwAIgApADsAXABuAFwAbgBWAEUARQBSAEcAXwAzAF8AMQBfADEAXwAxAF8AXwAyAF8ARABhAGkAbAB5AEUAbgB0AGUAcgBpAGMATQBlAHQAaABhAG4AZQBQAHIAbwBkAHUAYwB0AGkAbwBuAF8ATgBJAFIAUgBlAGYAZQByAGUAbgBjAGUAXABuACAAIAA9AEwAQQBNAEIARABBACgAXAAiAEEAbABtAGUAaQBkAGEAIABlAHQAIABhAGwALgAgACgAMgAwADIANQApAFwAIgApADsAXABuAFwAbgBWAEUARQBSAEcAXwAzAF8AMQBfADEAXwAxAF8AXwAyAF8ARABhAGkAbAB5AEUAbgB0AGUAcgBpAGMATQBlAHQAaABhAG4AZQBQAHIAbwBkAHUAYwB0AGkAbwBuAF8ATABhAHQAZQB4AEUAcQB1AGEAdABpAG8AbgBcAG4AIAAgAD0ATABBAE0AQgBEAEEAKABcACIATQBfAGoAPQAoADUALgAxADEAXABcAHQAaQBtAGUAcwAgAEkAXwBqAC0ANAAuADAAMABcAFwAdABpAG0AZQBzACAARQBFAF8AagArADIALgAyADYAXABcAHQAaQBtAGUAcwAgAE4ARABGAF8AagApAFwAXAB0AGkAbQBlAHMAIAAxADAAXgB7AC0AMwB9AFwAIgApADsAXABuAFwAbgBWAEUARQBSAEcAXwAzAF8AMQBfADEAXwAxAF8AXwAyAF8ARABhAGkAbAB5AEUAbgB0AGUAcgBpAGMATQBlAHQAaABhAG4AZQ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pAG4AdABhAGsAZQBcACIALAAgAFwAIgBrAGcAIABEAE0ALwBoAGUAYQBkAC8AZABhAHkAXAAiACwAIABcACIASQBuAHAAdQB0AFwAIgA7AFwAbgAgACAAIAAgACAAIAAgACAAIAAgAFwAIgBFAEUAXwBqAFwAIgAsACAAXAAiAGUAdABoAGUAcgAgAGUAeAB0AHIAYQBjAHQAIABhAHMAIABhACAAcABlAHIAYwBlAG4AdABhAGcAZQAgAG8AZgAgAEkAXwBqAFwAIgAsACAAXAAiAHAAZQByACAAYwBlAG4AdABcACIALAAgAFwAIgBJAG4AcAB1AHQAXAAiADsAXABuACAAIAAgACAAIAAgACAAIAAgACAAXAAiAE4ARABGAF8AagBcACIALAAgAFwAIgBuAGUAdQB0AHIAYQBsACAAZABlAHQAZQByAGcAZQBuAHQAIABmAGkAYgByAGUAIABhAHMAIABhACAAcABlAHIAYwBlAG4AdABhAGcAZQAgAG8AZgAgAEkAXwBqAFwAIgAsACAAXAAiAHAAZQByACAAYwBlAG4AdABcACIALAAgAFwAIgBJAG4AcAB1AHQAXAAiAFwAbgAgACAAIAAgACAAIAAgACAAfQAsACAAcgAsACAAYwApAFwAbgAgACAAIAAgACAAIAApAFwAbgAgACAAIAAgACkAXABuACAAIAApADs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FwAdQAwADAAMgA3AHUAbgBpAHQAcwBcAHUAMAAwADIANwAgAHQAbwAgAFwAdQAwADAAMgA3AGsAZwBcAHUAMAAwADIANwAgAGEAcwAgAEUARgAgAGQAYQB0AGEAIABpAHMAIABpAG4AIABrAGcALgBcACIAKQA7AFwAbgAgACAAXABuAFwAbgAvACoAXABuAC0ALQAtAC0ALQAtAC0ALQAtAC0ALQAtAC0ALQAtAC0ALQAtAC0ALQAtAC0ALQAtAC0ALQAtAC0ALQAtAC0ALQAtAC0ALQAtAC0ALQBcAG4AVgBFAEUAUgBHAF8AMQA1AF8AOQBfADEAXwAxAF8AXwAxAF8ARQBtAGkAcwBzAGkAbwBuAHMARgByAG8AbQBQAHUAcgBjAGgAYQBzAGUAZABHAHIAbwB3AE0AZQBkAGkAYQBcAG4ARQBtAGIAZQBkAGQAZQBkACAAZQBtAGkAcwBzAGkAbwBuAHMAIABmAHIAbwBtACAAdQBzAGUAIABvAGYAIABnAHIAbwB3ACAAbQBlAGQAaQBhACAAcAByAG8AZAB1AGMAdABzAFwAbgBFAFwAbgB0ACAAQwBPADIAZQBcAG4ARQA9AFwAXABzAHUAbQBcAFwAbgBvAGwAaQBtAGkAdABzAF8AZwBcAFwAbABlAGYAdAAoAFEAXwBnAFwAXAB0AGkAbQBlAHMAIABFAEYAXwBnAFwAXAByAGkAZwBoAHQAKQBcAFwAdABpAG0AZQBzACAAMQAwAF4AewAtADMAfQBcAG4AUQBfAGcAIAA9ACAAdABvAHQAYQBsACAAcQB1AGEAbgB0AGkAdAB5ACAAbwBmACAAZwByAG8AdwAgAG0AZQBkAGkAYQAgAHQAeQBwAGUAIABnAFwAbgBFAEYAXwBnACAAPQAgAGUAbQBpAHMAcwBpAG8AbgAgAGYAYQBjAHQAbwByACAAZgBvAHIAIABnAHIAbwB3ACAAbQBlAGQAaQBhACAAdAB5AHAAZQAgAGcAXABuAC0ALQAtAC0ALQAtAC0ALQAtAC0ALQAtAC0ALQAtAC0ALQAtAC0ALQAtAC0ALQAtAC0ALQAtAC0ALQAtAC0ALQAtAC0ALQAtAC0ALQBcAG4AKgAvAFwAbgBcAG4AVgBFAEUAUgBHAF8AMQA1AF8AOQBfADEAXwAxAF8AXwAxAF8ARQBtAGkAcwBzAGkAbwBuAHMARgByAG8AbQBQAHUAcgBjAGgAYQBzAGUAZABHAHIAbwB3AE0AZQBkAGkAYQBcAG4AIAAgAD0ATABBAE0AQgBEAEEAKABcAG4AIAAgACAAIABRAF8AZwAsACAARQBGAF8AZwAsAFwAbgAgACAAIAAgACgAUQBfAGcAIAAqACAARQBGAF8AZwApACAAKgAgADEAMAAgAF4AIAAtADMAXABuACAAIAApADsAXABuAFwAbgBWAEUARQBSAEcAXwAxADUAXwA5AF8AMQBfADEAXwBfADEAXwBFAG0AaQBzAHMAaQBvAG4AcwBGAHIAbwBtAFAAdQByAGMAaABhAHMAZQBkAEcAcgBvAHcATQBlAGQAaQBhAF8AVABpAHQAbABlAFwAbgAgACAAPQBMAEEATQBCAEQAQQAoAFwAIgBFAG0AYgBlAGQAZABlAGQAIABlAG0AaQBzAHMAaQBvAG4AcwAgAGYAcgBvAG0AIAB1AHMAZQAgAG8AZgAgAGcAcgBvAHcAIABtAGUAZABpAGEAIABwAHIAbwBkAHUAYwB0AHMAXAAiACkAOwBcAG4AXABuAFYARQBFAFIARwBfADEANQBfADkAXwAxAF8AMQBfAF8AMQBfAEUAbQBpAHMAcwBpAG8AbgBzAEYAcgBvAG0AUAB1AHIAYwBoAGEAcwBlAGQARwByAG8AdwBNAGUAZABpAGEAXwBWAGEAcgBpAGEAYgBsAGUAXABuACAAIAA9AEwAQQBNAEIARABBACgAXAAiAEUAXAAiACkAOwBcAG4AXABuAFYARQBFAFIARwBfADEANQBfADkAXwAxAF8AMQBfAF8AMQBfAEUAbQBpAHMAcwBpAG8AbgBzAEYAcgBvAG0AUAB1AHIAYwBoAGEAcwBlAGQARwByAG8AdwBNAGUAZABpAGEAXwBVAG4AaQB0AFwAbgAgACAAPQBMAEEATQBCAEQAQQAoAFwAIgB0ACAAQwBPADIAZQBcACIAKQA7AFwAbgBcAG4AVgBFAEUAUgBHAF8AMQA1AF8AOQBfADEAXwAxAF8AXwAxAF8ARQBtAGkAcwBzAGkAbwBuAHMARgByAG8AbQBQAHUAcgBjAGgAYQBzAGUAZABHAHIAbwB3AE0AZQBkAGkAYQBfAFMAbwB1AHIAYwBlAFwAbgAgACAAPQBMAEEATQBCAEQAQQAoAFwAIgBWAEUARQBSAEcAIAAyADAAMgA2ADoAIAAxADUALgA5AC4AMQAuADEALAAgAEUAcQB1AGEAdABpAG8AbgAgACgAMQApAFwAIgApADsAXABuAFwAbgBWAEUARQBSAEcAXwAxADUAXwA5AF8AMQBfADEAXwBfADEAXwBFAG0AaQBzAHMAaQBvAG4AcwBGAHIAbwBtAFAAdQByAGMAaABhAHMAZQBkAEcAcgBvAHcATQBlAGQAaQBhAF8ATgBJAFIAUgBlAGYAZQByAGUAbgBjAGUAXABuACAAIAA9AEwAQQBNAEIARABBACgAXAAiAFwAIgApADsAXABuAFwAbgBWAEUARQBSAEcAXwAxADUAXwA5AF8AMQBfADEAXwBfADEAXwBFAG0AaQBzAHMAaQBvAG4AcwBGAHIAbwBtAFAAdQByAGMAaABhAHMAZQBkAEcAcgBvAHcATQBlAGQAaQBhAF8ATABhAHQAZQB4AEUAcQB1AGEAdABpAG8AbgBcAG4AIAAgAD0ATABBAE0AQgBEAEEAKABcACIARQA9AFwAXABzAHUAbQBcAFwAbgBvAGwAaQBtAGkAdABzAF8AZwBcAFwAbABlAGYAdAAoAFEAXwBnAFwAXAB0AGkAbQBlAHMAIABFAEYAXwBnAFwAXAByAGkAZwBoAHQAKQBcAFwAdABpAG0AZQBzACAAMQAwAF4AewAtADMAfQBcACIAKQA7AFwAbgBcAG4AVgBFAEUAUgBHAF8AMQA1AF8AOQBfADEAXwAxAF8AXwAxAF8ARQBtAGkAcwBzAGkAbwBuAHMARgByAG8AbQBQAHUAcgBjAGgAYQBzAGUAZABHAHIAbwB3AE0AZQBkAGkAYQBfAEEAcgBnAHUAbQBlAG4AdABzAFwAbgAgACAAPQBMAEEATQBCAEQAQQAoAFwAbgAgACAAIAAgAE0AQQBLAEUAQQBSAFIAQQBZACgAMwAsACAANAAsAFwAbgAgACAAIAAgACAAIABMAEEATQBCAEQAQQAoAHIALABjACwAXABuACAAIAAgACAAIAAgACAAIABJAE4ARABFAFgAKAB7AFwAbgAgACAAIAAgACAAIAAgACAAIAAgAFwAIgBRAF8AZwBcACIALAAgAFwAIgB0AG8AdABhAGwAIABxAHUAYQBuAHQAaQB0AHkAIABvAGYAIABnAHIAbwB3ACAAbQBlAGQAaQBhACAAdAB5AHAAZQAgAGcAXAAiACwAIABcACIAawBnACAAbwByACAAbQAzAFwAIgAsACAAXAAiAEkAbgBwAHUAdABcACIAOwBcAG4AIAAgACAAIAAgACAAIAAgACAAIABcACIARQBGAF8AZwBcACIALAAgAFwAIgBlAG0AaQBzAHMAaQBvAG4AIABmAGEAYwB0AG8AcgAgAGYAbwByACAAZwByAG8AdwAgAG0AZQBkAGkAYQAgAHQAeQBwAGUAIABnAFwAIgAsACAAXAAiAGsAZwAgAEMATwAyAGUALwBrAGcAIABvAHIAIABrAGcAIABDAE8AMgBlAC8AbQAzAFwAIgAsACAAXAAiAEMAbwBuAHMAdABhAG4AdABcACIAOwBcAG4AIAAgACAAIAAgACAAIAAgACAAIABcACIAZwBcACIALAAgAFwAIgBnAHIAbwB3ACAAbQBlAGQAaQBh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wAF8AMQBfADEAXwBfADEAXwBPAHQAaABlAHIAUAB1AHIAYwBoAGEAcwBlAGQARwBvAG8AZABzAEEAbgBkAFMAZQByAHYAaQBjAGUAcwBcAG4ATwB0AGgAZQByACAAcAB1AHIAYwBoAGEAcwBlAGQAIABnAG8AbwBkAHMAIABhAG4AZAAgAHMAZQByAHYAaQBjAGUAcwAgAGcAZQBuAGUAcgBpAGMAIABlAHMAdABpAG0AYQB0AGUAXABuAGUAbQBpAHMAcwBpAG8AbgBzAFwAbgB0ACAAQwBPADIAZQBcAG4AZQBtAGkAcwBzAGkAbwBuAHMAPQBhAGMAdABpAHYAaQB0AHkAXwBkAGEAdABhAFwAXAB0AGkAbQBlAHMAIABlAG0AaQBzAHMAaQBvAG4AXwBmAGEAYwB0AG8AcgBcAG4AYQBjAHQAaQB2AGkAdAB5AF8AZABhAHQAYQAgAD0AIABtAGUAYQBzAHUAcgBlAGQAIABhAGMAdABpAHYAaQB0AHkAIABmAG8AcgAgAHQAaABlACAAcAB1AHIAYwBoAGEAcwBlAGQAIABnAG8AbwBkACAAbwByACAAcwBlAHIAdgBpAGMAZQBcAG4AZQBtAGkAcwBzAGkAbwBuAF8AZgBhAGMAdABvAHIAIAA9ACAAbABpAGYAZQBjAHkAYwBsAGUAIABlAG0AaQBzAHMAaQBvAG4AcwAgAHAAZQByACAAdQBuAGkAdAAgAG8AZgAgAGEAYwB0AGkAdgBpAHQAeQBcAG4ALQAtAC0ALQAtAC0ALQAtAC0ALQAtAC0ALQAtAC0ALQAtAC0ALQAtAC0ALQAtAC0ALQAtAC0ALQAtAC0ALQAtAC0ALQAtAC0ALQAtAFwAbgAqAC8AXABuAFwAbgBWAEUARQBSAEcAXwAxADUAXwAxADAAXwAxAF8AMQBfAF8AMQBfAE8AdABoAGUAcgBQAHUAcgBjAGgAYQBzAGUAZABHAG8AbwBkAHMAQQBuAGQAUwBlAHIAdgBpAGMAZQBzAFwAbgAgACAAPQBMAEEATQBCAEQAQQAoAFwAbgAgACAAIAAgAGEAYwB0AGkAdgBpAHQAeQBfAGQAYQB0AGEALAAgAGUAbQBpAHMAcwBpAG8AbgBfAGYAYQBjAHQAbwByACwAXABuACAAIAAgACAAYQBjAHQAaQB2AGkAdAB5AF8AZABhAHQAYQAgACoAIABlAG0AaQBzAHMAaQBvAG4AXwBmAGEAYwB0AG8AcgBcAG4AIAAgACkAOwBcAG4AXABuAFYARQBFAFIARwBfADEANQBfADEAMABfADEAXwAxAF8AXwAxAF8ATwB0AGgAZQByAFAAdQByAGMAaABhAHMAZQBkAEcAbwBvAGQAcwBBAG4AZABTAGUAcgB2AGkAYwBlAHMAXwBUAGkAdABsAGUAXABuACAAIAA9AEwAQQBNAEIARABBACgAXAAiAE8AdABoAGUAcgAgAHAAdQByAGMAaABhAHMAZQBkACAAZwBvAG8AZABzACAAYQBuAGQAIABzAGUAcgB2AGkAYwBlAHMAIABnAGUAbgBlAHIAaQBjACAAZQBzAHQAaQBtAGEAdABlAFwAIgApADsAXABuAFwAbgBWAEUARQBSAEcAXwAxADUAXwAxADAAXwAxAF8AMQBfAF8AMQBfAE8AdABoAGUAcgBQAHUAcgBjAGgAYQBzAGUAZABHAG8AbwBkAHMAQQBuAGQAUwBlAHIAdgBpAGMAZQBzAF8AVgBhAHIAaQBhAGIAbABlAFwAbgAgACAAPQBMAEEATQBCAEQAQQAoAFwAIgBlAG0AaQBzAHMAaQBvAG4AcwBcACIAKQA7AFwAbgBcAG4AVgBFAEUAUgBHAF8AMQA1AF8AMQAwAF8AMQBfADEAXwBfADEAXwBPAHQAaABlAHIAUAB1AHIAYwBoAGEAcwBlAGQARwBvAG8AZABzAEEAbgBkAFMAZQByAHYAaQBjAGUAcwBfAFUAbgBpAHQAXABuACAAIAA9AEwAQQBNAEIARABBACgAXAAiAHQAIABDAE8AMgBlAFwAIgApADsAXABuAFwAbgBWAEUARQBSAEcAXwAxADUAXwAxADAAXwAxAF8AMQBfAF8AMQBfAE8AdABoAGUAcgBQAHUAcgBjAGgAYQBzAGUAZABHAG8AbwBkAHMAQQBuAGQAUwBlAHIAdgBpAGMAZQBzAF8AUwBvAHUAcgBjAGUAXABuACAAIAA9AEwAQQBNAEIARABBACgAXAAiAFYARQBFAFIARwAgADIAMAAyADYAOgAgADEANQAuADEAMAAsACAAZwBlAG4AZQByAGkAYwAgAHAAbABhAGMAZQBoAG8AbABkAGUAcgAgAGUAcQB1AGEAdABpAG8AbgBcACIAKQA7AFwAbgBcAG4AVgBFAEUAUgBHAF8AMQA1AF8AMQAwAF8AMQBfADEAXwBfADEAXwBPAHQAaABlAHIAUAB1AHIAYwBoAGEAcwBlAGQARwBvAG8AZABzAEEAbgBkAFMAZQByAHYAaQBjAGUAcwBfAE4ASQBSAFIAZQBmAGUAcgBlAG4AYwBlAFwAbgAgACAAPQBMAEEATQBCAEQAQQAoAFwAIgBcACIAKQA7AFwAbgBcAG4AVgBFAEUAUgBHAF8AMQA1AF8AMQAwAF8AMQBfADEAXwBfADEAXwBPAHQAaABlAHIAUAB1AHIAYwBoAGEAcwBlAGQARwBvAG8AZABzAEEAbgBkAFMAZQByAHYAaQBjAGUAcwBfAEwAYQB0AGUAeABFAHEAdQBhAHQAaQBvAG4AXABuACAAIAA9AEwAQQBNAEIARABBACgAXAAiAGUAbQBpAHMAcwBpAG8AbgBzAD0AYQBjAHQAaQB2AGkAdAB5AFwAXABfAGQAYQB0AGEAXABcAHQAaQBtAGUAcwAgAGUAbQBpAHMAcwBpAG8AbgBcAFwAXwBmAGEAYwB0AG8AcgBcACIAKQA7AFwAbgBcAG4AVgBFAEUAUgBHAF8AMQA1AF8AMQAwAF8AMQBfADEAXwBfADEAXwBPAHQAaABlAHIAUAB1AHIAYwBoAGEAcwBlAGQARwBvAG8AZABzAEEAbgBkAFMAZQByAHYAaQBjAGUAcwBfAEEAcgBnAHUAbQBlAG4AdABzAFwAbgAgACAAPQBMAEEATQBCAEQAQQAoAFwAbgAgACAAIAAgAE0AQQBLAEUAQQBSAFIAQQBZACgAMgAsACAANAAsAFwAbgAgACAAIAAgACAAIABMAEEATQBCAEQAQQAoAHIALABjACwAXABuACAAIAAgACAAIAAgACAAIABJAE4ARABFAFgAKAB7AFwAbgAgACAAIAAgACAAIAAgACAAIAAgAFwAIgBhAGMAdABpAHYAaQB0AHkAXwBkAGEAdABhAFwAIgAsACAAXAAiAG0AZQBhAHMAdQByAGUAZAAgAGEAYwB0AGkAdgBpAHQAeQAgAGYAbwByACAAdABoAGUAIABwAHUAcgBjAGgAYQBzAGUAZAAgAGcAbwBvAGQAIABvAHIAIABzAGUAcgB2AGkAYwBlAFwAIgAsACAAXAAiAHYAYQByAGkAZQBzAFwAIgAsACAAXAAiAEkAbgBwAHUAdABcACIAOwBcAG4AIAAgACAAIAAgACAAIAAgACAAIABcACIAZQBtAGkAcwBzAGkAbwBuAF8AZgBhAGMAdABvAHIAXAAiACwAIABcACIAbABpAGYAZQBjAHkAYwBsAGUAIABlAG0AaQBzAHMAaQBvAG4AcwAgAHAAZQByACAAdQBuAGkAdAAgAG8AZgAgAGEAYwB0AGkAdgBpAHQAeQBcACIALAAgAFwAIgB2AGEAcgBpAGUAc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EAXwBUAG8AdABhAGwAVQBwAHMAdAByAGUAYQBtAEUAbQBpAHMAcwBpAG8AbgBzAEYAcgBvAG0ARgB1AGUAbABcAG4AVABvAHQAYQBsACAAdQBwAHMAdAByAGUAYQBtACAAZQBtAGkAcwBzAGkAbwBuAHMAIABmAHIAbwBtACAAcwBjAG8AcABlACAAMQAgAGYAdQBlAGwAIABjAG8AbgBzAHUAbQBwAHQAaQBvAG4AXABuAEUAXABuAHQAIABDAE8AMgBlAFwAbgBFAD0AXABcAHMAdQBtAFwAXABuAG8AbABpAG0AaQB0AHMAXwBxAEUAXwB7AFcAVABUACwAdAByAGEAbgBzACwAcQB9ACsAXABcAHMAdQBtAFwAXABuAG8AbABpAG0AaQB0AHMAXwBxAEUAXwB7AFcAVABUACwAUwBDACwAcQB9AFwAbgBFAF8AVwBUAFQAdAByAGEAbgBzAHEAIAA9ACAAdQBwAHMAdAByAGUAYQBtACAAZQBtAGkAcwBzAGkAbwBuAHMAIABmAHIAbwBtACAAcwBjAG8AcABlACAAMQAgAHQAcgBhAG4AcwBwAG8AcgB0ACAAZgB1AGUAbAAgAHUAcwBlAFwAbgBFAF8AVwBUAFQAUwBDAHEAIAA9ACAAdQBwAHMAdAByAGUAYQBtACAAZQBtAGkAcwBzAGkAbwBuAHMAIABmAHIAbwBtACAAcwBjAG8AcABlACAAMQAgAHMAdABhAHQAaQBvAG4AYQByAHkAIABjAG8AbQBiAHUAcwB0AGkAbwBuACAAZgB1AGUAbAAgAHUAcwBlAFwAbgAtAC0ALQAtAC0ALQAtAC0ALQAtAC0ALQAtAC0ALQAtAC0ALQAtAC0ALQAtAC0ALQAtAC0ALQAtAC0ALQAtAC0ALQAtAC0ALQAtAC0AXABuACoALwBcAG4AXABuAFYARQBFAFIARwBfADEANQBfADEAMQBfADEAXwAxAF8AXwAxAF8AVABvAHQAYQBsAFUAcABzAHQAcgBlAGEAbQBFAG0AaQBzAHMAaQBvAG4AcwBGAHIAbwBtAEYAdQBlAGwAXABuACAAIAA9AEwAQQBNAEIARABBACgAXABuACAAIAAgACAARQBfAFcAVABUAHQAcgBhAG4AcwBxACwAIABFAF8AVwBUAFQAUwBDAHEALABcAG4AIAAgACAAIABFAF8AVwBUAFQAdAByAGEAbgBzAHEAIAArACAARQBfAFcAVABUAFMAQwBxAFwAbgAgACAAKQA7AFwAbgBcAG4AVgBFAEUAUgBHAF8AMQA1AF8AMQAxAF8AMQBfADEAXwBfADEAXwBUAG8AdABhAGwAVQBwAHMAdAByAGUAYQBtAEUAbQBpAHMAcwBpAG8AbgBzAEYAcgBvAG0ARgB1AGUAbABfAFQAaQB0AGwAZQBcAG4AIAAgAD0ATABBAE0AQgBEAEEAKABcACIAVABvAHQAYQBsACAAdQBwAHMAdAByAGUAYQBtACAAZQBtAGkAcwBzAGkAbwBuAHMAIABmAHIAbwBtACAAcwBjAG8AcABlACAAMQAgAGYAdQBlAGwAIABjAG8AbgBzAHUAbQBwAHQAaQBvAG4AXAAiACkAOwBcAG4AXABuAFYARQBFAFIARwBfADEANQBfADEAMQBfADEAXwAxAF8AXwAxAF8AVABvAHQAYQBsAFUAcABzAHQAcgBlAGEAbQBFAG0AaQBzAHMAaQBvAG4AcwBGAHIAbwBtAEYAdQBlAGwAXwBWAGEAcgBpAGEAYgBsAGUAXABuACAAIAA9AEwAQQBNAEIARABBACgAXAAiAEUAXAAiACkAOwBcAG4AXABuAFYARQBFAFIARwBfADEANQBfADEAMQBfADEAXwAxAF8AXwAxAF8AVABvAHQAYQBsAFUAcABzAHQAcgBlAGEAbQBFAG0AaQBzAHMAaQBvAG4AcwBGAHIAbwBtAEYAdQBlAGwAXwBVAG4AaQB0AFwAbgAgACAAPQBMAEEATQBCAEQAQQAoAFwAIgB0ACAAQwBPADIAZQBcACIAKQA7AFwAbgBcAG4AVgBFAEUAUgBHAF8AMQA1AF8AMQAxAF8AMQBfADEAXwBfADEAXwBUAG8AdABhAGwAVQBwAHMAdAByAGUAYQBtAEUAbQBpAHMAcwBpAG8AbgBzAEYAcgBvAG0ARgB1AGUAbABfAFMAbwB1AHIAYwBlAFwAbgAgACAAPQBMAEEATQBCAEQAQQAoAFwAIgBWAEUARQBSAEcAIAAyADAAMgA2ADoAIAAxADUALgAxADEALgAxAC4AMQAsACAARQBxAHUAYQB0AGkAbwBuACAAKAAxACkAXAAiACkAOwBcAG4AXABuAFYARQBFAFIARwBfADEANQBfADEAMQBfADEAXwAxAF8AXwAxAF8AVABvAHQAYQBsAFUAcABzAHQAcgBlAGEAbQBFAG0AaQBzAHMAaQBvAG4AcwBGAHIAbwBtAEYAdQBlAGwAXwBOAEkAUgBSAGUAZgBlAHIAZQBuAGMAZQBcAG4AIAAgAD0ATABBAE0AQgBEAEEAKABcACIAXAAiACkAOwBcAG4AXABuAFYARQBFAFIARwBfADEANQBfADEAMQBfADEAXwAxAF8AXwAxAF8AVABvAHQAYQBsAFUAcABzAHQAcgBlAGEAbQBFAG0AaQBzAHMAaQBvAG4AcwBGAHIAbwBtAEYAdQBlAGwAXwBMAGEAdABlAHgARQBxAHUAYQB0AGkAbwBuAFwAbgAgACAAPQBMAEEATQBCAEQAQQAoAFwAIgBFAD0AXABcAHMAdQBtAFwAXABuAG8AbABpAG0AaQB0AHMAXwBxAEUAXwB7AFcAVABUACwAdAByAGEAbgBzACwAcQB9ACsAXABcAHMAdQBtAFwAXABuAG8AbABpAG0AaQB0AHMAXwBxAEUAXwB7AFcAVABUACwAUwBDACwAcQB9AFwAIgApADsAXABuAFwAbgBWAEUARQBSAEcAXwAxADUAXwAxADEAXwAxAF8AMQBfAF8AMQBfAFQAbwB0AGEAbABVAHAAcwB0AHIAZQBhAG0ARQBtAGkAcwBzAGkAbwBuAHMARgByAG8AbQBGAHUAZQBsAF8AQQByAGcAdQBtAGUAbgB0AHMAXABuACAAIAA9AEwAQQBNAEIARABBACgAXABuACAAIAAgACAATQBBAEsARQBBAFIAUgBBAFkAKAAyACwAIAA0ACwAXABuACAAIAAgACAAIAAgAEwAQQBNAEIARABBACgAcgAsAGMALABcAG4AIAAgACAAIAAgACAAIAAgAEkATgBEAEUAWAAoAHsAXABuACAAIAAgACAAIAAgACAAIAAgACAAXAAiAEUAXwBXAFQAVAB0AHIAYQBuAHMAcQBcACIALAAgAFwAIgB1AHAAcwB0AHIAZQBhAG0AIABlAG0AaQBzAHMAaQBvAG4AcwAgAGYAcgBvAG0AIABzAGMAbwBwAGUAIAAxACAAdAByAGEAbgBzAHAAbwByAHQAIABmAHUAZQBsACAAdQBzAGUAXAAiACwAIABcACIAdAAgAEMATwAyAGUAXAAiACwAIABcACIAQwBhAGwAYwB1AGwAYQB0AGUAZAAgAGIAeQAgADEANQAuADEAMQAuADEALgAxACAAKAAyACkAXAAiADsAXABuACAAIAAgACAAIAAgACAAIAAgACAAXAAiAEUAXwBXAFQAVABTAEMAcQBcACIALAAgAFwAIgB1AHAAcwB0AHIAZQBhAG0AIABlAG0AaQBzAHMAaQBvAG4AcwAgAGYAcgBvAG0AIABzAGMAbwBwAGUAIAAxACAAcwB0AGEAdABpAG8AbgBhAHIAeQAgAGMAbwBtAGIAdQBzAHQAaQBvAG4AIABmAHUAZQBsACAAdQBzAGUAXAAiACwAIABcACIAdAAgAEMATwAyAGUAXAAiACwAIABcACIAQwBhAGwAYwB1AGwAYQB0AGUAZAAgAGIAeQAgADEANQAuADEAMQAuADEALgAxACAAKAAzACk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IAXwBVAHAAcwB0AHIAZQBhAG0AVAByAGEAbgBzAHAAbwByAHQARgB1AGUAbABFAG0AaQBzAHMAaQBvAG4AcwBcAG4AVQBwAHMAdAByAGUAYQBtACAAZQBtAGkAcwBzAGkAbwBuAHMAIABmAHIAbwBtACAAcwBjAG8AcABlACAAMQAgAGYAdQBlAGwAIAB1AHMAZQAgAGYAbwByACAAdAByAGEAbgBzAHAAbwByAHQAIABwAHUAcgBwAG8AcwBlAHMAXABuAEUAXwBXAFQAVAB0AHIAYQBuAHMAcQBcAG4AdAAgAEMATwAyAGUAXABuAEUAXwB7AFcAVABUACwAdAByAGEAbgBzACwAcQB9AD0AUQBfAHsAVAByAGEAbgBzACwAcQB9AFwAXAB0AGkAbQBlAHMAIABFAEMAXwB7AFQAcgBhAG4AcwAsAHEAfQBcAFwAdABpAG0AZQBzACAARQBGAF8AewBUAHIAYQBuAHMALAAzACwAcQB9AFwAXAB0AGkAbQBlAHMAIAAxADAAXgB7AC0AMwB9AFwAbgBRAF8AVAByAGEAbgBzAHEAIAA9ACAAYQBtAG8AdQBuAHQAIABvAGYAIABmAHUAZQBsACAAcQAgAGMAbwBtAGIAdQBzAHQAZQBkACAAZgBvAHIAIAB0AHIAYQBuAHMAcABvAHIAdAAgAGUAbgBlAHIAZwB5ACAAcAB1AHIAcABvAHMAZQBzAFwAbgBFAEMAXwBUAHIAYQBuAHMAcQAgAD0AIABlAG4AZQByAGcAeQAgAGMAbwBuAHQAZQBuAHQAIABmAGEAYwB0AG8AcgAgAGYAbwByACAAdAByAGEAbgBzAHAAbwByAHQAIABlAG4AZQByAGcAeQAgAHAAdQByAHAAbwBzAGUAcwBcAG4ARQBGAF8AVAByAGEAbgBzADMAcQAgAD0AIABzAGMAbwBwAGUAIAAzACAAZQBtAGkAcwBzAGkAbwBuACAAZgBhAGMAdABvAHIAIABmAG8AcgAgAHQAcgBhAG4AcwBwAG8AcgB0ACAAZQBuAGUAcgBnAHkAIABwAHUAcgBwAG8AcwBlAHMAXABuAC0ALQAtAC0ALQAtAC0ALQAtAC0ALQAtAC0ALQAtAC0ALQAtAC0ALQAtAC0ALQAtAC0ALQAtAC0ALQAtAC0ALQAtAC0ALQAtAC0ALQBcAG4AKgAvAFwAbgBcAG4AVgBFAEUAUgBHAF8AMQA1AF8AMQAxAF8AMQBfADEAXwBfADIAXwBVAHAAcwB0AHIAZQBhAG0AVAByAGEAbgBzAHAAbwByAHQARgB1AGUAbABFAG0AaQBzAHMAaQBvAG4AcwBcAG4AIAAgAD0ATABBAE0AQgBEAEEAKABcAG4AIAAgACAAIABRAF8AVAByAGEAbgBzAHEALAAgAEUAQwBfAFQAcgBhAG4AcwBxACwAIABFAEYAXwBUAHIAYQBuAHMAMwBxACwAXABuACAAIAAgACAAKABRAF8AVAByAGEAbgBzAHEAIAAqACAARQBDAF8AVAByAGEAbgBzAHEAIAAqACAARQBGAF8AVAByAGEAbgBzADMAcQApACAAKgAgADEAMAAgAF4AIAAtADMAXABuACAAIAApADsAXABuAFwAbgBWAEUARQBSAEcAXwAxADUAXwAxADEAXwAxAF8AMQBfAF8AMgBfAFUAcABzAHQAcgBlAGEAbQBUAHIAYQBuAHMAcABvAHIAdABGAHUAZQBsAEUAbQBpAHMAcwBpAG8AbgBzAF8AVABpAHQAbABlAFwAbgAgACAAPQBMAEEATQBCAEQAQQAoAFwAIgBVAHAAcwB0AHIAZQBhAG0AIABlAG0AaQBzAHMAaQBvAG4AcwAgAGYAcgBvAG0AIABzAGMAbwBwAGUAIAAxACAAZgB1AGUAbAAgAHUAcwBlACAAZgBvAHIAIAB0AHIAYQBuAHMAcABvAHIAdAAgAHAAdQByAHAAbwBzAGUAcwBcACIAKQA7AFwAbgBcAG4AVgBFAEUAUgBHAF8AMQA1AF8AMQAxAF8AMQBfADEAXwBfADIAXwBVAHAAcwB0AHIAZQBhAG0AVAByAGEAbgBzAHAAbwByAHQARgB1AGUAbABFAG0AaQBzAHMAaQBvAG4AcwBfAFYAYQByAGkAYQBiAGwAZQBcAG4AIAAgAD0ATABBAE0AQgBEAEEAKABcACIARQBfAFcAVABUAHQAcgBhAG4AcwBxAFwAIgApADsAXABuAFwAbgBWAEUARQBSAEcAXwAxADUAXwAxADEAXwAxAF8AMQBfAF8AMgBfAFUAcABzAHQAcgBlAGEAbQBUAHIAYQBuAHMAcABvAHIAdABGAHUAZQBsAEUAbQBpAHMAcwBpAG8AbgBzAF8AVQBuAGkAdABcAG4AIAAgAD0ATABBAE0AQgBEAEEAKABcACIAdAAgAEMATwAyAGUAXAAiACkAOwBcAG4AXABuAFYARQBFAFIARwBfADEANQBfADEAMQBfADEAXwAxAF8AXwAyAF8AVQBwAHMAdAByAGUAYQBtAFQAcgBhAG4AcwBwAG8AcgB0AEYAdQBlAGwARQBtAGkAcwBzAGkAbwBuAHMAXwBTAG8AdQByAGMAZQBcAG4AIAAgAD0ATABBAE0AQgBEAEEAKABcACIAVgBFAEUAUgBHACAAMgAwADIANgA6ACAAMQA1AC4AMQAxAC4AMQAuADEALAAgAEUAcQB1AGEAdABpAG8AbgAgACgAMgApAFwAIgApADsAXABuAFwAbgBWAEUARQBSAEcAXwAxADUAXwAxADEAXwAxAF8AMQBfAF8AMgBfAFUAcABzAHQAcgBlAGEAbQBUAHIAYQBuAHMAcABvAHIAdABGAHUAZQBsAEUAbQBpAHMAcwBpAG8AbgBzAF8ATgBJAFIAUgBlAGYAZQByAGUAbgBjAGUAXABuACAAIAA9AEwAQQBNAEIARABBACgAXAAiAFwAIgApADsAXABuAFwAbgBWAEUARQBSAEcAXwAxADUAXwAxADEAXwAxAF8AMQBfAF8AMgBfAFUAcABzAHQAcgBlAGEAbQBUAHIAYQBuAHMAcABvAHIAdABGAHUAZQBsAEUAbQBpAHMAcwBpAG8AbgBzAF8ATABhAHQAZQB4AEUAcQB1AGEAdABpAG8AbgBcAG4AIAAgAD0ATABBAE0AQgBEAEEAKABcACIARQBfAHsAVwBUAFQALAB0AHIAYQBuAHMALABxAH0APQBRAF8AewBUAHIAYQBuAHMALABxAH0AXABcAHQAaQBtAGUAcwAgAEUAQwBfAHsAVAByAGEAbgBzACwAcQB9AFwAXAB0AGkAbQBlAHMAIABFAEYAXwB7AFQAcgBhAG4AcwAsADMALABxAH0AXABcAHQAaQBtAGUAcwAgADEAMABeAHsALQAzAH0AXAAiACkAOwBcAG4AXABuAFYARQBFAFIARwBfADEANQBfADEAMQBfADEAXwAxAF8AXwAyAF8AVQBwAHMAdAByAGUAYQBtAFQAcgBhAG4AcwBwAG8AcgB0AEYAdQBlAGwARQBtAGkAcwBzAGkAbwBuAHMAXwBBAHIAZwB1AG0AZQBuAHQAcwBcAG4AIAAgAD0ATABBAE0AQgBEAEEAKABcAG4AIAAgACAAIABNAEEASwBFAEEAUgBSAEEAWQAoADMALAAgADQALABcAG4AIAAgACAAIAAgACAATABBAE0AQgBEAEEAKAByACwAYwAsAFwAbgAgACAAIAAgACAAIAAgACAASQBOAEQARQBYACgAewBcAG4AIAAgACAAIAAgACAAIAAgACAAIABcACIAUQBfAFQAcgBhAG4AcwBxAFwAIgAsACAAXAAiAGEAbQBvAHUAbgB0ACAAbwBmACAAZgB1AGUAbAAgAHEAIABjAG8AbQBiAHUAcwB0AGUAZAAgAGYAbwByACAAdAByAGEAbgBzAHAAbwByAHQAIABlAG4AZQByAGcAeQAgAHAAdQByAHAAbwBzAGUAcwBcACIALAAgAFwAIgBrAEwAXAAiACwAIABcACIASQBuAHAAdQB0AFwAIgA7AFwAbgAgACAAIAAgACAAIAAgACAAIAAgAFwAIgBFAEMAXwBUAHIAYQBuAHMAcQBcACIALAAgAFwAIgBlAG4AZQByAGcAeQAgAGMAbwBuAHQAZQBuAHQAIABmAGEAYwB0AG8AcgAgAGYAbwByACAAdAByAGEAbgBzAHAAbwByAHQAIABlAG4AZQByAGcAeQAgAHAAdQByAHAAbwBzAGUAcwBcACIALAAgAFwAIgBHAEoALwBrAEwAIABvAHIAIABHAEoALwBtADMAXAAiACwAIABcACIAQwBvAG4AcwB0AGEAbgB0AFwAIgA7AFwAbgAgACAAIAAgACAAIAAgACAAIAAgAFwAIgBFAEYAXwBUAHIAYQBuAHMAMwBxAFwAIgAsACAAXAAiAHMAYwBvAHAAZQAgADMAIABlAG0AaQBzAHMAaQBvAG4AIABmAGEAYwB0AG8AcgAgAGYAbwByACAAdAByAGEAbgBzAHAAbwByAHQAIABlAG4AZQByAGcAeQAgAHAAdQByAHAAbwBzAGUAcwBcACIALAAgAFwAIgBrAGcAIABDAE8AMgBlAC8ARwBK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wBfAFUAcABzAHQAcgBlAGEAbQBTAHQAYQB0AGkAbwBuAGEAcgB5AEYAdQBlAGwARQBtAGkAcwBzAGkAbwBuAHMAXABuAFUAcABzAHQAcgBlAGEAbQAgAGUAbQBpAHMAcwBpAG8AbgBzACAAZgByAG8AbQAgAHMAYwBvAHAAZQAgADEAIABzAHQAYQB0AGkAbwBuAGEAcgB5ACAAYwBvAG0AYgB1AHMAdABpAG8AbgAgAGYAdQBlAGwAIAB1AHMAZQBcAG4ARQBfAFcAVABUAFMAQwBxAFwAbgB0ACAAQwBPADIAZQBcAG4ARQBfAHsAVwBUAFQALABTAEMALABxAH0APQBRAF8AewBTAEMALABxAH0AXABcAHQAaQBtAGUAcwAgAEUAQwBfAHsAUwBDACwAcQB9AFwAXAB0AGkAbQBlAHMAIABFAEYAXwB7AFMAQwAsADMALABxAH0AXABcAHQAaQBtAGUAcwAgADEAMABeAHsALQAzAH0AXABuAFEAXwBTAEMAcQAgAD0AIABhAG0AbwB1AG4AdAAgAG8AZgAgAGYAdQBlAGwAIABxACAAdQBzAGUAZAAgAGYAbwByACAAcwB0AGEAdABpAG8AbgBhAHIAeQAgAGMAbwBtAGIAdQBzAHQAaQBvAG4AIABvAHAAZQByAGEAdABpAG8AbgBzAFwAbgBFAEMAXwBTAEMAcQAgAD0AIABlAG4AZQByAGcAeQAgAGMAbwBuAHQAZQBuAHQAIABmAGEAYwB0AG8AcgAgAGYAbwByACAAcwB0AGEAdABpAG8AbgBhAHIAeQAgAGMAbwBtAGIAdQBzAHQAaQBvAG4AIABvAHAAZQByAGEAdABpAG8AbgBzAFwAbgBFAEYAXwBTAEMAMwBxACAAPQAgAHMAYwBvAHAAZQAgADMAIABlAG0AaQBzAHMAaQBvAG4AIABmAGEAYwB0AG8AcgAgAGYAbwByACAAcwB0AGEAdABpAG8AbgBhAHIAeQAgAGMAbwBtAGIAdQBzAHQAaQBvAG4AIABvAHAAZQByAGEAdABpAG8AbgBzAFwAbgAtAC0ALQAtAC0ALQAtAC0ALQAtAC0ALQAtAC0ALQAtAC0ALQAtAC0ALQAtAC0ALQAtAC0ALQAtAC0ALQAtAC0ALQAtAC0ALQAtAC0AXABuACoALwBcAG4AXABuAFYARQBFAFIARwBfADEANQBfADEAMQBfADEAXwAxAF8AXwAzAF8AVQBwAHMAdAByAGUAYQBtAFMAdABhAHQAaQBvAG4AYQByAHkARgB1AGUAbABFAG0AaQBzAHMAaQBvAG4AcwBcAG4AIAAgAD0ATABBAE0AQgBEAEEAKABcAG4AIAAgACAAIABRAF8AUwBDAHEALAAgAEUAQwBfAFMAQwBxACwAIABFAEYAXwBTAEMAMwBxACwAXABuACAAIAAgACAAKABRAF8AUwBDAHEAIAAqACAARQBDAF8AUwBDAHEAIAAqACAARQBGAF8AUwBDADMAcQApACAAKgAgADEAMAAgAF4AIAAtADMAXABuACAAIAApADsAXABuAFwAbgBWAEUARQBSAEcAXwAxADUAXwAxADEAXwAxAF8AMQBfAF8AMwBfAFUAcABzAHQAcgBlAGEAbQBTAHQAYQB0AGkAbwBuAGEAcgB5AEYAdQBlAGwARQBtAGkAcwBzAGkAbwBuAHMAXwBUAGkAdABsAGUAXABuACAAIAA9AEwAQQBNAEIARABBACgAXAAiAFUAcABzAHQAcgBlAGEAbQAgAGUAbQBpAHMAcwBpAG8AbgBzACAAZgByAG8AbQAgAHMAYwBvAHAAZQAgADEAIABzAHQAYQB0AGkAbwBuAGEAcgB5ACAAYwBvAG0AYgB1AHMAdABpAG8AbgAgAGYAdQBlAGwAIAB1AHMAZQBcACIAKQA7AFwAbgBcAG4AVgBFAEUAUgBHAF8AMQA1AF8AMQAxAF8AMQBfADEAXwBfADMAXwBVAHAAcwB0AHIAZQBhAG0AUwB0AGEAdABpAG8AbgBhAHIAeQBGAHUAZQBsAEUAbQBpAHMAcwBpAG8AbgBzAF8AVgBhAHIAaQBhAGIAbABlAFwAbgAgACAAPQBMAEEATQBCAEQAQQAoAFwAIgBFAF8AVwBUAFQAUwBDAHEAXAAiACkAOwBcAG4AXABuAFYARQBFAFIARwBfADEANQBfADEAMQBfADEAXwAxAF8AXwAzAF8AVQBwAHMAdAByAGUAYQBtAFMAdABhAHQAaQBvAG4AYQByAHkARgB1AGUAbABFAG0AaQBzAHMAaQBvAG4AcwBfAFUAbgBpAHQAXABuACAAIAA9AEwAQQBNAEIARABBACgAXAAiAHQAIABDAE8AMgBlAFwAIgApADsAXABuAFwAbgBWAEUARQBSAEcAXwAxADUAXwAxADEAXwAxAF8AMQBfAF8AMwBfAFUAcABzAHQAcgBlAGEAbQBTAHQAYQB0AGkAbwBuAGEAcgB5AEYAdQBlAGwARQBtAGkAcwBzAGkAbwBuAHMAXwBTAG8AdQByAGMAZQBcAG4AIAAgAD0ATABBAE0AQgBEAEEAKABcACIAVgBFAEUAUgBHACAAMgAwADIANgA6ACAAMQA1AC4AMQAxAC4AMQAuADEALAAgAEUAcQB1AGEAdABpAG8AbgAgACgAMwApAFwAIgApADsAXABuAFwAbgBWAEUARQBSAEcAXwAxADUAXwAxADEAXwAxAF8AMQBfAF8AMwBfAFUAcABzAHQAcgBlAGEAbQBTAHQAYQB0AGkAbwBuAGEAcgB5AEYAdQBlAGwARQBtAGkAcwBzAGkAbwBuAHMAXwBOAEkAUgBSAGUAZgBlAHIAZQBuAGMAZQBcAG4AIAAgAD0ATABBAE0AQgBEAEEAKABcACIAXAAiACkAOwBcAG4AXABuAFYARQBFAFIARwBfADEANQBfADEAMQBfADEAXwAxAF8AXwAzAF8AVQBwAHMAdAByAGUAYQBtAFMAdABhAHQAaQBvAG4AYQByAHkARgB1AGUAbABFAG0AaQBzAHMAaQBvAG4AcwBfAEwAYQB0AGUAeABFAHEAdQBhAHQAaQBvAG4AXABuACAAIAA9AEwAQQBNAEIARABBACgAXAAiAEUAXwB7AFcAVABUACwAUwBDACwAcQB9AD0AUQBfAHsAUwBDACwAcQB9AFwAXAB0AGkAbQBlAHMAIABFAEMAXwB7AFMAQwAsAHEAfQBcAFwAdABpAG0AZQBzACAARQBGAF8AewBTAEMALAAzACwAcQB9AFwAXAB0AGkAbQBlAHMAIAAxADAAXgB7AC0AMwB9AFwAIgApADsAXABuAFwAbgBWAEUARQBSAEcAXwAxADUAXwAxADEAXwAxAF8AMQBfAF8AMwBfAFUAcABzAHQAcgBlAGEAbQBTAHQAYQB0AGkAbwBuAGEAcgB5AEYAdQBlAGwARQBtAGkAcwBzAGkAbwBuAHMAXwBBAHIAZwB1AG0AZQBuAHQAcwBcAG4AIAAgAD0ATABBAE0AQgBEAEEAKABcAG4AIAAgACAAIABNAEEASwBFAEEAUgBSAEEAWQAoADUALAAgADQALABcAG4AIAAgACAAIAAgACAATABBAE0AQgBEAEEAKAByACwAYwAsAFwAbgAgACAAIAAgACAAIAAgACAASQBOAEQARQBYACgAewBcAG4AIAAgACAAIAAgACAAIAAgACAAIABcACIAUQBfAFMAQwBxAFwAIgAsACAAXAAiAGEAbQBvAHUAbgB0ACAAbwBmACAAZgB1AGUAbAAgAHEAIAB1AHMAZQBkACAAZgBvAHIAIABzAHQAYQB0AGkAbwBuAGEAcgB5ACAAYwBvAG0AYgB1AHMAdABpAG8AbgAgAG8AcABlAHIAYQB0AGkAbwBuAHMAXAAiACwAIABcACIAawBMAFwAIgAsACAAXAAiAEkAbgBwAHUAdABcACIAOwBcAG4AIAAgACAAIAAgACAAIAAgACAAIABcACIARQBDAF8AUwBDAHEAXAAiACwAIABcACIAZQBuAGUAcgBnAHkAIABjAG8AbgB0AGUAbgB0ACAAZgBhAGMAdABvAHIAIABmAG8AcgAgAHMAdABhAHQAaQBvAG4AYQByAHkAIABjAG8AbQBiAHUAcwB0AGkAbwBuACAAbwBwAGUAcgBhAHQAaQBvAG4AcwBcACIALAAgAFwAIgBHAEoALwBrAEwAXAAiACwAIABcACIAQwBvAG4AcwB0AGEAbgB0AFwAIgA7AFwAbgAgACAAIAAgACAAIAAgACAAIAAgAFwAIgBFAEYAXwBTAEMAMwBxAFwAIgAsACAAXAAiAHMAYwBvAHAAZQAgADMAIABlAG0AaQBzAHMAaQBvAG4AIABmAGEAYwB0AG8AcgAgAGYAbwByACAAcwB0AGEAdABpAG8AbgBhAHIAeQAgAGMAbwBtAGIAdQBzAHQAaQBvAG4AIABvAHAAZQByAGEAdABpAG8AbgBzAFwAIgAsACAAXAAiAGsAZwAgAEMATwAyAGUALwBHAEoAXAAiACwAIABcACIAQwBvAG4AcwB0AGEAbgB0AFwAIgA7AFwAbgAgACAAIAAgACAAIAAgACAAIAAgAFwAIgBpAFwAIgAsACAAXAAiAHMAdABhAHQAZQBcACIALAAgAFwAIgBcACIALAAgAFwAIgBJAG4AcAB1AHQAXAAiADsAXABuACAAIAAgACAAIAAgACAAIAAgACAAXAAiAG0AXAAiACwAIABcACIAbQBlAHQAcgBvAHAAbwBsAGkAdABhAG4ALwBuAG8AbgAtAG0AZQB0AHIAbwBwAG8AbABpAHQAYQBuACAAbABvAGMAYQB0AGkAbwBuAFwAIgAsACAAXAAiAFwAIgAsACAAXAAiAEkAbgBwAHUAdABcACIAXABuACAAIAAgACAAIAAgACAAIAB9ACwAIAByACwAIABjACkAXABuACAAIAAgACAAIAAgACkAXABuACAAIAAgACAAKQBcAG4AIAAgACkAOwBcAG4AXABuAFYARQBFAFIARwBfADEANQBfADEAMQBfADEAXwAxAF8AXwAzAF8AVQBwAHMAdAByAGUAYQBtAFMAdABhAHQAaQBvAG4AYQByAHkARgB1AGUAbABFAG0AaQBzAHMAaQBvAG4AcwBfAFYAYQByAGkAYQB0AGkAbwBuAFwAbgAgACAAPQBMAEEATQBCAEQAQQAoAFwAIgBWAEEAUgBJAEEAVABJAE8ATgAgAE8ATgAgAFMATwBVAFIAQwBFADoAIABBAGQAZABlAGQAIABcAHUAMAAwADIANwBzAHQAYQB0AGUAXAB1ADAAMAAyADcAIABhAG4AZAAgAFwAdQAwADAAMgA3AG0AZQB0AHIAbwAvAG4AbwBuAC0AbQBlAHQAcgBvAFwAdQAwADAAMgA3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QQBuAGkAbQBhAGwAc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ABpAHYAZQBzAHQAbwBjAGsAXwBWAGEAcgBpAGEAdABpAG8AbgBcAG4APQBMAEEATQBCAEQAQQAoACgAXAAiAFwAIgApACkAOwBcAG4AXABuAFMAYwBvAHAAZQAzAF8ATABpAHYAZQBzAHQAbwBjAGsAXwBEAGEAdABhAFwAbgA9AEwAQQBNAEIARABBACgAXABuACAAIABNAEEASwBFAEEAUgBSAEEAWQAoADQAM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EAbgBpAG0AYQBsAHMAXAAiACwAIABcACIAQgBlAGUAZgAgAGMAYQB0AHQAbABlAFwAIgAsACAAXAAiAEMAYQB0AHQAbABlACwAIABmAG8AcgAgAG0AYQBuAHUAZgBhAGMAdAB1AHIAaQBuAGcAIABiAGUAZQBmAFwAIgAsACAAXAAiAEEAdQBzAHQAcgBhAGwAaQBhAFwAIgAsACAAXAAiAGsAZwAgAGwAaQB2AGUAdwBlAGkAZwBoAHQAXAAiACwAIAAxADEALAAgAFwAIgBhAHQAIABtAGEAcgBrAGUAdABcACIAOwBcAG4AIAAgACAAIAAgACAAIAAgAFwAIgBBAG4AaQBtAGEAbABzAFwAIgAsACAAXAAiAEIAZQBlAGYAIABjAGEAdAB0AGwAZQBcACIALAAgAFwAIgBDAGEAdAB0AGwAZQAsACAAZgBvAHIAIABtAGEAbgB1AGYAYQBjAHQAdQByAGkAbgBnACAAYgBlAGUAZgBcACIALAAgAFwAIgBOAFMAVwBcACIALAAgAFwAIgBrAGcAIABsAGkAdgBlAHcAZQBpAGcAaAB0AFwAIgAsACAAOAAuADIAMQAsACAAXAAiAGEAdAAgAG0AYQByAGsAZQB0AFwAIgA7AFwAbgAgACAAIAAgACAAIAAgACAAXAAiAEEAbgBpAG0AYQBsAHMAXAAiACwAIABcACIAQgBlAGUAZgAgAGMAYQB0AHQAbABlAFwAIgAsACAAXAAiAEMAYQB0AHQAbABlACwAIABmAG8AcgAgAG0AYQBuAHUAZgBhAGMAdAB1AHIAaQBuAGcAIABiAGUAZQBmAFwAIgAsACAAXAAiAE4AVABcACIALAAgAFwAIgBrAGcAIABsAGkAdgBlAHcAZQBpAGcAaAB0AFwAIgAsACAAMQAyAC4AMgAsACAAXAAiAGEAdAAgAG0AYQByAGsAZQB0AFwAIgA7AFwAbgAgACAAIAAgACAAIAAgACAAXAAiAEEAbgBpAG0AYQBsAHMAXAAiACwAIABcACIAQgBlAGUAZgAgAGMAYQB0AHQAbABlAFwAIgAsACAAXAAiAEMAYQB0AHQAbABlACwAIABmAG8AcgAgAG0AYQBuAHUAZgBhAGMAdAB1AHIAaQBuAGcAIABiAGUAZQBmAFwAIgAsACAAXAAiAFEATABEAFwAIgAsACAAXAAiAGsAZwAgAGwAaQB2AGUAdwBlAGkAZwBoAHQAXAAiACwAIAAxADAALgA5ACwAIABcACIAYQB0ACAAbQBhAHIAawBlAHQAXAAiADsAXABuACAAIAAgACAAIAAgACAAIABcACIAQQBuAGkAbQBhAGwAcwBcACIALAAgAFwAIgBCAGUAZQBmACAAYwBhAHQAdABsAGUAXAAiACwAIABcACIAQwBhAHQAdABsAGUALAAgAGYAbwByACAAbQBhAG4AdQBmAGEAYwB0AHUAcgBpAG4AZwAgAGIAZQBlAGYAXAAiACwAIABcACIAUwBBAFwAIgAsACAAXAAiAGsAZwAgAGwAaQB2AGUAdwBlAGkAZwBoAHQAXAAiACwAIAA3AC4ANgAzACwAIABcACIAYQB0ACAAbQBhAHIAawBlAHQAXAAiADsAXABuACAAIAAgACAAIAAgACAAIABcACIAQQBuAGkAbQBhAGwAcwBcACIALAAgAFwAIgBCAGUAZQBmACAAYwBhAHQAdABsAGUAXAAiACwAIABcACIAQwBhAHQAdABsAGUALAAgAGYAbwByACAAbQBhAG4AdQBmAGEAYwB0AHUAcgBpAG4AZwAgAGIAZQBlAGYAXAAiACwAIABcACIAVABBAFMAXAAiACwAIABcACIAawBnACAAbABpAHYAZQB3AGUAaQBnAGgAdABcACIALAAgADgALgA3ADUALAAgAFwAIgBhAHQAIABtAGEAcgBrAGUAdABcACIAOwBcAG4AIAAgACAAIAAgACAAIAAgAFwAIgBBAG4AaQBtAGEAbABzAFwAIgAsACAAXAAiAEIAZQBlAGYAIABjAGEAdAB0AGwAZQBcACIALAAgAFwAIgBDAGEAdAB0AGwAZQAsACAAZgBvAHIAIABtAGEAbgB1AGYAYQBjAHQAdQByAGkAbgBnACAAYgBlAGUAZgBcACIALAAgAFwAIgBWAEkAQwBcACIALAAgAFwAIgBrAGcAIABsAGkAdgBlAHcAZQBpAGcAaAB0AFwAIgAsACAAOAAuADEANwAsACAAXAAiAGEAdAAgAG0AYQByAGsAZQB0AFwAIgA7AFwAbgAgACAAIAAgACAAIAAgACAAXAAiAEEAbgBpAG0AYQBsAHMAXAAiACwAIABcACIAQgBlAGUAZgAgAGMAYQB0AHQAbABlAFwAIgAsACAAXAAiAEMAYQB0AHQAbABlACwAIABmAG8AcgAgAG0AYQBuAHUAZgBhAGMAdAB1AHIAaQBuAGcAIABiAGUAZQBmAFwAIgAsACAAXAAiAFcAQQBcACIALAAgAFwAIgBrAGcAIABsAGkAdgBlAHcAZQBpAGcAaAB0AFwAIgAsACAAMQAzAC4AMQAsACAAXAAiAGEAdAAgAG0AYQByAGsAZQB0AFwAIgA7AFwAbgAgACAAIAAgACAAIAAgACAAXAAiAEEAbgBpAG0AYQBsAHMAXAAiACwAIABcACIAQgBlAGUAZgAgAGMAYQB0AHQAbABlAFwAIgAsACAAXAAiAEMAYQB0AHQAbABlACwAIABmAG8AcgAgAHAAcgBpAG0AZQAgAGIAZQBlAGYAXAAiACwAIABcACIAQQB1AHMAdAByAGEAbABpAGEAXAAiACwAIABcACIAawBnACAAbABpAHYAZQB3AGUAaQBnAGgAdABcACIALAAgADEANAAuADUALAAgAFwAIgBhAHQAIABtAGEAcgBrAGUAdABcACIAOwBcAG4AIAAgACAAIAAgACAAIAAgAFwAIgBBAG4AaQBtAGEAbABzAFwAIgAsACAAXAAiAEIAZQBlAGYAIABjAGEAdAB0AGwAZQBcACIALAAgAFwAIgBDAGEAdAB0AGwAZQAsACAAZgBvAHIAIABwAHIAaQBtAGUAIABiAGUAZQBmAFwAIgAsACAAXAAiAE4AUwBXAFwAIgAsACAAXAAiAGsAZwAgAGwAaQB2AGUAdwBlAGkAZwBoAHQAXAAiACwAIAAxADEALgAzACwAIABcACIAYQB0ACAAbQBhAHIAawBlAHQAXAAiADsAXABuACAAIAAgACAAIAAgACAAIABcACIAQQBuAGkAbQBhAGwAcwBcACIALAAgAFwAIgBCAGUAZQBmACAAYwBhAHQAdABsAGUAXAAiACwAIABcACIAQwBhAHQAdABsAGUALAAgAGYAbwByACAAcAByAGkAbQBlACAAYgBlAGUAZgBcACIALAAgAFwAIgBOAFQAXAAiACwAIABcACIAawBnACAAbABpAHYAZQB3AGUAaQBnAGgAdABcACIALAAgADEAOAAuADkALAAgAFwAIgBhAHQAIABtAGEAcgBrAGUAdABcACIAOwBcAG4AIAAgACAAIAAgACAAIAAgAFwAIgBBAG4AaQBtAGEAbABzAFwAIgAsACAAXAAiAEIAZQBlAGYAIABjAGEAdAB0AGwAZQBcACIALAAgAFwAIgBDAGEAdAB0AGwAZQAsACAAZgBvAHIAIABwAHIAaQBtAGUAIABiAGUAZQBmAFwAIgAsACAAXAAiAFEATABEAFwAIgAsACAAXAAiAGsAZwAgAGwAaQB2AGUAdwBlAGkAZwBoAHQAXAAiACwAIAAxADMALgA5ACwAIABcACIAYQB0ACAAbQBhAHIAawBlAHQAXAAiADsAXABuACAAIAAgACAAIAAgACAAIABcACIAQQBuAGkAbQBhAGwAcwBcACIALAAgAFwAIgBCAGUAZQBmACAAYwBhAHQAdABsAGUAXAAiACwAIABcACIAQwBhAHQAdABsAGUALAAgAGYAbwByACAAcAByAGkAbQBlACAAYgBlAGUAZgBcACIALAAgAFwAIgBTAEEAXAAiACwAIABcACIAawBnACAAbABpAHYAZQB3AGUAaQBnAGgAdABcACIALAAgADEAMgAuADMALAAgAFwAIgBhAHQAIABtAGEAcgBrAGUAdABcACIAOwBcAG4AIAAgACAAIAAgACAAIAAgAFwAIgBBAG4AaQBtAGEAbABzAFwAIgAsACAAXAAiAEIAZQBlAGYAIABjAGEAdAB0AGwAZQBcACIALAAgAFwAIgBDAGEAdAB0AGwAZQAsACAAZgBvAHIAIABwAHIAaQBtAGUAIABiAGUAZQBmAFwAIgAsACAAXAAiAFQAQQBT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WAEkAQ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wBBAFwAIgAsACAAXAAiAGsAZwAgAGwAaQB2AGUAdwBlAGkAZwBoAHQAXAAiACwAIAAyADAALgA4ACwAIABcACIAYQB0ACAAbQBhAHIAawBlAHQAXAAiADsAXABuACAAIAAgACAAIAAgACAAIABcACIAQQBuAGkAbQBhAGwAcwBcACIALAAgAFwAIgBCAGUAZQBmACAAYwBhAHQAdABsAGUAXAAiACwAIABcACIAQwBhAHQAdABsAGUALAAgAHcAZQBhAG4AZQByAHMAXAAiACwAIABcACIAQQB1AHMAdAByAGEAbABpAGEAXAAiACwAIABcACIAawBnACAAbABpAHYAZQB3AGUAaQBnAGgAdABcACIALAAgADEANQAuADUALAAgAFwAIgBhAHQAIABtAGEAcgBrAGUAdABcACIAOwBcAG4AIAAgACAAIAAgACAAIAAgAFwAIgBBAG4AaQBtAGEAbABzAFwAIgAsACAAXAAiAEIAZQBlAGYAIABjAGEAdAB0AGwAZQBcACIALAAgAFwAIgBDAGEAdAB0AGwAZQAsACAAdwBlAGEAbgBlAHIAcwBcACIALAAgAFwAIgBOAFMAVwBcACIALAAgAFwAIgBrAGcAIABsAGkAdgBlAHcAZQBpAGcAaAB0AFwAIgAsACAAMQAyAC4ANwAsACAAXAAiAGEAdAAgAG0AYQByAGsAZQB0AFwAIgA7AFwAbgAgACAAIAAgACAAIAAgACAAXAAiAEEAbgBpAG0AYQBsAHMAXAAiACwAIABcACIAQgBlAGUAZgAgAGMAYQB0AHQAbABlAFwAIgAsACAAXAAiAEMAYQB0AHQAbABlACwAIAB3AGUAYQBuAGUAcgBzAFwAIgAsACAAXAAiAE4AVABcACIALAAgAFwAIgBrAGcAIABsAGkAdgBlAHcAZQBpAGcAaAB0AFwAIgAsACAAMQA5AC4AMQAsACAAXAAiAGEAdAAgAG0AYQByAGsAZQB0AFwAIgA7AFwAbgAgACAAIAAgACAAIAAgACAAXAAiAEEAbgBpAG0AYQBsAHMAXAAiACwAIABcACIAQgBlAGUAZgAgAGMAYQB0AHQAbABlAFwAIgAsACAAXAAiAEMAYQB0AHQAbABlACwAIAB3AGUAYQBuAGUAcgBzAFwAIgAsACAAXAAiAFEATABEAFwAIgAsACAAXAAiAGsAZwAgAGwAaQB2AGUAdwBlAGkAZwBoAHQAXAAiACwAIAAyADAALgA1ACwAIABcACIAYQB0ACAAbQBhAHIAawBlAHQAXAAiADsAXABuACAAIAAgACAAIAAgACAAIABcACIAQQBuAGkAbQBhAGwAcwBcACIALAAgAFwAIgBCAGUAZQBmACAAYwBhAHQAdABsAGUAXAAiACwAIABcACIAQwBhAHQAdABsAGUALAAgAHcAZQBhAG4AZQByAHMAXAAiACwAIABcACIAUwBBAFwAIgAsACAAXAAiAGsAZwAgAGwAaQB2AGUAdwBlAGkAZwBoAHQAXAAiACwAIAAxADAALgA4ACwAIABcACIAYQB0ACAAbQBhAHIAawBlAHQAXAAiADsAXABuACAAIAAgACAAIAAgACAAIABcACIAQQBuAGkAbQBhAGwAcwBcACIALAAgAFwAIgBCAGUAZQBmACAAYwBhAHQAdABsAGUAXAAiACwAIABcACIAQwBhAHQAdABsAGUALAAgAHcAZQBhAG4AZQByAHMAXAAiACwAIABcACIAVABBAFMAXAAiACwAIABcACIAawBnACAAbABpAHYAZQB3AGUAaQBnAGgAdABcACIALAAgADEAMwAuADQALAAgAFwAIgBhAHQAIABtAGEAcgBrAGUAdABcACIAOwBcAG4AIAAgACAAIAAgACAAIAAgAFwAIgBBAG4AaQBtAGEAbABzAFwAIgAsACAAXAAiAEIAZQBlAGYAIABjAGEAdAB0AGwAZQBcACIALAAgAFwAIgBDAGEAdAB0AGwAZQAsACAAdwBlAGEAbgBlAHIAcwBcACIALAAgAFwAIgBWAEkAQwBcACIALAAgAFwAIgBrAGcAIABsAGkAdgBlAHcAZQBpAGcAaAB0AFwAIgAsACAAMQAyACwAIABcACIAYQB0ACAAbQBhAHIAawBlAHQAXAAiADsAXABuACAAIAAgACAAIAAgACAAIABcACIAQQBuAGkAbQBhAGwAcwBcACIALAAgAFwAIgBCAGUAZQBmACAAYwBhAHQAdABsAGUAXAAiACwAIABcACIAQwBhAHQAdABsAGUALAAgAHcAZQBhAG4AZQByAHMAXAAiACwAIABcACIAVwBBAFwAIgAsACAAXAAiAGsAZwAgAGwAaQB2AGUAdwBlAGkAZwBoAHQAXAAiACwAIAAxADIALgA0ACwAIABcACIAYQB0ACAAbQBhAHIAawBlAHQAXAAiADsAXABuACAAIAAgACAAIAAgACAAIABcACIAQQBuAGkAbQBhAGwAcwBcACIALAAgAFwAIgBDAGgAaQBjAGsAZQBuAHMAXAAiACwAIABcACIAQwBoAGkAYwBrAGUAbgBzAFwAIgAsACAAXAAiAEEAdQBzAHQAcgBhAGwAaQBhAFwAIgAsACAAXAAiAGsAZwAgAGwAaQB2AGUAdwBlAGkAZwBoAHQAXAAiACwAIAAxAC4AMwA2ACwAIABcACIAYQB0ACAAbQBhAHIAawBlAHQAXAAiADsAXABuACAAIAAgACAAIAAgACAAIABcACIAQQBuAGkAbQBhAGwAcwBcACIALAAgAFwAIgBEAGEAaQByAHkAIABjAGEAdAB0AGwAZQBcACIALAAgAFwAIgBEAGEAaQByAHkAIABjAG8AdwBzAFwAIgAsACAAXAAiAFYASQBDAFwAIgAsACAAXAAiAGsAZwAgAGwAaQB2AGUAdwBlAGkAZwBoAHQAXAAiACwAIAA0AC4ANAAxACwAIABcACIAYQB0ACAAbQBhAHIAawBlAHQAXAAiADsAXABuACAAIAAgACAAIAAgACAAIABcACIAQQBuAGkAbQBhAGwAcwBcACIALAAgAFwAIgBQAGkAZwBzAFwAIgAsACAAXAAiAFAAaQBnAHMAXAAiACwAIABcACIAQQB1AHMAdAByAGEAbABpAGEAXAAiACwAIABcACIAawBnACAAbABpAHYAZQB3AGUAaQBnAGgAdABcACIALAAgADMALgAzADgALAAgAFwAIgBhAHQAIABtAGEAcgBrAGUAdABcACIAOwBcAG4AIAAgACAAIAAgACAAIAAgAFwAIgBBAG4AaQBtAGEAbABzAFwAIgAsACAAXAAiAFMAaABlAGUAcABcACIALAAgAFwAIgBTAGgAZQBlAHAALAAgAGYAbwByACAAbQB1AHQAdABvAG4AXAAiACwAIABcACIAQQB1AHMAdAByAGEAbABpAGEAXAAiACwAIABcACIAawBnACAAbABpAHYAZQB3AGUAaQBnAGgAdABcACIALAAgADYALgA4ADEALAAgAFwAIgBhAHQAIABtAGEAcgBrAGUAdABcACIAOwBcAG4AIAAgACAAIAAgACAAIAAgAFwAIgBBAG4AaQBtAGEAbABzAFwAIgAsACAAXAAiAFMAaABlAGUAcABcACIALAAgAFwAIgBTAGgAZQBlAHAALAAgAGYAbwByACAAbQB1AHQAdABvAG4AXAAiACwAIABcACIATgBTAFcAXAAiACwAIABcACIAawBnACAAbABpAHYAZQB3AGUAaQBnAGgAdABcACIALAAgADIALgAyADYALAAgAFwAIgBhAHQAIABtAGEAcgBrAGUAdABcACIAOwBcAG4AIAAgACAAIAAgACAAIAAgAFwAIgBBAG4AaQBtAGEAbABzAFwAIgAsACAAXAAiAFMAaABlAGUAcABcACIALAAgAFwAIgBTAGgAZQBlAHAALAAgAGYAbwByACAAbQB1AHQAdABvAG4AXAAiACwAIABcACIAUQBMAEQAXAAiACwAIABcACIAawBnACAAbABpAHYAZQB3AGUAaQBnAGgAdABcACIALAAgADYALgAzADMALAAgAFwAIgBhAHQAIABtAGEAcgBrAGUAdABcACIAOwBcAG4AIAAgACAAIAAgACAAIAAgAFwAIgBBAG4AaQBtAGEAbABzAFwAIgAsACAAXAAiAFMAaABlAGUAcABcACIALAAgAFwAIgBTAGgAZQBlAHAALAAgAGYAbwByACAAbQB1AHQAdABvAG4AXAAiACwAIABcACIAUwBBAFwAIgAsACAAXAAiAGsAZwAgAGwAaQB2AGUAdwBlAGkAZwBoAHQAXAAiACwAIAA2AC4AMQA4ACwAIABcACIAYQB0ACAAbQBhAHIAawBlAHQAXAAiADsAXABuACAAIAAgACAAIAAgACAAIABcACIAQQBuAGkAbQBhAGwAcwBcACIALAAgAFwAIgBTAGgAZQBlAHAAXAAiACwAIABcACIAUwBoAGUAZQBwACwAIABmAG8AcgAgAG0AdQB0AHQAbwBuAFwAIgAsACAAXAAiAFQAQQBTAFwAIgAsACAAXAAiAGsAZwAgAGwAaQB2AGUAdwBlAGkAZwBoAHQAXAAiACwAIAA3AC4ANQAsACAAXAAiAGEAdAAgAG0AYQByAGsAZQB0AFwAIgA7AFwAbgAgACAAIAAgACAAIAAgACAAXAAiAEEAbgBpAG0AYQBsAHMAXAAiACwAIABcACIAUwBoAGUAZQBwAFwAIgAsACAAXAAiAFMAaABlAGUAcAAsACAAZgBvAHIAIABtAHUAdAB0AG8AbgBcACIALAAgAFwAIgBWAEkAQwBcACIALAAgAFwAIgBrAGcAIABsAGkAdgBlAHcAZQBpAGcAaAB0AFwAIgAsACAAOAAuADAAOAAsACAAXAAiAGEAdAAgAG0AYQByAGsAZQB0AFwAIgA7AFwAbgAgACAAIAAgACAAIAAgACAAXAAiAEEAbgBpAG0AYQBsAHMAXAAiACwAIABcACIAUwBoAGUAZQBwAFwAIgAsACAAXAAiAFMAaABlAGUAcAAsACAAZgBvAHIAIABtAHUAdAB0AG8AbgBcACIALAAgAFwAIgBXAEEAXAAiACwAIABcACIAawBnACAAbABpAHYAZQB3AGUAaQBnAGgAdABcACIALAAgADUALgA0ADUALAAgAFwAIgBhAHQAIABtAGEAcgBrAGUAdABcACIAOwBcAG4AIAAgACAAIAAgACAAIAAgAFwAIgBBAG4AaQBtAGEAbABzAFwAIgAsACAAXAAiAFMAaABlAGUAcABcACIALAAgAFwAIgBTAGgAZQBlAHAALAAgAGYAbwByACAAcAByAGkAbQBlACAAbABhAG0AYgBcACIALAAgAFwAIgBBAHUAcwB0AHIAYQBsAGkAYQBcACIALAAgAFwAIgBrAGcAIABsAGkAdgBlAHcAZQBpAGcAaAB0AFwAIgAsACAANwAuADEANQAsACAAXAAiAGEAdAAgAG0AYQByAGsAZQB0AFwAIgA7AFwAbgAgACAAIAAgACAAIAAgACAAXAAiAEEAbgBpAG0AYQBsAHMAXAAiACwAIABcACIAUwBoAGUAZQBwAFwAIgAsACAAXAAiAFMAaABlAGUAcAAsACAAZgBvAHIAIABwAHIAaQBtAGUAIABsAGEAbQBiAFwAIgAsACAAXAAiAE4AUwBXAFwAIgAsACAAXAAiAGsAZwAgAGwAaQB2AGUAdwBlAGkAZwBoAHQAXAAiACwAIAA4AC4AMgA5ACwAIABcACIAYQB0ACAAbQBhAHIAawBlAHQAXAAiADsAXABuACAAIAAgACAAIAAgACAAIABcACIAQQBuAGkAbQBhAGwAcwBcACIALAAgAFwAIgBTAGgAZQBlAHAAXAAiACwAIABcACIAUwBoAGUAZQBwACwAIABmAG8AcgAgAHAAcgBpAG0AZQAgAGwAYQBtAGIAXAAiACwAIABcACIAUQBMAEQAXAAiACwAIABcACIAawBnACAAbABpAHYAZQB3AGUAaQBnAGgAdABcACIALAAgADYALgAzADkALAAgAFwAIgBhAHQAIABtAGEAcgBrAGUAdABcACIAOwBcAG4AIAAgACAAIAAgACAAIAAgAFwAIgBBAG4AaQBtAGEAbABzAFwAIgAsACAAXAAiAFMAaABlAGUAcABcACIALAAgAFwAIgBTAGgAZQBlAHAALAAgAGYAbwByACAAcAByAGkAbQBlACAAbABhAG0AYgBcACIALAAgAFwAIgBTAEEAXAAiACwAIABcACIAawBnACAAbABpAHYAZQB3AGUAaQBnAGgAdABcACIALAAgADYALgA4ADcALAAgAFwAIgBhAHQAIABtAGEAcgBrAGUAdABcACIAOwBcAG4AIAAgACAAIAAgACAAIAAgAFwAIgBBAG4AaQBtAGEAbABzAFwAIgAsACAAXAAiAFMAaABlAGUAcABcACIALAAgAFwAIgBTAGgAZQBlAHAALAAgAGYAbwByACAAcAByAGkAbQBlACAAbABhAG0AYgBcACIALAAgAFwAIgBUAEEAUwBcACIALAAgAFwAIgBrAGcAIABsAGkAdgBlAHcAZQBpAGcAaAB0AFwAIgAsACAAOAAuADYANgAsACAAXAAiAGEAdAAgAG0AYQByAGsAZQB0AFwAIgA7AFwAbgAgACAAIAAgACAAIAAgACAAXAAiAEEAbgBpAG0AYQBsAHMAXAAiACwAIABcACIAUwBoAGUAZQBwAFwAIgAsACAAXAAiAFMAaABlAGUAcAAsACAAZgBvAHIAIABwAHIAaQBtAGUAIABsAGEAbQBiAFwAIgAsACAAXAAiAFYASQBDAFwAIgAsACAAXAAiAGsAZwAgAGwAaQB2AGUAdwBlAGkAZwBoAHQAXAAiACwAIAAxADAALAAgAFwAIgBhAHQAIABtAGEAcgBrAGUAdABcACIAOwBcAG4AIAAgACAAIAAgACAAIAAgAFwAIgBBAG4AaQBtAGEAbABzAFwAIgAsACAAXAAiAFMAaABlAGUAcABcACIALAAgAFwAIgBTAGgAZQBlAHAALAAgAGYAbwByACAAcAByAGkAbQBlACAAbABhAG0AYgBcACIALAAgAFwAIgBXAEEAXAAiACwAIABcACIAawBnACAAbABpAHYAZQB3AGUAaQBnAGgAdABcACIALAAgADUALgA2ADc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MAaABlAG0AaQBjAGEAbABzAFwAbgA9AD0APQA9AD0APQA9AD0APQA9AD0APQA9AD0APQA9AD0APQA9AD0APQA9AD0APQA9AD0APQA9AD0APQA9AD0APQA9AD0APQA9AD0APQA9AD0APQA9AD0APQA9AD0APQA9AD0APQA9AD0APQA9AD0APQA9AD0APQA9AD0APQA9AD0APQA9AD0APQA9AD0APQA9AD0APQA9AFwAbgAqAC8AXABuAFwAbgBTAGMAbwBwAGUAMwBfAEMAaABlAG0AaQBjAGEAbABzAF8AVABpAHQAbABlAFwAbgA9AEwAQQBNAEIARABBACgAKABcACIAQwBoAGUAbQBpAGMAYQBsAHMAIABzAGMAbwBwAGUAIAAzAFwAIgApACkAOwBcAG4AXABuAFMAYwBvAHAAZQAzAF8AQwBoAGUAbQBpAGMAYQBs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DAGgAZQBtAGkAYwBhAGwAcwBfAFYAYQByAGkAYQB0AGkAbwBuAFwAbgA9AEwAQQBNAEIARABBACgAKABcACIAXAAiACkAKQA7AFwAbgBcAG4AUwBjAG8AcABlADMAXwBDAGgAZQBtAGkAYwBhAGwAcwBfAEQAYQB0AGEAXABuAD0ATABBAE0AQgBEAEEAKABcAG4AIAAgAE0AQQBLAEUAQQBSAFIAQQBZACg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MAaABlAG0AaQBjAGEAbABzAFwAIgAsACAAXAAiAEMAbABlAGEAbgBpAG4AZwAgAGMAaABlAG0AaQBjAGEAbABzAFwAIgAsACAAXAAiAEEAbABrAGEAbABpAG4AZQAgAGMAbABlAGEAbgBlAHIAXAAiACwAIABcACIARwBsAG8AYgBhAGwAXAAiACwAIABcACIAawBnAFwAIgAsACAAMAAuADcAMgAyACwAIABcACIAYQB0ACAAbQBhAG4AdQBmAGEAYwB0AHUAcgBlAHIAXAAiADsAXABuACAAIAAgACAAIAAgACAAIABcACIAQwBoAGUAbQBpAGMAYQBsAHMAXAAiACwAIABcACIAQwBsAGUAYQBuAGkAbgBnACAAYwBoAGUAbQBpAGMAYQBsAHMAXAAiACwAIABcACIAQgBsAGUAYQBjAGgAXAAiACwAIABcACIARwBsAG8AYgBhAGwAXAAiACwAIABcACIAawBnAFwAIgAsACAAMAAuADgAMAA0ACwAIABcACIAYQB0ACAAbQBhAG4AdQBmAGEAYwB0AHUAcgBlAHIAXAAiADsAXABuACAAIAAgACAAIAAgACAAIABcACIAQwBoAGUAbQBpAGMAYQBsAHMAXAAiACwAIABcACIAQwBsAGUAYQBuAGkAbgBnACAAYwBoAGUAbQBpAGMAYQBsAHMAXAAiACwAIABcACIAUABoAG8AcwBwAGgAbwByAGkAYwAgAGEAYwBpAGQAXAAiACwAIABcACIARwBsAG8AYgBhAGwAXAAiACwAIABcACIAawBnAFwAIgAsACAAMAAuADkAMAA3ACwAIABcACIAYQB0ACAAbQBhAG4AdQBmAGEAYwB0AHUAcgBlAHIAXAAiADsAXABuACAAIAAgACAAIAAgACAAIABcACIAQwBoAGUAbQBpAGMAYQBsAHMAXAAiACwAIABcACIAUABoAGEAcgBtAGEAYwB5ACAAYwBoAGUAbQBpAGMAYQBsAHMAXAAiACwAIABcACIAUABhAHIAYQBzAGkAdABlACAAYwBvAG4AdAByAG8AbAAgAGYAbwByACAAYwBhAHQAdABsAGUAIAAoAGUAeAB0AGUAcgBuAGEAbAApACwAIABkAGkAcABwAGkAbgBnAFwAIgAsACAAXAAiAEcAbABvAGIAYQBsAFwAIgAsACAAXAAiAHAAIAAoAGgAZQBhAGQAKQBcACIALAAgADAALgAwADUANAA3ACwAIABcACIAYQB0ACAAbQBhAG4AdQBmAGEAYwB0AHUAcgBlAHIAXAAiADsAXABuACAAIAAgACAAIAAgACAAIABcACIAQwBoAGUAbQBpAGMAYQBsAHMAXAAiACwAIABcACIAUABoAGEAcgBtAGEAYwB5ACAAYwBoAGUAbQBpAGMAYQBsAHMAXAAiACwAIABcACIAUABhAHIAYQBzAGkAdABlACAAYwBvAG4AdAByAG8AbAAgAGYAbwByACAAYwBhAHQAdABsAGUAIAAoAGkAbgB0AGUAcgBuAGEAbAApAFwAIgAsACAAXAAiAEcAbABvAGIAYQBsAFwAIgAsACAAXAAiAHAAIAAoAGgAZQBhAGQAKQBcACIALAAgADAALgAwADEANAAyACwAIABcACIAYQB0ACAAbQBhAG4AdQBmAGEAYwB0AHUAcgBlAHIAXAAiADsAXABuACAAIAAgACAAIAAgACAAIABcACIAQwBoAGUAbQBpAGMAYQBsAHMAXAAiACwAIABcACIAUABoAGEAcgBtAGEAYwB5ACAAYwBoAGUAbQBpAGMAYQBsAHMAXAAiACwAIABcACIAUABhAHIAYQBzAGkAdABlACAAYwBvAG4AdAByAG8AbAAgAGYAbwByACAAcwBoAGUAZQBwACAAKABlAHgAdABlAHIAbgBhAGwAKQBcACIALAAgAFwAIgBHAGwAbwBiAGEAbABcACIALAAgAFwAIgBwACAAKABoAGUAYQBkACkAXAAiACwAIAAwAC4AMAAxADQAMwAsACAAXAAiAGEAdAAgAG0AYQBuAHUAZgBhAGMAdAB1AHIAZQByAFwAIgA7AFwAbgAgACAAIAAgACAAIAAgACAAXAAiAEMAaABlAG0AaQBjAGEAbABzAFwAIgAsACAAXAAiAFAAaABhAHIAbQBhAGMAeQAgAGMAaABlAG0AaQBjAGEAbABzAFwAIgAsACAAXAAiAFAAYQByAGEAcwBpAHQAZQAgAGMAbwBuAHQAcgBvAGwAIABmAG8AcgAgAHMAaABlAGUAcAAgACgAaQBuAHQAZQByAG4AYQBsACkAXAAiACwAIABcACIARwBsAG8AYgBhAGwAXAAiACwAIABcACIAcAAgACgAaABlAGEAZAApAFwAIgAsACAAMAAuADAAMAA0ADIAN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lAGUAZABcAG4APQA9AD0APQA9AD0APQA9AD0APQA9AD0APQA9AD0APQA9AD0APQA9AD0APQA9AD0APQA9AD0APQA9AD0APQA9AD0APQA9AD0APQA9AD0APQA9AD0APQA9AD0APQA9AD0APQA9AD0APQA9AD0APQA9AD0APQA9AD0APQA9AD0APQA9AD0APQA9AD0APQA9AD0APQA9AD0APQBcAG4AKgAvAFwAbgBcAG4AUwBjAG8AcABlADMAXwBGAGUAZQBkAF8AVABpAHQAbABlAFwAbgA9AEwAQQBNAEIARABBACgAKABcACIARgBlAGUAZAAgAHMAYwBvAHAAZQAgADMAXAAiACkAKQA7AFwAbgBcAG4AUwBjAG8AcABlADMAXwBGAGUAZQBk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RgBlAGUAZABfAFYAYQByAGkAYQB0AGkAbwBuAFwAbgA9AEwAQQBNAEIARABBACgAKABcACIAXAAiACkAKQA7AFwAbgBcAG4AUwBjAG8AcABlADMAXwBGAGUAZQBkAF8ARABhAHQAYQBcAG4APQBMAEEATQBCAEQAQQAoAFwAbgAgACAATQBBAEsARQBBAFIAUgBBAFkAKAA3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ZQBkAFwAIgAsACAAXAAiAEEAcQB1AGEAYwB1AGwAdAB1AHIAZQAgAGYAZQBlAGQAXAAiACwAIABcACIAUwBhAHIAZABpAG4AZQBzACAAKAB3AGgAbwBsAGUAKQBcACIALAAgAFwAIgBTAEEAXAAiACwAIABcACIAawBnAFwAIgAsACAAMAAuADMANwA2ACwAIABcACIAYQB0ACAAbQBhAHIAawBlAHQAXAAiADsAXABuACAAIAAgACAAIAAgACAAIABcACIARgBlAGUAZABcACIALAAgAFwAIgBHAHIAYQBpAG4AXAAiACwAIABcACIAQgBhAHIAbABlAHkAIABnAHIAYQBpAG4AXAAiACwAIABcACIAQQB1AHMAdAByAGEAbABpAGEAXAAiACwAIABcACIAawBnAFwAIgAsACAAMAAuADIAMwA5ACwAIABcACIAYQB0ACAAbQBhAHIAawBlAHQAXAAiADsAXABuACAAIAAgACAAIAAgACAAIABcACIARgBlAGUAZABcACIALAAgAFwAIgBHAHIAYQBpAG4AXAAiACwAIABcACIAQgBhAHIAbABlAHkAIABnAHIAYQBpAG4AXAAiACwAIABcACIATgBTAFcAXAAiACwAIABcACIAawBnAFwAIgAsACAAMAAuADIANQA2ACwAIABcACIAYQB0ACAAbQBhAHIAawBlAHQAXAAiADsAXABuACAAIAAgACAAIAAgACAAIABcACIARgBlAGUAZABcACIALAAgAFwAIgBHAHIAYQBpAG4AXAAiACwAIABcACIAQgBhAHIAbABlAHkAIABnAHIAYQBpAG4AXAAiACwAIABcACIATgBUAFwAIgAsACAAXAAiAGsAZwBcACIALAAgADAALgAzADMAMgAsACAAXAAiAGEAdAAgAG0AYQByAGsAZQB0AFwAIgA7AFwAbgAgACAAIAAgACAAIAAgACAAXAAiAEYAZQBlAGQAXAAiACwAIABcACIARwByAGEAaQBuAFwAIgAsACAAXAAiAEIAYQByAGwAZQB5ACAAZwByAGEAaQBuAFwAIgAsACAAXAAiAFEATABEAFwAIgAsACAAXAAiAGsAZwBcACIALAAgADAALgAyADYAOQAsACAAXAAiAGEAdAAgAG0AYQByAGsAZQB0AFwAIgA7AFwAbgAgACAAIAAgACAAIAAgACAAXAAiAEYAZQBlAGQAXAAiACwAIABcACIARwByAGEAaQBuAFwAIgAsACAAXAAiAEIAYQByAGwAZQB5ACAAZwByAGEAaQBuAFwAIgAsACAAXAAiAFMAQQBcACIALAAgAFwAIgBrAGcAXAAiACwAIAAwAC4AMgAyADMALAAgAFwAIgBhAHQAIABtAGEAcgBrAGUAdABcACIAOwBcAG4AIAAgACAAIAAgACAAIAAgAFwAIgBGAGUAZQBkAFwAIgAsACAAXAAiAEcAcgBhAGkAbgBcACIALAAgAFwAIgBCAGEAcgBsAGUAeQAgAGcAcgBhAGkAbgBcACIALAAgAFwAIgBUAEEAUwBcACIALAAgAFwAIgBrAGcAXAAiACwAIAAwAC4AMwAwADcALAAgAFwAIgBhAHQAIABtAGEAcgBrAGUAdABcACIAOwBcAG4AIAAgACAAIAAgACAAIAAgAFwAIgBGAGUAZQBkAFwAIgAsACAAXAAiAEcAcgBhAGkAbgBcACIALAAgAFwAIgBCAGEAcgBsAGUAeQAgAGcAcgBhAGkAbgBcACIALAAgAFwAIgBWAEkAQwBcACIALAAgAFwAIgBrAGcAXAAiACwAIAAwAC4AMgA0ADEALAAgAFwAIgBhAHQAIABtAGEAcgBrAGUAdABcACIAOwBcAG4AIAAgACAAIAAgACAAIAAgAFwAIgBGAGUAZQBkAFwAIgAsACAAXAAiAEcAcgBhAGkAbgBcACIALAAgAFwAIgBCAGEAcgBsAGUAeQAgAGcAcgBhAGkAbgBcACIALAAgAFwAIgBXAEEAXAAiACwAIABcACIAawBnAFwAIgAsACAAMAAuADIAMwA2ACwAIABcACIAYQB0ACAAbQBhAHIAawBlAHQAXAAiADsAXABuACAAIAAgACAAIAAgACAAIABcACIARgBlAGUAZABcACIALAAgAFwAIgBHAHIAYQBpAG4AXAAiACwAIABcACIATQBhAGkAegBlACAAZwByAGEAaQBuAFwAIgAsACAAXAAiAEEAdQBzAHQAcgBhAGwAaQBhAFwAIgAsACAAXAAiAGsAZwBcACIALAAgADAALgAxADgAMQAsACAAXAAiAGEAdAAgAG0AYQByAGsAZQB0AFwAIgA7AFwAbgAgACAAIAAgACAAIAAgACAAXAAiAEYAZQBlAGQAXAAiACwAIABcACIARwByAGEAaQBuAFwAIgAsACAAXAAiAE0AYQBpAHoAZQAgAGcAcgBhAGkAbgBcACIALAAgAFwAIgBOAFMAVwBcACIALAAgAFwAIgBrAGcAXAAiACwAIAAwAC4AMQA2ADkALAAgAFwAIgBhAHQAIABtAGEAcgBrAGUAdABcACIAOwBcAG4AIAAgACAAIAAgACAAIAAgAFwAIgBGAGUAZQBkAFwAIgAsACAAXAAiAEcAcgBhAGkAbgBcACIALAAgAFwAIgBNAGEAaQB6AGUAIABnAHIAYQBpAG4AXAAiACwAIABcACIATgBUAFwAIgAsACAAXAAiAGsAZwBcACIALAAgADAALgAyADUANgAsACAAXAAiAGEAdAAgAG0AYQByAGsAZQB0AFwAIgA7AFwAbgAgACAAIAAgACAAIAAgACAAXAAiAEYAZQBlAGQAXAAiACwAIABcACIARwByAGEAaQBuAFwAIgAsACAAXAAiAE0AYQBpAHoAZQAgAGcAcgBhAGkAbgBcACIALAAgAFwAIgBRAEwARABcACIALAAgAFwAIgBrAGcAXAAiACwAIAAwAC4AMQA4ADYALAAgAFwAIgBhAHQAIABtAGEAcgBrAGUAdABcACIAOwBcAG4AIAAgACAAIAAgACAAIAAgAFwAIgBGAGUAZQBkAFwAIgAsACAAXAAiAEcAcgBhAGkAbgBcACIALAAgAFwAIgBNAGEAaQB6AGUAIABnAHIAYQBpAG4AXAAiACwAIABcACIAUwBBAFwAIgAsACAAXAAiAGsAZwBcACIALAAgADAALgAxADcANgAsACAAXAAiAGEAdAAgAG0AYQByAGsAZQB0AFwAIgA7AFwAbgAgACAAIAAgACAAIAAgACAAXAAiAEYAZQBlAGQAXAAiACwAIABcACIARwByAGEAaQBuAFwAIgAsACAAXAAiAE0AYQBpAHoAZQAgAGcAcgBhAGkAbgBcACIALAAgAFwAIgBWAEkAQwBcACIALAAgAFwAIgBrAGcAXAAiACwAIAAwAC4AMQA1ADkALAAgAFwAIgBhAHQAIABtAGEAcgBrAGUAdABcACIAOwBcAG4AIAAgACAAIAAgACAAIAAgAFwAIgBGAGUAZQBkAFwAIgAsACAAXAAiAEcAcgBhAGkAbgBcACIALAAgAFwAIgBNAGEAaQB6AGUAIABnAHIAYQBpAG4AXAAiACwAIABcACIAVwBBAFwAIgAsACAAXAAiAGsAZwBcACIALAAgADAALgAyADgANQAsACAAXAAiAGEAdAAgAG0AYQByAGsAZQB0AFwAIgA7AFwAbgAgACAAIAAgACAAIAAgACAAXAAiAEYAZQBlAGQAXAAiACwAIABcACIARwByAGEAaQBuAFwAIgAsACAAXAAiAFMAbwByAGcAaAB1AG0AIABnAHIAYQBpAG4AXAAiACwAIABcACIAQQB1AHMAdAByAGEAbABpAGEAXAAiACwAIABcACIAawBnAFwAIgAsACAAMAAuADIAMwAyACwAIABcACIAYQB0ACAAbQBhAHIAawBlAHQAXAAiADsAXABuACAAIAAgACAAIAAgACAAIABcACIARgBlAGUAZABcACIALAAgAFwAIgBHAHIAYQBpAG4AXAAiACwAIABcACIAUwBvAHIAZwBoAHUAbQAgAGcAcgBhAGkAbgBcACIALAAgAFwAIgBOAFMAVwBcACIALAAgAFwAIgBrAGcAXAAiACwAIAAwAC4AMgAzADIALAAgAFwAIgBhAHQAIABtAGEAcgBrAGUAdABcACIAOwBcAG4AIAAgACAAIAAgACAAIAAgAFwAIgBGAGUAZQBkAFwAIgAsACAAXAAiAEcAcgBhAGkAbgBcACIALAAgAFwAIgBTAG8AcgBnAGgAdQBtACAAZwByAGEAaQBuAFwAIgAsACAAXAAiAFEATABEAFwAIgAsACAAXAAiAGsAZwBcACIALAAgADAALgAyADMAMQAsACAAXAAiAGEAdAAgAG0AYQByAGsAZQB0AFwAIgA7AFwAbgAgACAAIAAgACAAIAAgACAAXAAiAEYAZQBlAGQAXAAiACwAIABcACIARwByAGEAaQBuAFwAIgAsACAAXAAiAFMAbwByAGcAaAB1AG0AIABnAHIAYQBpAG4AXAAiACwAIABcACIAUwBBAFwAIgAsACAAXAAiAGsAZwBcACIALAAgADAALgAyADEAOAAsACAAXAAiAGEAdAAgAG0AYQByAGsAZQB0AFwAIgA7AFwAbgAgACAAIAAgACAAIAAgACAAXAAiAEYAZQBlAGQAXAAiACwAIABcACIARwByAGEAaQBuAFwAIgAsACAAXAAiAFMAbwByAGcAaAB1AG0AIABnAHIAYQBpAG4AXAAiACwAIABcACIAVgBJAEMAXAAiACwAIABcACIAawBnAFwAIgAsACAAMAAuADIANAA2ACwAIABcACIAYQB0ACAAbQBhAHIAawBlAHQAXAAiADsAXABuACAAIAAgACAAIAAgACAAIABcACIARgBlAGUAZABcACIALAAgAFwAIgBHAHIAYQBpAG4AXAAiACwAIABcACIAVwBoAGUAYQB0ACAAZwByAGEAaQBuAFwAIgAsACAAXAAiAEEAdQBzAHQAcgBhAGwAaQBhAFwAIgAsACAAXAAiAGsAZwBcACIALAAgADAALgAyADYAOAAsACAAXAAiAGEAdAAgAG0AYQByAGsAZQB0AFwAIgA7AFwAbgAgACAAIAAgACAAIAAgACAAXAAiAEYAZQBlAGQAXAAiACwAIABcACIARwByAGEAaQBuAFwAIgAsACAAXAAiAFcAaABlAGEAdAAgAGcAcgBhAGkAbgBcACIALAAgAFwAIgBOAFMAVwBcACIALAAgAFwAIgBrAGcAXAAiACwAIAAwAC4AMgA4ADIALAAgAFwAIgBhAHQAIABtAGEAcgBrAGUAdABcACIAOwBcAG4AIAAgACAAIAAgACAAIAAgAFwAIgBGAGUAZQBkAFwAIgAsACAAXAAiAEcAcgBhAGkAbgBcACIALAAgAFwAIgBXAGgAZQBhAHQAIABnAHIAYQBpAG4AXAAiACwAIABcACIATgBUAFwAIgAsACAAXAAiAGsAZwBcACIALAAgADAALgAzADgANQAsACAAXAAiAGEAdAAgAG0AYQByAGsAZQB0AFwAIgA7AFwAbgAgACAAIAAgACAAIAAgACAAXAAiAEYAZQBlAGQAXAAiACwAIABcACIARwByAGEAaQBuAFwAIgAsACAAXAAiAFcAaABlAGEAdAAgAGcAcgBhAGkAbgBcACIALAAgAFwAIgBRAEwARABcACIALAAgAFwAIgBrAGcAXAAiACwAIAAwAC4AMgA5ADYALAAgAFwAIgBhAHQAIABtAGEAcgBrAGUAdABcACIAOwBcAG4AIAAgACAAIAAgACAAIAAgAFwAIgBGAGUAZQBkAFwAIgAsACAAXAAiAEcAcgBhAGkAbgBcACIALAAgAFwAIgBXAGgAZQBhAHQAIABnAHIAYQBpAG4AXAAiACwAIABcACIAUwBBAFwAIgAsACAAXAAiAGsAZwBcACIALAAgADAALgAyADQAMQAsACAAXAAiAGEAdAAgAG0AYQByAGsAZQB0AFwAIgA7AFwAbgAgACAAIAAgACAAIAAgACAAXAAiAEYAZQBlAGQAXAAiACwAIABcACIARwByAGEAaQBuAFwAIgAsACAAXAAiAFcAaABlAGEAdAAgAGcAcgBhAGkAbgBcACIALAAgAFwAIgBUAEEAUwBcACIALAAgAFwAIgBrAGcAXAAiACwAIAAwAC4AMwAzADgALAAgAFwAIgBhAHQAIABtAGEAcgBrAGUAdABcACIAOwBcAG4AIAAgACAAIAAgACAAIAAgAFwAIgBGAGUAZQBkAFwAIgAsACAAXAAiAEcAcgBhAGkAbgBcACIALAAgAFwAIgBXAGgAZQBhAHQAIABnAHIAYQBpAG4AXAAiACwAIABcACIAVgBJAEMAXAAiACwAIABcACIAawBnAFwAIgAsACAAMAAuADIANgA2ACwAIABcACIAYQB0ACAAbQBhAHIAawBlAHQAXAAiADsAXABuACAAIAAgACAAIAAgACAAIABcACIARgBlAGUAZABcACIALAAgAFwAIgBHAHIAYQBpAG4AXAAiACwAIABcACIAVwBoAGUAYQB0ACAAZwByAGEAaQBuAFwAIgAsACAAXAAiAFcAQQBcACIALAAgAFwAIgBrAGcAXAAiACwAIAAwAC4AMgA2ADEALAAgAFwAIgBhAHQAIABtAGEAcgBrAGUAdABcACIAOwBcAG4AIAAgACAAIAAgACAAIAAgAFwAIgBGAGUAZQBkAFwAIgAsACAAXAAiAEgAYQB5AFwAIgAsACAAXAAiAEMAZQByAGUAYQBsACAAaABhAHkAXAAiACwAIABcACIAQQB1AHMAdAByAGEAbABpAGEAXAAiACwAIABcACIAawBnAFwAIgAsACAAMAAuADEAMQA3ACwAIABcACIAYQB0ACAAbQBhAHIAawBlAHQAXAAiADsAXABuACAAIAAgACAAIAAgACAAIABcACIARgBlAGUAZABcACIALAAgAFwAIgBIAGEAeQBcACIALAAgAFwAIgBDAGUAcgBlAGEAbAAgAGgAYQB5AFwAIgAsACAAXAAiAE4AUwBXAFwAIgAsACAAXAAiAGsAZwBcACIALAAgADAALgAxADEANgAsACAAXAAiAGEAdAAgAG0AYQByAGsAZQB0AFwAIgA7AFwAbgAgACAAIAAgACAAIAAgACAAXAAiAEYAZQBlAGQAXAAiACwAIABcACIASABhAHkAXAAiACwAIABcACIAQwBlAHIAZQBhAGwAIABoAGEAeQBcACIALAAgAFwAIgBRAEwARABcACIALAAgAFwAIgBrAGcAXAAiACwAIAAwAC4AMQAxADgALAAgAFwAIgBhAHQAIABtAGEAcgBrAGUAdABcACIAOwBcAG4AIAAgACAAIAAgACAAIAAgAFwAIgBGAGUAZQBkAFwAIgAsACAAXAAiAEgAYQB5AFwAIgAsACAAXAAiAEMAZQByAGUAYQBsACAAaABhAHkAXAAiACwAIABcACIAUwBBAFwAIgAsACAAXAAiAGsAZwBcACIALAAgADAALgAxADEAMQAsACAAXAAiAGEAdAAgAG0AYQByAGsAZQB0AFwAIgA7AFwAbgAgACAAIAAgACAAIAAgACAAXAAiAEYAZQBlAGQAXAAiACwAIABcACIASABhAHkAXAAiACwAIABcACIAQwBlAHIAZQBhAGwAIABoAGEAeQBcACIALAAgAFwAIgBUAEEAUwBcACIALAAgAFwAIgBrAGcAXAAiACwAIAAwAC4AMQAzADkALAAgAFwAIgBhAHQAIABtAGEAcgBrAGUAdABcACIAOwBcAG4AIAAgACAAIAAgACAAIAAgAFwAIgBGAGUAZQBkAFwAIgAsACAAXAAiAEgAYQB5AFwAIgAsACAAXAAiAEMAZQByAGUAYQBsACAAaABhAHkAXAAiACwAIABcACIAVgBJAEMAXAAiACwAIABcACIAawBnAFwAIgAsACAAMAAuADEAMQA2ACwAIABcACIAYQB0ACAAbQBhAHIAawBlAHQAXAAiADsAXABuACAAIAAgACAAIAAgACAAIABcACIARgBlAGUAZABcACIALAAgAFwAIgBIAGEAeQBcACIALAAgAFwAIgBDAGUAcgBlAGEAbAAgAGgAYQB5AFwAIgAsACAAXAAiAFcAQQBcACIALAAgAFwAIgBrAGcAXAAiACwAIAAwAC4AMQAyADIALAAgAFwAIgBhAHQAIABtAGEAcgBrAGUAdABcACIAOwBcAG4AIAAgACAAIAAgACAAIAAgAFwAIgBGAGUAZQBkAFwAIgAsACAAXAAiAEgAYQB5AFwAIgAsACAAXAAiAEMAZQByAGUAYQBsACAAcwBpAGwAYQBnAGUAXAAiACwAIABcACIAQQB1AHMAdAByAGEAbABpAGEAXAAiACwAIABcACIAawBnAFwAIgAsACAAMAAuADAANwA0ADQALAAgAFwAIgBhAHQAIABtAGEAcgBrAGUAdABcACIAOwBcAG4AIAAgACAAIAAgACAAIAAgAFwAIgBGAGUAZQBkAFwAIgAsACAAXAAiAEgAYQB5AFwAIgAsACAAXAAiAEMAZQByAGUAYQBsACAAcwBpAGwAYQBnAGUAXAAiACwAIABcACIATgBTAFcAXAAiACwAIABcACIAawBnAFwAIgAsACAAMAAuADAANwAzADkALAAgAFwAIgBhAHQAIABtAGEAcgBrAGUAdABcACIAOwBcAG4AIAAgACAAIAAgACAAIAAgAFwAIgBGAGUAZQBkAFwAIgAsACAAXAAiAEgAYQB5AFwAIgAsACAAXAAiAEMAZQByAGUAYQBsACAAcwBpAGwAYQBnAGUAXAAiACwAIABcACIAUQBMAEQAXAAiACwAIABcACIAawBnAFwAIgAsACAAMAAuADAANwA5ACwAIABcACIAYQB0ACAAbQBhAHIAawBlAHQAXAAiADsAXABuACAAIAAgACAAIAAgACAAIABcACIARgBlAGUAZABcACIALAAgAFwAIgBIAGEAeQBcACIALAAgAFwAIgBDAGUAcgBlAGEAbAAgAHMAaQBsAGEAZwBlAFwAIgAsACAAXAAiAFMAQQBcACIALAAgAFwAIgBrAGcAXAAiACwAIAAwAC4AMAA3ADAANgAsACAAXAAiAGEAdAAgAG0AYQByAGsAZQB0AFwAIgA7AFwAbgAgACAAIAAgACAAIAAgACAAXAAiAEYAZQBlAGQAXAAiACwAIABcACIASABhAHkAXAAiACwAIABcACIAQwBlAHIAZQBhAGwAIABzAGkAbABhAGcAZQBcACIALAAgAFwAIgBUAEEAUwBcACIALAAgAFwAIgBrAGcAXAAiACwAIAAwAC4AMAA4ADAAOAAsACAAXAAiAGEAdAAgAG0AYQByAGsAZQB0AFwAIgA7AFwAbgAgACAAIAAgACAAIAAgACAAXAAiAEYAZQBlAGQAXAAiACwAIABcACIASABhAHkAXAAiACwAIABcACIAQwBlAHIAZQBhAGwAIABzAGkAbABhAGcAZQBcACIALAAgAFwAIgBWAEkAQwBcACIALAAgAFwAIgBrAGcAXAAiACwAIAAwAC4AMAA3ADMANgAsACAAXAAiAGEAdAAgAG0AYQByAGsAZQB0AFwAIgA7AFwAbgAgACAAIAAgACAAIAAgACAAXAAiAEYAZQBlAGQAXAAiACwAIABcACIASABhAHkAXAAiACwAIABcACIATAB1AGMAZQByAG4AZQAgAGgAYQB5AFwAIgAsACAAXAAiAEEAdQBzAHQAcgBhAGwAaQBhAFwAIgAsACAAXAAiAGsAZwBcACIALAAgADAALgAxADEANwAsACAAXAAiAGEAdAAgAG0AYQByAGsAZQB0AFwAIgA7AFwAbgAgACAAIAAgACAAIAAgACAAXAAiAEYAZQBlAGQAXAAiACwAIABcACIASABhAHkAXAAiACwAIABcACIATAB1AGMAZQByAG4AZQAgAGgAYQB5AFwAIgAsACAAXAAiAE4AUwBXAFwAIgAsACAAXAAiAGsAZwBcACIALAAgADAALgAxADEAMwAsACAAXAAiAGEAdAAgAG0AYQByAGsAZQB0AFwAIgA7AFwAbgAgACAAIAAgACAAIAAgACAAXAAiAEYAZQBlAGQAXAAiACwAIABcACIASABhAHkAXAAiACwAIABcACIATAB1AGMAZQByAG4AZQAgAGgAYQB5AFwAIgAsACAAXAAiAFEATABEAFwAIgAsACAAXAAiAGsAZwBcACIALAAgADAALgAxADQAMwAsACAAXAAiAGEAdAAgAG0AYQByAGsAZQB0AFwAIgA7AFwAbgAgACAAIAAgACAAIAAgACAAXAAiAEYAZQBlAGQAXAAiACwAIABcACIASABhAHkAXAAiACwAIABcACIATAB1AGMAZQByAG4AZQAgAGgAYQB5AFwAIgAsACAAXAAiAFMAQQBcACIALAAgAFwAIgBrAGcAXAAiACwAIAAwAC4AMQAwADYALAAgAFwAIgBhAHQAIABtAGEAcgBrAGUAdABcACIAOwBcAG4AIAAgACAAIAAgACAAIAAgAFwAIgBGAGUAZQBkAFwAIgAsACAAXAAiAEgAYQB5AFwAIgAsACAAXAAiAEwAdQBjAGUAcgBuAGUAIABoAGEAeQBcACIALAAgAFwAIgBUAEEAUwBcACIALAAgAFwAIgBrAGcAXAAiACwAIAAwAC4AMQAxADMALAAgAFwAIgBhAHQAIABtAGEAcgBrAGUAdABcACIAOwBcAG4AIAAgACAAIAAgACAAIAAgAFwAIgBGAGUAZQBkAFwAIgAsACAAXAAiAEgAYQB5AFwAIgAsACAAXAAiAEwAdQBjAGUAcgBuAGUAIABoAGEAeQBcACIALAAgAFwAIgBWAEkAQwBcACIALAAgAFwAIgBrAGcAXAAiACwAIAAwAC4AMQAwADYALAAgAFwAIgBhAHQAIABtAGEAcgBrAGUAdABcACIAOwBcAG4AIAAgACAAIAAgACAAIAAgAFwAIgBGAGUAZQBkAFwAIgAsACAAXAAiAEgAYQB5AFwAIgAsACAAXAAiAE0AYQBpAHoAZQAgAHMAaQBsAGEAZwBlAFwAIgAsACAAXAAiAFYASQBDAFwAIgAsACAAXAAiAGsAZwBcACIALAAgADAALgAxADYAMwAsACAAXAAiAGEAdAAgAG0AYQByAGsAZQB0AFwAIgA7AFwAbgAgACAAIAAgACAAIAAgACAAXAAiAEYAZQBlAGQAXAAiACwAIABcACIASABhAHkAXAAiACwAIABcACIATwBhAHQAZQBuACAAaABhAHkAXAAiACwAIABcACIAQQB1AHMAdAByAGEAbABpAGEAXAAiACwAIABcACIAawBnAFwAIgAsACAAMAAuADEAMgAsACAAXAAiAGEAdAAgAG0AYQByAGsAZQB0AFwAIgA7AFwAbgAgACAAIAAgACAAIAAgACAAXAAiAEYAZQBlAGQAXAAiACwAIABcACIASABhAHkAXAAiACwAIABcACIATwBhAHQAZQBuACAAaABhAHkAXAAiACwAIABcACIATgBTAFcAXAAiACwAIABcACIAawBnAFwAIgAsACAAMAAuADEAMQA5ACwAIABcACIAYQB0ACAAbQBhAHIAawBlAHQAXAAiADsAXABuACAAIAAgACAAIAAgACAAIABcACIARgBlAGUAZABcACIALAAgAFwAIgBIAGEAeQBcACIALAAgAFwAIgBPAGEAdABlAG4AIABoAGEAeQBcACIALAAgAFwAIgBRAEwARABcACIALAAgAFwAIgBrAGcAXAAiACwAIAAwAC4AMQAxADcALAAgAFwAIgBhAHQAIABtAGEAcgBrAGUAdABcACIAOwBcAG4AIAAgACAAIAAgACAAIAAgAFwAIgBGAGUAZQBkAFwAIgAsACAAXAAiAEgAYQB5AFwAIgAsACAAXAAiAE8AYQB0AGUAbgAgAGgAYQB5AFwAIgAsACAAXAAiAFMAQQBcACIALAAgAFwAIgBrAGcAXAAiACwAIAAwAC4AMQAxADQALAAgAFwAIgBhAHQAIABtAGEAcgBrAGUAdABcACIAOwBcAG4AIAAgACAAIAAgACAAIAAgAFwAIgBGAGUAZQBkAFwAIgAsACAAXAAiAEgAYQB5AFwAIgAsACAAXAAiAE8AYQB0AGUAbgAgAGgAYQB5AFwAIgAsACAAXAAiAFYASQBDAFwAIgAsACAAXAAiAGsAZwBcACIALAAgADAALgAxADEAOAAsACAAXAAiAGEAdAAgAG0AYQByAGsAZQB0AFwAIgA7AFwAbgAgACAAIAAgACAAIAAgACAAXAAiAEYAZQBlAGQAXAAiACwAIABcACIASABhAHkAXAAiACwAIABcACIATwBhAHQAZQBuACAAaABhAHkAXAAiACwAIABcACIAVwBBAFwAIgAsACAAXAAiAGsAZwBcACIALAAgADAALgAxADIANAAsACAAXAAiAGEAdAAgAG0AYQByAGsAZQB0AFwAIgA7AFwAbgAgACAAIAAgACAAIAAgACAAXAAiAEYAZQBlAGQAXAAiACwAIABcACIASABhAHkAXAAiACwAIABcACIAUABhAHMAdAB1AHIAZQAgAGgAYQB5AFwAIgAsACAAXAAiAEEAdQBzAHQAcgBhAGwAaQBhAFwAIgAsACAAXAAiAGsAZwBcACIALAAgADAALgAzADMAOQAsACAAXAAiAGEAdAAgAG0AYQByAGsAZQB0AFwAIgA7AFwAbgAgACAAIAAgACAAIAAgACAAXAAiAEYAZQBlAGQAXAAiACwAIABcACIASABhAHkAXAAiACwAIABcACIAUABhAHMAdAB1AHIAZQAgAGgAYQB5AFwAIgAsACAAXAAiAE4AUwBXAFwAIgAsACAAXAAiAGsAZwBcACIALAAgADAALgAzADEAMQAsACAAXAAiAGEAdAAgAG0AYQByAGsAZQB0AFwAIgA7AFwAbgAgACAAIAAgACAAIAAgACAAXAAiAEYAZQBlAGQAXAAiACwAIABcACIASABhAHkAXAAiACwAIABcACIAUABhAHMAdAB1AHIAZQAgAGgAYQB5AFwAIgAsACAAXAAiAFEATABEAFwAIgAsACAAXAAiAGsAZwBcACIALAAgADAALgAyADUANAAsACAAXAAiAGEAdAAgAG0AYQByAGsAZQB0AFwAIgA7AFwAbgAgACAAIAAgACAAIAAgACAAXAAiAEYAZQBlAGQAXAAiACwAIABcACIASABhAHkAXAAiACwAIABcACIAUABhAHMAdAB1AHIAZQAgAGgAYQB5AFwAIgAsACAAXAAiAFMAQQBcACIALAAgAFwAIgBrAGcAXAAiACwAIAAwAC4AMwAxADMALAAgAFwAIgBhAHQAIABtAGEAcgBrAGUAdABcACIAOwBcAG4AIAAgACAAIAAgACAAIAAgAFwAIgBGAGUAZQBkAFwAIgAsACAAXAAiAEgAYQB5AFwAIgAsACAAXAAiAFAAYQBzAHQAdQByAGUAIABoAGEAeQBcACIALAAgAFwAIgBUAEEAUwBcACIALAAgAFwAIgBrAGcAXAAiACwAIAAwAC4AMwA5ADgALAAgAFwAIgBhAHQAIABtAGEAcgBrAGUAdABcACIAOwBcAG4AIAAgACAAIAAgACAAIAAgAFwAIgBGAGUAZQBkAFwAIgAsACAAXAAiAEgAYQB5AFwAIgAsACAAXAAiAFAAYQBzAHQAdQByAGUAIABoAGEAeQBcACIALAAgAFwAIgBWAEkAQwBcACIALAAgAFwAIgBrAGcAXAAiACwAIAAwAC4AMwA0ADUALAAgAFwAIgBhAHQAIABtAGEAcgBrAGUAdABcACIAOwBcAG4AIAAgACAAIAAgACAAIAAgAFwAIgBGAGUAZQBkAFwAIgAsACAAXAAiAEgAYQB5AFwAIgAsACAAXAAiAFAAYQBzAHQAdQByAGUAIABoAGEAeQBcACIALAAgAFwAIgBXAEEAXAAiACwAIABcACIAawBnAFwAIgAsACAAMAAuADMANgA4ACwAIABcACIAYQB0ACAAbQBhAHIAawBlAHQAXAAiADsAXABuACAAIAAgACAAIAAgACAAIABcACIARgBlAGUAZABcACIALAAgAFwAIgBNAGUAYQBsAFwAIgAsACAAXAAiAEMAYQBuAG8AbABhACAAbQBlAGEAbABcACIALAAgAFwAIgBBAHUAcwB0AHIAYQBsAGkAYQBcACIALAAgAFwAIgBrAGcAXAAiACwAIAAwAC4AMgA0ADQALAAgAFwAIgBhAHQAIABtAGEAcgBrAGUAdABcACIAOwBcAG4AIAAgACAAIAAgACAAIAAgAFwAIgBGAGUAZQBkAFwAIgAsACAAXAAiAE0AZQBhAGwAXAAiACwAIABcACIATQBlAGEAdAAgAG0AZQBhAGwAXAAiACwAIABcACIAQQB1AHMAdAByAGEAbABpAGEAXAAiACwAIABcACIAawBnAFwAIgAsACAAMAAuADQAMAA4ACwAIABcACIAYQB0ACAAbQBhAHIAawBlAHQAXAAiADsAXABuACAAIAAgACAAIAAgACAAIABcACIARgBlAGUAZABcACIALAAgAFwAIgBNAGUAYQBsAFwAIgAsACAAXAAiAFMAbwB5AGIAZQBhAG4AIABtAGUAYQBsAFwAIgAsACAAXAAiAEIAcgBhAHoAaQBsAFwAIgAsACAAXAAiAGsAZwBcACIALAAgADAALgA0ADIANgAsACAAXAAiAGEAdAAgAG0AYQByAGsAZQB0AFwAIgA7AFwAbgAgACAAIAAgACAAIAAgACAAXAAiAEYAZQBlAGQAXAAiACwAIABcACIATQBlAGEAbABcACIALAAgAFwAIgBXAGgAZQBhAHQAIABiAHIAYQBuAFwAIgAsACAAXAAiAEEAdQBzAHQAcgBhAGwAaQBhAFwAIgAsACAAXAAiAGsAZwBcACIALAAgADAALgAxADkANgAsACAAXAAiAGEAdAAgAG0AYQByAGsAZQB0AFwAIgA7AFwAbgAgACAAIAAgACAAIAAgACAAXAAiAEYAZQBlAGQAXAAiACwAIABcACIATQBpAHgAZQBkACAAcgBhAHQAaQBvAG4AcwBcACIALAAgAFwAIgBGAGUAZQBkACAAZgBvAHIAIABjAGgAaQBjAGsAZQBuAHMAXAAiACwAIABcACIAQQB1AHMAdAByAGEAbABpAGEAXAAiACwAIABcACIAawBnAFwAIgAsACAAMAAuADUAOQA0ACwAIABcACIAYQB0ACAAbQBhAHIAawBlAHQAXAAiADsAXABuACAAIAAgACAAIAAgACAAIABcACIARgBlAGUAZABcACIALAAgAFwAIgBNAGkAeABlAGQAIAByAGEAdABpAG8AbgBzAFwAIgAsACAAXAAiAEYAZQBlAGQAIABmAG8AcgAgAGQAYQBpAHIAeQAgAGMAYQBsAHYAZQBzAFwAIgAsACAAXAAiAEEAdQBzAHQAcgBhAGwAaQBhAFwAIgAsACAAXAAiAGsAZwBcACIALAAgADAALgA0ADEAOQAsACAAXAAiAGEAdAAgAG0AYQByAGsAZQB0AFwAIgA7AFwAbgAgACAAIAAgACAAIAAgACAAXAAiAEYAZQBlAGQAXAAiACwAIABcACIATQBpAHgAZQBkACAAcgBhAHQAaQBvAG4AcwBcACIALAAgAFwAIgBGAGUAZQBkACAAZgBvAHIAIABkAGEAaQByAHkAIABjAG8AdwBzAFwAIgAsACAAXAAiAEEAdQBzAHQAcgBhAGwAaQBhAFwAIgAsACAAXAAiAGsAZwBcACIALAAgADAALgAzADMAMwAsACAAXAAiAGEAdAAgAG0AYQByAGsAZQB0AFwAIgA7AFwAbgAgACAAIAAgACAAIAAgACAAXAAiAEYAZQBlAGQAXAAiACwAIABcACIATQBpAHgAZQBkACAAcgBhAHQAaQBvAG4AcwBcACIALAAgAFwAIgBGAGUAZQBkACAAZgBvAHIAIABwAGkAZwBzAFwAIgAsACAAXAAiAEEAdQBzAHQAcgBhAGwAaQBhAFwAIgAsACAAXAAiAGsAZwBcACIALAAgADAALgA0ADAAMwAsACAAXAAiAGEAdAAgAG0AYQByAGsAZQB0AFwAIgA7AFwAbgAgACAAIAAgACAAIAAgACAAXAAiAEYAZQBlAGQAXAAiACwAIABcACIATwB0AGgAZQByAFwAIgAsACAAXAAiAEIAZQBuAHQAbwBuAGkAdABlAFwAIgAsACAAXAAiAEEAdQBzAHQAcgBhAGwAaQBhAFwAIgAsACAAXAAiAGsAZwBcACIALAAgADAALgAwADYANQAyACwAIABcACIAYQB0ACAAbQBhAHIAawBlAHQAXAAiADsAXABuACAAIAAgACAAIAAgACAAIABcACIARgBlAGUAZABcACIALAAgAFwAIgBPAHQAaABlAHIAXAAiACwAIABcACIAQwBhAG4AbwBsAGEAIABvAGkAbABcACIALAAgAFwAIgBBAHUAcwB0AHIAYQBsAGkAYQBcACIALAAgAFwAIgBrAGcAXAAiACwAIAAwAC4AOAA3ACwAIABcACIAYQB0ACAAbQBhAHIAawBlAHQAXAAiADsAXABuACAAIAAgACAAIAAgACAAIABcACIARgBlAGUAZABcACIALAAgAFwAIgBPAHQAaABlAHIAXAAiACwAIABcACIAQwBvAHQAdABvAG4AIABzAGUAZQBkAFwAIgAsACAAXAAiAEEAdQBzAHQAcgBhAGwAaQBhAFwAIgAsACAAXAAiAGsAZwBcACIALAAgADAALgAxADkANwAsACAAXAAiAGEAdAAgAG0AYQByAGsAZQB0AFwAIgA7AFwAbgAgACAAIAAgACAAIAAgACAAXAAiAEYAZQBlAGQAXAAiACwAIABcACIATwB0AGgAZQByAFwAIgAsACAAXAAiAEwAaQBjAGsAIABiAGwAbwBjAGsALAAgAGQAcgB5ACAAcwBlAGEAcwBvAG4AIABtAGkAeABcACIALAAgAFwAIgBBAHUAcwB0AHIAYQBsAGkAYQBcACIALAAgAFwAIgBrAGcAXAAiACwAIAAwAC4AOAA4ADEALAAgAFwAIgBhAHQAIABtAGEAcgBrAGUAdABcACIAOwBcAG4AIAAgACAAIAAgACAAIAAgAFwAIgBGAGUAZQBkAFwAIgAsACAAXAAiAE8AdABoAGUAcgBcACIALAAgAFwAIgBMAGkAYwBrACAAYgBsAG8AYwBrACwAIABtAGkAbgBlAHIAYQBsAFwAIgAsACAAXAAiAEEAdQBzAHQAcgBhAGwAaQBhAFwAIgAsACAAXAAiAGsAZwBcACIALAAgADAALgA2ADcANwAsACAAXAAiAGEAdAAgAG0AYQByAGsAZQB0AFwAIgA7AFwAbgAgACAAIAAgACAAIAAgACAAXAAiAEYAZQBlAGQAXAAiACwAIABcACIATwB0AGgAZQByAFwAIgAsACAAXAAiAEwAaQBjAGsAIABiAGwAbwBjAGsALAAgAHcAZQBhAG4AZQByAFwAIgAsACAAXAAiAEEAdQBzAHQAcgBhAGwAaQBhAFwAIgAsACAAXAAiAGsAZwBcACIALAAgADAALgAyADMAMQAsACAAXAAiAGEAdAAgAG0AYQByAGsAZQB0AFwAIgA7AFwAbgAgACAAIAAgACAAIAAgACAAXAAiAEYAZQBlAGQAXAAiACwAIABcACIATwB0AGgAZQByAFwAIgAsACAAXAAiAE0AbwBsAGEAcwBzAGUAcwBcACIALAAgAFwAIgBRAEwARABcACIALAAgAFwAIgBrAGcAXAAiACwAIAAwAC4AMQA4ADQ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TAGMAbwBwAGUAMwBfAEkAbgBvAHIAZwBhAG4AaQBjAEYAZQByAHQAaQBsAGkAcwBlAHIAcwBfAFQAaQB0AGwAZQBcAG4APQBMAEEATQBCAEQAQQAoACgAXAAiAEkAbgBvAHIAZwBhAG4AaQBjACAAZgBlAHIAdABpAGwAaQBzAGUAcgAgAGMAaABlAG0AaQBjAGEAbAAgAGMAbwBtAHAAbwB1AG4AZAAgAHMAYwBvAHAAZQAgADMAXAAiACkAKQA7AFwAbgBcAG4AUwBjAG8AcABlADMAXwBJAG4AbwByAGcAYQBuAGkAYwBGAGUAcgB0AGkAbABpAHMAZQBy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GAGUAcgB0AGkAbABpAHMAZQByAHMAXAAiACwAIABcACIASQBuAG8AcgBnAGEAbgBpAGMAIABmAGUAcgB0AGkAbABpAHMAZQByAHMAXAAiACwAIABcACIAQQBtAG0AbwBuAGkAYQAsACAAQQBVACAAbQBhAHIAawBlAHQAIABtAGkAeABcACIALAAgAFwAIgBHAGwAbwBiAGEAbABcACIALAAgAFwAIgBrAGcAXAAiACwAIAAyAC4AMwAyACwAIABcACIAYQB0ACAAbQBhAHIAawBlAHQAXAAiADsAXABuACAAIAAgACAAIAAgACAAIABcACIARgBlAHIAdABpAGwAaQBzAGUAcgBzAFwAIgAsACAAXAAiAEkAbgBvAHIAZwBhAG4AaQBjACAAZgBlAHIAdABpAGwAaQBzAGUAcgBzAFwAIgAsACAAXAAiAEEAbQBtAG8AbgBpAGEALAAgAEMAYQBuAGEAZABhAFwAIgAsACAAXAAiAEMAYQBuAGEAZABhAFwAIgAsACAAXAAiAGsAZwBcACIALAAgADIALgAxADIALAAgAFwAIgBhAHQAIABtAGEAcgBrAGUAdABcACIAOwBcAG4AIAAgACAAIAAgACAAIAAgAFwAIgBGAGUAcgB0AGkAbABpAHMAZQByAHMAXAAiACwAIABcACIASQBuAG8AcgBnAGEAbgBpAGMAIABmAGUAcgB0AGkAbABpAHMAZQByAHMAXAAiACwAIABcACIAQQBtAG0AbwBuAGkAYQAsACAAQwBoAGkAbgBhAFwAIgAsACAAXAAiAEMAaABpAG4AYQBcACIALAAgAFwAIgBrAGcAXAAiACwAIAA0AC4AMQA3ACwAIABcACIAYQB0ACAAbQBhAHIAawBlAHQAXAAiADsAXABuACAAIAAgACAAIAAgACAAIABcACIARgBlAHIAdABpAGwAaQBzAGUAcgBzAFwAIgAsACAAXAAiAEkAbgBvAHIAZwBhAG4AaQBjACAAZgBlAHIAdABpAGwAaQBzAGUAcgBzAFwAIgAsACAAXAAiAEEAbQBtAG8AbgBpAGEALAAgAFkAZQBtAGUAbgBcACIALAAgAFwAIgBZAGUAbQBlAG4AXAAiACwAIABcACIAawBnAFwAIgAsACAAMgAuADIANgAsACAAXAAiAGEAdAAgAG0AYQByAGsAZQB0AFwAIgA7AFwAbgAgACAAIAAgACAAIAAgACAAXAAiAEYAZQByAHQAaQBsAGkAcwBlAHIAcwBcACIALAAgAFwAIgBJAG4AbwByAGcAYQBuAGkAYwAgAGYAZQByAHQAaQBsAGkAcwBlAHIAcwBcACIALAAgAFwAIgBBAG0AbQBvAG4AaQB1AG0AIABuAGkAdAByAGEAdABlACwAIABBAFUAIABtAGEAcgBrAGUAdAAgAG0AaQB4AFwAIgAsACAAXAAiAEcAbABvAGIAYQBsAFwAIgAsACAAXAAiAGsAZwBcACIALAAgADIALgAyADEALAAgAFwAIgBhAHQAIABtAGEAcgBrAGUAdABcACIAOwBcAG4AIAAgACAAIAAgACAAIAAgAFwAIgBGAGUAcgB0AGkAbABpAHMAZQByAHMAXAAiACwAIABcACIASQBuAG8AcgBnAGEAbgBpAGMAIABmAGUAcgB0AGkAbABpAHMAZQByAHMAXAAiACwAIABcACIAQwBhAGwAYwBpAHUAbQAgAGEAbQBtAG8AbgBpAHUAbQAgAG4AaQB0AHIAYQB0AGUALAAgAEEAVQAgAG0AYQByAGsAZQB0ACAAbQBpAHgAXAAiACwAIABcACIARwBsAG8AYgBhAGwAXAAiACwAIABcACIAawBnAFwAIgAsACAAMQAuADEANQAsACAAXAAiAGEAdAAgAG0AYQByAGsAZQB0AFwAIgA7AFwAbgAgACAAIAAgACAAIAAgACAAXAAiAEYAZQByAHQAaQBsAGkAcwBlAHIAcwBcACIALAAgAFwAIgBJAG4AbwByAGcAYQBuAGkAYwAgAGYAZQByAHQAaQBsAGkAcwBlAHIAcwBcACIALAAgAFwAIgBDAGEAbABjAGkAdQBtACAAbgBpAHQAcgBhAHQAZQBcACIALAAgAFwAIgBHAGwAbwBiAGEAbABcACIALAAgAFwAIgBrAGcAXAAiACwAIAAwAC4ANwA1ACwAIABcACIAYQB0ACAAbQBhAHIAawBlAHQAXAAiADsAXABuACAAIAAgACAAIAAgACAAIABcACIARgBlAHIAdABpAGwAaQBzAGUAcgBzAFwAIgAsACAAXAAiAEkAbgBvAHIAZwBhAG4AaQBjACAAZgBlAHIAdABpAGwAaQBzAGUAcgBzAFwAIgAsACAAXAAiAEQAaQBhAG0AbQBvAG4AaQB1AG0AIABwAGgAbwBzAHAAaABhAHQAZQAsACAAQQBVACAAbQBhAHIAawBlAHQAIABtAGkAeABcACIALAAgAFwAIgBHAGwAbwBiAGEAbABcACIALAAgAFwAIgBrAGcAXAAiACwAIAAxAC4AMwA0ACwAIABcACIAYQB0ACAAbQBhAHIAawBlAHQAXAAiADsAXABuACAAIAAgACAAIAAgACAAIABcACIARgBlAHIAdABpAGwAaQBzAGUAcgBzAFwAIgAsACAAXAAiAEkAbgBvAHIAZwBhAG4AaQBjACAAZgBlAHIAdABpAGwAaQBzAGUAcgBzAFwAIgAsACAAXAAiAEQAbwB1AGIAbABlACAAcwB1AHAAZQByAHAAaABvAHMAcABoAGEAdABlACwAIABBAFUAIABtAGEAcgBrAGUAdAAgAG0AaQB4AFwAIgAsACAAXAAiAEcAbABvAGIAYQBsAFwAIgAsACAAXAAiAGsAZwBcACIALAAgADAALgAzADkAMgAsACAAXAAiAGEAdAAgAG0AYQByAGsAZQB0AFwAIgA7AFwAbgAgACAAIAAgACAAIAAgACAAXAAiAEYAZQByAHQAaQBsAGkAcwBlAHIAcwBcACIALAAgAFwAIgBJAG4AbwByAGcAYQBuAGkAYwAgAGYAZQByAHQAaQBsAGkAcwBlAHIAcwBcACIALAAgAFwAIgBNAG8AbgBvAGEAbQBtAG8AbgBpAHUAbQAgAHAAaABvAHMAcABoAGEAdABlACwAIABBAFUAIABtAGEAcgBrAGUAdAAgAG0AaQB4AFwAIgAsACAAXAAiAEcAbABvAGIAYQBsAFwAIgAsACAAXAAiAGsAZwBcACIALAAgADAALgA4ADIANwAsACAAXAAiAGEAdAAgAG0AYQByAGsAZQB0AFwAIgA7AFwAbgAgACAAIAAgACAAIAAgACAAXAAiAEYAZQByAHQAaQBsAGkAcwBlAHIAcwBcACIALAAgAFwAIgBJAG4AbwByAGcAYQBuAGkAYwAgAGYAZQByAHQAaQBsAGkAcwBlAHIAcwBcACIALAAgAFwAIgBNAHUAcgBpAGEAdABlACAAbwBmACAAcABvAHQAYQBzAGgALAAgAEEAVQAgAG0AYQByAGsAZQB0ACAAbQBpAHgAXAAiACwAIABcACIARwBsAG8AYgBhAGwAXAAiACwAIABcACIAawBnAFwAIgAsACAAMAAuADUANAA5ACwAIABcACIAYQB0ACAAbQBhAHIAawBlAHQAXAAiADsAXABuACAAIAAgACAAIAAgACAAIABcACIARgBlAHIAdABpAGwAaQBzAGUAcgBzAFwAIgAsACAAXAAiAEkAbgBvAHIAZwBhAG4AaQBjACAAZgBlAHIAdABpAGwAaQBzAGUAcgBzAFwAIgAsACAAXAAiAE4AaQB0AHIAbwBnAGUAbgAgAGYAcgBvAG0AIABhAG0AbQBvAG4AaQBhACwAIABBAFUAIABtAGEAcgBrAGUAdAAgAG0AaQB4AFwAIgAsACAAXAAiAEcAbABvAGIAYQBsAFwAIgAsACAAXAAiAGsAZwAgAE4AXAAiACwAIAAyAC4AOAAzACwAIABcACIAYQB0ACAAbQBhAHIAawBlAHQAXAAiADsAXABuACAAIAAgACAAIAAgACAAIABcACIARgBlAHIAdABpAGwAaQBzAGUAcgBzAFwAIgAsACAAXAAiAEkAbgBvAHIAZwBhAG4AaQBjACAAZgBlAHIAdABpAGwAaQBzAGUAcgBzAFwAIgAsACAAXAAiAE4AaQB0AHIAbwBnAGUAbgAgAGYAcgBvAG0AIABmAGUAcgB0AGkAbABpAHoAZQByACwAIABBAFUAIABtAGEAcgBrAGUAdAAgAG0AaQB4AFwAIgAsACAAXAAiAEcAbABvAGIAYQBsAFwAIgAsACAAXAAiAGsAZwAgAE4AXAAiACwAIAA0AC4AMgAsACAAXAAiAGEAdAAgAG0AYQByAGsAZQB0AFwAIgA7AFwAbgAgACAAIAAgACAAIAAgACAAXAAiAEYAZQByAHQAaQBsAGkAcwBlAHIAcwBcACIALAAgAFwAIgBJAG4AbwByAGcAYQBuAGkAYwAgAGYAZQByAHQAaQBsAGkAcwBlAHIAcwBcACIALAAgAFwAIgBOAGkAdAByAG8AZwBlAG4AIABmAHIAbwBtACAAbgBpAHQAcgBhAHQAZQAgAGYAZQByAHQAaQBsAGkAegBlAHIALAAgAEEAVQAgAG0AYQByAGsAZQB0ACAAbQBpAHgAXAAiACwAIABcACIARwBsAG8AYgBhAGwAXAAiACwAIABcACIAawBnACAATgBcACIALAAgADUALgA0ADcALAAgAFwAIgBhAHQAIABtAGEAcgBrAGUAdABcACIAOwBcAG4AIAAgACAAIAAgACAAIAAgAFwAIgBGAGUAcgB0AGkAbABpAHMAZQByAHMAXAAiACwAIABcACIASQBuAG8AcgBnAGEAbgBpAGMAIABmAGUAcgB0AGkAbABpAHMAZQByAHMAXAAiACwAIABcACIAUABoAG8AcwBwAGgAbwByAHUAcwAgAGYAcgBvAG0AIABmAGUAcgB0AGkAbABpAHoAZQByACwAIABBAFUAIABtAGEAcgBrAGUAdAAgAG0AaQB4AFwAIgAsACAAXAAiAEcAbABvAGIAYQBsAFwAIgAsACAAXAAiAGsAZwAgAFAAXAAiACwAIAAzAC4AOQA2ACwAIABcACIAYQB0ACAAbQBhAHIAawBlAHQAXAAiADsAXABuACAAIAAgACAAIAAgACAAIABcACIARgBlAHIAdABpAGwAaQBzAGUAcgBzAFwAIgAsACAAXAAiAEkAbgBvAHIAZwBhAG4AaQBjACAAZgBlAHIAdABpAGwAaQBzAGUAcgBzAFwAIgAsACAAXAAiAFAAbwB0AGEAcwBzAGkAdQBtACAAZgByAG8AbQAgAGYAZQByAHQAaQBsAGkAegBlAHIALAAgAEEAVQAgAG0AYQByAGsAZQB0ACAAbQBpAHgAXAAiACwAIABcACIARwBsAG8AYgBhAGwAXAAiACwAIABcACIAawBnACAASwBcACIALAAgADAALgA5ADAAOQAsACAAXAAiAGEAdAAgAG0AYQByAGsAZQB0AFwAIgA7AFwAbgAgACAAIAAgACAAIAAgACAAXAAiAEYAZQByAHQAaQBsAGkAcwBlAHIAcwBcACIALAAgAFwAIgBJAG4AbwByAGcAYQBuAGkAYwAgAGYAZQByAHQAaQBsAGkAcwBlAHIAcwBcACIALAAgAFwAIgBTAGkAbgBnAGwAZQAgAHMAdQBwAGUAcgBwAGgAbwBzAHAAaABhAHQAZQAsACAAQQBVACAAbQBhAHIAawBlAHQAIABtAGkAeABcACIALAAgAFwAIgBHAGwAbwBiAGEAbABcACIALAAgAFwAIgBrAGcAXAAiACwAIAAwAC4AMgAyADcALAAgAFwAIgBhAHQAIABtAGEAcgBrAGUAdABcACIAOwBcAG4AIAAgACAAIAAgACAAIAAgAFwAIgBGAGUAcgB0AGkAbABpAHMAZQByAHMAXAAiACwAIABcACIASQBuAG8AcgBnAGEAbgBpAGMAIABmAGUAcgB0AGkAbABpAHMAZQByAHMAXAAiACwAIABcACIAUwB1AGwAZgB1AHIAIABmAHIAbwBtACAAZgBlAHIAdABpAGwAaQB6AGUAcgAsACAAQQBVACAAbQBhAHIAawBlAHQAIABtAGkAeABcACIALAAgAFwAIgBHAGwAbwBiAGEAbABcACIALAAgAFwAIgBrAGcAIABTAFwAIgAsACAAMgAuADUALAAgAFwAIgBhAHQAIABtAGEAcgBrAGUAdABcACIAOwBcAG4AIAAgACAAIAAgACAAIAAgAFwAIgBGAGUAcgB0AGkAbABpAHMAZQByAHMAXAAiACwAIABcACIASQBuAG8AcgBnAGEAbgBpAGMAIABmAGUAcgB0AGkAbABpAHMAZQByAHMAXAAiACwAIABcACIAQQBtAG0AbwBuAGkAdQBtACAAcwB1AGwAcABoAGEAdABlACwAIABBAFUAIABtAGEAcgBrAGUAdAAgAG0AaQB4AFwAIgAsACAAXAAiAEcAbABvAGIAYQBsAFwAIgAsACAAXAAiAGsAZwBcACIALAAgADAALgA4ADYANQAsACAAXAAiAGEAdAAgAG0AYQByAGsAZQB0AFwAIgA7AFwAbgAgACAAIAAgACAAIAAgACAAXAAiAEYAZQByAHQAaQBsAGkAcwBlAHIAcwBcACIALAAgAFwAIgBJAG4AbwByAGcAYQBuAGkAYwAgAGYAZQByAHQAaQBsAGkAcwBlAHIAcwBcACIALAAgAFwAIgBVAHIAZQBhACAAYQBtAG0AbwBuAGkAdQBtACAAbgBpAHQAcgBhAHQAZQAsACAAQQBVACAAbQBhAHIAawBlAHQAIABtAGkAeABcACIALAAgAFwAIgBHAGwAbwBiAGEAbABcACIALAAgAFwAIgBrAGcAXAAiACwAIAAxAC4ANwA1ACwAIABcACIAYQB0ACAAbQBhAHIAawBlAHQAXAAiADsAXABuACAAIAAgACAAIAAgACAAIABcACIARgBlAHIAdABpAGwAaQBzAGUAcgBzAFwAIgAsACAAXAAiAEkAbgBvAHIAZwBhAG4AaQBjACAAZgBlAHIAdABpAGwAaQBzAGUAcgBzAFwAIgAsACAAXAAiAFUAcgBlAGEALAAgAEEAVQAgAG0AYQByAGsAZQB0ACAAbQBpAHgAXAAiACwAIABcACIARwBsAG8AYgBhAGwAXAAiACwAIABcACIAawBnAFwAIgAsACAAMAAuADkANgA4ACwAIABcACIAYQB0ACAAbQBhAHIAawBlAHQAXAAiADsAXABuACAAIAAgACAAIAAgACAAIABcACIARgBlAHIAdABpAGwAaQBzAGUAcgBzAFwAIgAsACAAXAAiAEkAbgBvAHIAZwBhAG4AaQBjACAAZgBlAHIAdABpAGwAaQBzAGUAcgBzAFwAIgAsACAAXAAiAFUAcgBlAGEALAAgAEMAYQBuAGEAZABhAFwAIgAsACAAXAAiAEMAYQBuAGEAZABhAFwAIgAsACAAXAAiAGsAZwBcACIALAAgADAALgA4ADIAMwAsACAAXAAiAGEAdAAgAG0AYQByAGsAZQB0AFwAIgA7AFwAbgAgACAAIAAgACAAIAAgACAAXAAiAEYAZQByAHQAaQBsAGkAcwBlAHIAcwBcACIALAAgAFwAIgBJAG4AbwByAGcAYQBuAGkAYwAgAGYAZQByAHQAaQBsAGkAcwBlAHIAcwBcACIALAAgAFwAIgBVAHIAZQBhACwAIABDAGgAaQBuAGEAXAAiACwAIABcACIAQwBoAGkAbgBhAFwAIgAsACAAXAAiAGsAZwBcACIALAAgADIALgAwADkALAAgAFwAIgBhAHQAIABtAGEAcgBrAGUAdABcACIAOwBcAG4AIAAgACAAIAAgACAAIAAgAFwAIgBGAGUAcgB0AGkAbABpAHMAZQByAHMAXAAiACwAIABcACIASQBuAG8AcgBnAGEAbgBpAGMAIABmAGUAcgB0AGkAbABpAHMAZQByAHMAXAAiACwAIABcACIAVQByAGUAYQAsACAAWQBlAG0AZQBuAFwAIgAsACAAXAAiAFkAZQBtAGUAbgBcACIALAAgAFwAIgBrAGcAXAAiACwAIAAwAC4AOQA2ADMALAAgAFwAIgBhAHQAIABtAGEAcgBrAGUAdABcACIAOwBcAG4AIAAgACAAIAAgACAAIAAgAFwAIgBGAGUAcgB0AGkAbABpAHMAZQByAHMAXAAiACwAIABcACIASQBuAG8AcgBnAGEAbgBpAGMAIABmAGUAcgB0AGkAbABpAHMAZQByAHMAXAAiACwAIABcACIAWgBpAG4AYwAgAGYAcgBvAG0AIABmAGUAcgB0AGkAbABpAHoAZQByAFwAIgAsACAAXAAiAEcAbABvAGIAYQBsAFwAIgAsACAAXAAiAGsAZwAgAFoAbgBcACIALAAgADQALgA4ADI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8AdABoAGUAcgAgAGEAZwByAGkAYwB1AGwAdAB1AHIAYQBsACAAaQBuAHAAdQB0AHMAXABuAD0APQA9AD0APQA9AD0APQA9AD0APQA9AD0APQA9AD0APQA9AD0APQA9AD0APQA9AD0APQA9AD0APQA9AD0APQA9AD0APQA9AD0APQA9AD0APQA9AD0APQA9AD0APQA9AD0APQA9AD0APQA9AD0APQA9AD0APQA9AD0APQA9AD0APQA9AD0APQA9AD0APQA9AD0APQA9AD0AXABuACoALwBcAG4AXABuAFMAYwBvAHAAZQAzAF8ATwB0AGgAZQByAF8AVABpAHQAbABlAFwAbgA9AEwAQQBNAEIARABBACgAKABcACIATwB0AGgAZQByACAAYQBnAHIAaQBjAHUAbAB0AHUAcgBhAGwAIABpAG4AcAB1AHQAcwAgAHMAYwBvAHAAZQAgADMAXAAiACkAKQA7AFwAbgBcAG4AUwBjAG8AcABlADMAXwBPAHQAaABlAHI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PAHQAaABlAHIAXwBWAGEAcgBpAGEAdABpAG8AbgBcAG4APQBMAEEATQBCAEQAQQAoACgAXAAiAFwAIgApACkAOwBcAG4AXABuAFMAYwBvAHAAZQAzAF8ATwB0AGgAZQByAF8ARABhAHQAYQBcAG4APQBMAEEATQBCAEQAQQAoAFwAbgAgACAATQBBAEsARQBBAFIAUgBBAFkAKAA5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TwB0AGgAZQByAFwAIgAsACAAXAAiAE8AdABoAGUAcgBcACIALAAgAFwAIgBBAG4AaQBtAGEAbAAgAGUAYQByACAAdABhAGcAcwAgACgAbABhAHIAZwBlACkAXAAiACwAIABcACIAQQB1AHMAdAByAGEAbABpAGEAXAAiACwAIABcACIAcABcACIALAAgADAALgAwADQAMgA0ACwAIABcACIAYQB0ACAAbQBhAHIAawBlAHQAXAAiADsAXABuACAAIAAgACAAIAAgACAAIABcACIATwB0AGgAZQByAFwAIgAsACAAXAAiAE8AdABoAGUAcgBcACIALAAgAFwAIgBBAG4AaQBtAGEAbAAgAGUAYQByACAAdABhAGcAcwAgACgAcwBtAGEAbABsACkAXAAiACwAIABcACIAQQB1AHMAdAByAGEAbABpAGEAXAAiACwAIABcACIAcABcACIALAAgADAALgAwADIAOQAzACwAIABcACIAYQB0ACAAbQBhAHIAawBlAHQAXAAiADsAXABuACAAIAAgACAAIAAgACAAIABcACIATwB0AGgAZQByAFwAIgAsACAAXAAiAE8AdABoAGUAcgBcACIALAAgAFwAIgBCAGEAcgBsAGUAeQAgAGcAcgBhAGkAbgAgACgAZgBvAHIAIABzAGUAZQBkACkAXAAiACwAIABcACIAQQB1AHMAdAByAGEAbABpAGEAXAAiACwAIABcACIAawBnAFwAIgAsACAAMAAuADIAMwA5ACwAIABcACIAYQB0ACAAbQBhAHIAawBlAHQAXAAiADsAXABuACAAIAAgACAAIAAgACAAIABcACIATwB0AGgAZQByAFwAIgAsACAAXAAiAE8AdABoAGUAcgBcACIALAAgAFwAIgBNAGEAaQB6AGUAIABnAHIAYQBpAG4AIAAoAGYAbwByACAAcwBlAGUAZAApAFwAIgAsACAAXAAiAEEAdQBzAHQAcgBhAGwAaQBhAFwAIgAsACAAXAAiAGsAZwBcACIALAAgADAALgAxADgAMQAsACAAXAAiAGEAdAAgAG0AYQByAGsAZQB0AFwAIgA7AFwAbgAgACAAIAAgACAAIAAgACAAXAAiAE8AdABoAGUAcgBcACIALAAgAFwAIgBPAHQAaABlAHIAXAAiACwAIABcACIATgB5AGwAbwBuACAAbgBlAHQAdABpAG4AZwBcACIALAAgAFwAIgBHAGwAbwBiAGEAbABcACIALAAgAFwAIgBrAGcAXAAiACwAIAA5AC4AOAAxACwAIABcACIAYQB0ACAAbQBhAHIAawBlAHQAXAAiADsAXABuACAAIAAgACAAIAAgACAAIABcACIATwB0AGgAZQByAFwAIgAsACAAXAAiAE8AdABoAGUAcgBcACIALAAgAFwAIgBPAGEAdAAgAGcAcgBhAGkAbgAgACgAZgBvAHIAIABzAGUAZQBkACkAXAAiACwAIABcACIAQQB1AHMAdAByAGEAbABpAGEAXAAiACwAIABcACIAawBnAFwAIgAsACAAMAAuADIANwAsACAAXAAiAGEAdAAgAG0AYQByAGsAZQB0AFwAIgA7AFwAbgAgACAAIAAgACAAIAAgACAAXAAiAE8AdABoAGUAcgBcACIALAAgAFwAIgBPAHQAaABlAHIAXAAiACwAIABcACIAUwBvAHIAZwBoAHUAbQAgAGcAcgBhAGkAbgAgACgAZgBvAHIAIABzAGUAZQBkACkAXAAiACwAIABcACIAQQB1AHMAdAByAGEAbABpAGEAXAAiACwAIABcACIAawBnAFwAIgAsACAAMAAuADIAMwAyACwAIABcACIAYQB0ACAAbQBhAHIAawBlAHQAXAAiADsAXABuACAAIAAgACAAIAAgACAAIABcACIATwB0AGgAZQByAFwAIgAsACAAXAAiAE8AdABoAGUAcgBcACIALAAgAFwAIgBXAGgAZQBhAHQAIABnAHIAYQBpAG4AIAAoAGYAbwByACAAcwBlAGUAZAApAFwAIgAsACAAXAAiAEEAdQBzAHQAcgBhAGwAaQBhAFwAIgAsACAAXAAiAGsAZwBcACIALAAgADAALgAyADYAO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YQBjAGsAYQBnAGkAbgBnAF8AVgBhAHIAaQBhAHQAaQBvAG4AXABuAD0ATABBAE0AQgBEAEEAKAAoAFwAIgBcACIAKQApADsAXABuAFwAbgBTAGMAbwBwAGUAMwBfAFAAYQBjAGsAYQBnAGkAbgBnAF8ARABhAHQAYQBcAG4APQBMAEEATQBCAEQAQQAoAFwAbgAgACAATQBBAEsARQBBAFIAUgBBAFkAKAA1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hAGMAawBhAGcAaQBuAGcAXAAiACwAIABcACIAUABhAGMAawBhAGcAaQBuAGcAXAAiACwAIABcACIAQwBvAHIAcgB1AGcAYQB0AGUAZAAgAGIAbwBhAHIAZABcACIALAAgAFwAIgBHAGwAbwBiAGEAbABcACIALAAgAFwAIgBrAGcAXAAiACwAIAAxAC4AMAA1ACwAIABcACIAYQB0ACAAbQBhAG4AdQBmAGEAYwB0AHUAcgBlAHIAXAAiADsAXABuACAAIAAgACAAIAAgACAAIABcACIAUABhAGMAawBhAGcAaQBuAGcAXAAiACwAIABcACIAUABhAGMAawBhAGcAaQBuAGcAXAAiACwAIABcACIAUABsAGEAcwB0AGkAYwAgAGMAcgBhAHQAZQAgAHAAbwBsAHkAcAByAG8AcAB5AGwAZQBuAGUAXAAiACwAIABcACIARwBsAG8AYgBhAGwAXAAiACwAIABcACIAcABcACIALAAgADMALgA5ADkALAAgAFwAIgBhAHQAIABtAGEAbgB1AGYAYQBjAHQAdQByAGUAcgBcACIAOwBcAG4AIAAgACAAIAAgACAAIAAgAFwAIgBQAGEAYwBrAGEAZwBpAG4AZwBcACIALAAgAFwAIgBQAGEAYwBrAGEAZwBpAG4AZwBcACIALAAgAFwAIgBQAGwAYQBzAHQAaQBjACAAZgBpAGwAbQAgAEwARABQAEUAXAAiACwAIABcACIARwBsAG8AYgBhAGwAXAAiACwAIABcACIAawBnAFwAIgAsACAAMwAuADQANAAsACAAXAAiAGEAdAAgAG0AYQBuAHUAZgBhAGMAdAB1AHIAZQByAFwAIgA7AFwAbgAgACAAIAAgACAAIAAgACAAXAAiAFAAYQBjAGsAYQBnAGkAbgBnAFwAIgAsACAAXAAiAFAAYQBjAGsAYQBnAGkAbgBnAFwAIgAsACAAXAAiAFAAbABhAHMAdABpAGMAIABzAGgAZQBlAHQAIABIAEQAUABFAFwAIgAsACAAXAAiAEcAbABvAGIAYQBsAFwAIgAsACAAXAAiAGsAZwBcACIALAAgADMALgA3ADI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ZQBzAHQAaQBjAGkAZABlAHMAXABuAD0APQA9AD0APQA9AD0APQA9AD0APQA9AD0APQA9AD0APQA9AD0APQA9AD0APQA9AD0APQA9AD0APQA9AD0APQA9AD0APQA9AD0APQA9AD0APQA9AD0APQA9AD0APQA9AD0APQA9AD0APQA9AD0APQA9AD0APQA9AD0APQA9AD0APQA9AD0APQA9AD0APQA9AD0APQA9AD0AXABuACoALwBcAG4AXABuAFMAYwBvAHAAZQAzAF8AUABlAHMAdABpAGMAaQBkAGUAcwBfAFQAaQB0AGwAZQBcAG4APQBMAEEATQBCAEQAQQAoACgAXAAiAFAAZQBzAHQAaQBjAGkAZABlAHMAIABzAGMAbwBwAGUAIAAzAFwAIgApACkAOwBcAG4AXABuAFMAYwBvAHAAZQAzAF8AUABlAHMAdABpAGMAaQBkAGU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AAZQBzAHQAaQBjAGkAZABlAHMAXwBWAGEAcgBpAGEAdABpAG8AbgBcAG4APQBMAEEATQBCAEQAQQAoACgAXAAiAFwAIgApACkAOwBcAG4AXABuAFMAYwBvAHAAZQAzAF8AUABlAHMAdABpAGMAaQBkAGUAcwBfAEQAYQB0AGEAXABuAD0ATABBAE0AQgBEAEEAKABcAG4AIAAgAE0AQQBLAEUAQQBSAFIAQQBZACgAMQAz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ABlAHMAdABpAGMAaQBkAGUAcwBcACIALAAgAFwAIgBQAGUAcwB0AGkAYwBpAGQAZQBzAFwAIgAsACAAXAAiADIALAA0AC0ARABcACIALAAgAFwAIgBHAGwAbwBiAGEAbABcACIALAAgAFwAIgBrAGcAIABBAEkAXAAiACwAIAA1AC4AMgAsACAAXAAiAGEAdAAgAG0AYQByAGsAZQB0AFwAIgA7AFwAbgAgACAAIAAgACAAIAAgACAAXAAiAFAAZQBzAHQAaQBjAGkAZABlAHMAXAAiACwAIABcACIAUABlAHMAdABpAGMAaQBkAGUAcwBcACIALAAgAFwAIgBBAHQAcgBhAHoAaQBuAGUAXAAiACwAIABcACIARwBsAG8AYgBhAGwAXAAiACwAIABcACIAawBnACAAQQBJAFwAIgAsACAAOAAuADMAOAAsACAAXAAiAGEAdAAgAG0AYQByAGsAZQB0AFwAIgA7AFwAbgAgACAAIAAgACAAIAAgACAAXAAiAFAAZQBzAHQAaQBjAGkAZABlAHMAXAAiACwAIABcACIAUABlAHMAdABpAGMAaQBkAGUAcwBcACIALAAgAFwAIgBEAGkAdQByAG8AbgBcACIALAAgAFwAIgBHAGwAbwBiAGEAbABcACIALAAgAFwAIgBrAGcAIABBAEkAXAAiACwAIAA4AC4AOAAsACAAXAAiAGEAdAAgAG0AYQByAGsAZQB0AFwAIgA7AFwAbgAgACAAIAAgACAAIAAgACAAXAAiAFAAZQBzAHQAaQBjAGkAZABlAHMAXAAiACwAIABcACIAUABlAHMAdABpAGMAaQBkAGUAcwBcACIALAAgAFwAIgBHAGwAeQBwAGgAbwBzAGEAdABlAFwAIgAsACAAXAAiAEcAbABvAGIAYQBsAFwAIgAsACAAXAAiAGsAZwAgAEEASQBcACIALAAgADEAMAAuADMALAAgAFwAIgBhAHQAIABtAGEAcgBrAGUAdABcACIAOwBcAG4AIAAgACAAIAAgACAAIAAgAFwAIgBQAGUAcwB0AGkAYwBpAGQAZQBzAFwAIgAsACAAXAAiAFAAZQBzAHQAaQBjAGkAZABlAHMAXAAiACwAIABcACIATQBhAG4AYwBvAHoAZQBiAFwAIgAsACAAXAAiAEcAbABvAGIAYQBsAFwAIgAsACAAXAAiAGsAZwAgAEEASQBcACIALAAgADQALgA1ADUALAAgAFwAIgBhAHQAIABtAGEAcgBrAGUAdABcACIAOwBcAG4AIAAgACAAIAAgACAAIAAgAFwAIgBQAGUAcwB0AGkAYwBpAGQAZQBzAFwAIgAsACAAXAAiAFAAZQBzAHQAaQBjAGkAZABlAHMAXAAiACwAIABcACIATQBDAFAAQQBcACIALAAgAFwAIgBHAGwAbwBiAGEAbABcACIALAAgAFwAIgBrAGcAIABBAEkAXAAiACwAIAA1AC4ANgAsACAAXAAiAGEAdAAgAG0AYQByAGsAZQB0AFwAIgA7AFwAbgAgACAAIAAgACAAIAAgACAAXAAiAFAAZQBzAHQAaQBjAGkAZABlAHMAXAAiACwAIABcACIAUABlAHMAdABpAGMAaQBkAGUAcwBcACIALAAgAFwAIgBNAGUAdABvAGwAYQBjAGgAbABvAHIAXAAiACwAIABcACIARwBsAG8AYgBhAGwAXAAiACwAIABcACIAawBnACAAQQBJAFwAIgAsACAAOAAuADAANgAsACAAXAAiAGEAdAAgAG0AYQByAGsAZQB0AFwAIgA7AFwAbgAgACAAIAAgACAAIAAgACAAXAAiAFAAZQBzAHQAaQBjAGkAZABlAHMAXAAiACwAIABcACIAUABlAHMAdABpAGMAaQBkAGUAcwBcACIALAAgAFwAIgBNAGUAdABzAHUAbABmAHUAcgBvAG4ALQBtAGUAdABoAHkAbABcACIALAAgAFwAIgBHAGwAbwBiAGEAbABcACIALAAgAFwAIgBrAGcAIABBAEkAXAAiACwAIAA4AC4AOAAsACAAXAAiAGEAdAAgAG0AYQByAGsAZQB0AFwAIgA7AFwAbgAgACAAIAAgACAAIAAgACAAXAAiAFAAZQBzAHQAaQBjAGkAZABlAHMAXAAiACwAIABcACIAUABlAHMAdABpAGMAaQBkAGUAcwBcACIALAAgAFwAIgBQAGUAcwB0AGkAYwBpAGQAZQBzACAAKABnAGUAbgBlAHIAaQBjACkAXAAiACwAIABcACIARwBsAG8AYgBhAGwAXAAiACwAIABcACIAawBnACAAQQBJAFwAIgAsACAAOQAuADEANgAsACAAXAAiAGEAdAAgAG0AYQByAGsAZQB0AFwAIgA7AFwAbgAgACAAIAAgACAAIAAgACAAXAAiAFAAZQBzAHQAaQBjAGkAZABlAHMAXAAiACwAIABcACIAUABlAHMAdABpAGMAaQBkAGUAcwBcACIALAAgAFwAIgBUAHIAaQAtAGEAbABsAGEAdABlAFwAIgAsACAAXAAiAEcAbABvAGIAYQBsAFwAIgAsACAAXAAiAGsAZwAgAEEASQBcACIALAAgADgALgA1ADcALAAgAFwAIgBhAHQAIABtAGEAcgBrAGUAdABcACIAOwBcAG4AIAAgACAAIAAgACAAIAAgAFwAIgBQAGUAcwB0AGkAYwBpAGQAZQBzAFwAIgAsACAAXAAiAFAAZQBzAHQAaQBjAGkAZABlAHMAXAAiACwAIABcACIAVAByAGkAYgBlAG4AdQByAG8AbgAgAG0AZQB0AGgAeQBsAFwAIgAsACAAXAAiAEcAbABvAGIAYQBsAFwAIgAsACAAXAAiAGsAZwAgAEEASQBcACIALAAgADgALgA4ACwAIABcACIAYQB0ACAAbQBhAHIAawBlAHQAXAAiADsAXABuACAAIAAgACAAIAAgACAAIABcACIAUABlAHMAdABpAGMAaQBkAGUAcwBcACIALAAgAFwAIgBQAGUAcwB0AGkAYwBpAGQAZQBzAFwAIgAsACAAXAAiAFQAcgBpAGYAbAB1AHIAYQBsAGkAbgBcACIALAAgAFwAIgBHAGwAbwBiAGEAbABcACIALAAgAFwAIgBrAGcAIABBAEkAXAAiACwAIAA2AC4AMQA2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0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UwBvAGkAbAAgAGEAbQBlAGwAaQBvAHIAYQBuAHQAcwBcACIALAAgAFwAIgBTAG8AaQBsACAAYQBtAGUAbABpAG8AcgBhAG4AdABzAFwAIgAsACAAXAAiAEQAbwBsAG8AbQBpAHQAZ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HAHkAcABzAHUAbQBcACIALAAgAFwAIgBBAHUAcwB0AHIAYQBsAGkAYQBcACIALAAgAFwAIgBrAGcAXAAiACwAIAAwAC4AMAA2ADUAMgAsACAAXAAiAGEAdAAgAG0AYQByAGsAZQB0AFwAIgA7AFwAbgAgACAAIAAgACAAIAAgACAAXAAiAFMAbwBpAGwAIABhAG0AZQBsAGkAbwByAGEAbgB0AHMAXAAiACwAIABcACIAUwBvAGkAbAAgAGEAbQBlAGwAaQBvAHIAYQBuAHQAcwBcACIALAAgAFwAIgBMAGkAbQBlAHMAdABvAG4AZQAgACgAYwByAHUAcwBoAGUAZAApAFwAIgAsACAAXAAiAEEAdQBzAHQAcgBhAGwAaQBhAFwAIgAsACAAXAAiAGsAZwBcACIALAAgADAALgAwADQAOAA1ACwAIABcACIAYQB0ACAAbQBhAHIAawBlAHQAXAAiAFwAbgAgACAAIAAgACAAIAB9ACwAIAByACwAIABjACkAXABuACkAKQApADsAXABu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275</vt:i4>
      </vt:variant>
    </vt:vector>
  </HeadingPairs>
  <TitlesOfParts>
    <vt:vector size="319" baseType="lpstr">
      <vt:lpstr>Home</vt:lpstr>
      <vt:lpstr>Results - Activity period</vt:lpstr>
      <vt:lpstr>Results - Product EI</vt:lpstr>
      <vt:lpstr>Input - Enterprise</vt:lpstr>
      <vt:lpstr>Input - Site</vt:lpstr>
      <vt:lpstr>Input - Feedlot</vt:lpstr>
      <vt:lpstr>Input - Livestock sales</vt:lpstr>
      <vt:lpstr>Input - Beef cattle purchases</vt:lpstr>
      <vt:lpstr>Input - Fuel</vt:lpstr>
      <vt:lpstr>Input - Electricity</vt:lpstr>
      <vt:lpstr>Input - Common farm inputs</vt:lpstr>
      <vt:lpstr>Input - Livestock farm Inputs</vt:lpstr>
      <vt:lpstr>Input - Freight</vt:lpstr>
      <vt:lpstr>Input - Solid waste</vt:lpstr>
      <vt:lpstr>Input - Manure sent off-site</vt:lpstr>
      <vt:lpstr>Input - Data quality</vt:lpstr>
      <vt:lpstr>3.1.1.1-2 Enteric Methane</vt:lpstr>
      <vt:lpstr>4.1.1.1-2 Methane</vt:lpstr>
      <vt:lpstr>4.1.1.3-4 Direct N20</vt:lpstr>
      <vt:lpstr>4.1.1.5-6 Atmos Deposition</vt:lpstr>
      <vt:lpstr>4.1.1.9 Manure applied to soils</vt:lpstr>
      <vt:lpstr>8.1.1.1-2 Transport fuel</vt:lpstr>
      <vt:lpstr>8.2.1.1-2 Stationary fuel</vt:lpstr>
      <vt:lpstr>10.1.1-2 Solid waste treatment</vt:lpstr>
      <vt:lpstr>14.1.1-2 Purchased electricity</vt:lpstr>
      <vt:lpstr>15 Scope 3</vt:lpstr>
      <vt:lpstr>Calcs - Manure sent off-site</vt:lpstr>
      <vt:lpstr>Constants - Feedlot</vt:lpstr>
      <vt:lpstr>Constants - Common livestock</vt:lpstr>
      <vt:lpstr>Constants - Electricity</vt:lpstr>
      <vt:lpstr>Constants - Fertiliser</vt:lpstr>
      <vt:lpstr>Constants - Fuel</vt:lpstr>
      <vt:lpstr>Constants - Scope 3</vt:lpstr>
      <vt:lpstr>Constants - Solid Waste</vt:lpstr>
      <vt:lpstr>Constants - Common</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Input_Site_EndDate</vt:lpstr>
      <vt:lpstr>Input_Site_FarmName</vt:lpstr>
      <vt:lpstr>Input_Site_ReportingEntityName</vt:lpstr>
      <vt:lpstr>Input_Site_StartDate</vt:lpstr>
      <vt:lpstr>M1_Table_AE_j</vt:lpstr>
      <vt:lpstr>M1_Table_CP_j</vt:lpstr>
      <vt:lpstr>M1_Table_DMD_j</vt:lpstr>
      <vt:lpstr>M1_Table_E_CH4</vt:lpstr>
      <vt:lpstr>M1_Table_E_CO2</vt:lpstr>
      <vt:lpstr>M1_Table_E_N2O</vt:lpstr>
      <vt:lpstr>M1_Table_E_N2O_dir</vt:lpstr>
      <vt:lpstr>M1_Table_EE_j</vt:lpstr>
      <vt:lpstr>M1_Table_I_j</vt:lpstr>
      <vt:lpstr>M1_Table_I_j_Consumer_1</vt:lpstr>
      <vt:lpstr>M1_Table_M_j</vt:lpstr>
      <vt:lpstr>M1_Table_M_j_m_T</vt:lpstr>
      <vt:lpstr>M1_Table_M_j_m_T2</vt:lpstr>
      <vt:lpstr>M1_Table_M_j_m1_T3</vt:lpstr>
      <vt:lpstr>M1_Table_M_j_m5_T1</vt:lpstr>
      <vt:lpstr>M1_Table_MCF_i_m</vt:lpstr>
      <vt:lpstr>M1_Table_MMS_ATMOS</vt:lpstr>
      <vt:lpstr>M1_Table_MN_j_m_T</vt:lpstr>
      <vt:lpstr>M1_Table_MN_j_m_T2</vt:lpstr>
      <vt:lpstr>M1_Table_MN_j_m_T2_Consumer_1</vt:lpstr>
      <vt:lpstr>M1_Table_MN_j_m_T23</vt:lpstr>
      <vt:lpstr>M1_Table_MN_j_m1_T3</vt:lpstr>
      <vt:lpstr>M1_Table_MN_j_m5_T1</vt:lpstr>
      <vt:lpstr>M1_Table_MNSoil_scope1</vt:lpstr>
      <vt:lpstr>M1_Table_MNSoil_scope3</vt:lpstr>
      <vt:lpstr>M1_Table_MNSoil_scope3_fert</vt:lpstr>
      <vt:lpstr>M1_Table_NDF_j</vt:lpstr>
      <vt:lpstr>M1_Table_NE_j</vt:lpstr>
      <vt:lpstr>M1_Table_NI_j</vt:lpstr>
      <vt:lpstr>M1_Table_NR_j</vt:lpstr>
      <vt:lpstr>M1_Table_NT_j_m_T2</vt:lpstr>
      <vt:lpstr>M1_Table_VS_j</vt:lpstr>
      <vt:lpstr>M2_Table_AE_j</vt:lpstr>
      <vt:lpstr>M2_Table_CP_j</vt:lpstr>
      <vt:lpstr>M2_Table_DMD_j</vt:lpstr>
      <vt:lpstr>M2_Table_E_CH4</vt:lpstr>
      <vt:lpstr>M2_Table_E_N2O_dir</vt:lpstr>
      <vt:lpstr>M2_Table_EE_j</vt:lpstr>
      <vt:lpstr>M2_Table_FertApplications</vt:lpstr>
      <vt:lpstr>M2_Table_I_j</vt:lpstr>
      <vt:lpstr>M2_Table_I_j_Consumer_1</vt:lpstr>
      <vt:lpstr>M2_Table_M_j</vt:lpstr>
      <vt:lpstr>M2_Table_M_j_m_T</vt:lpstr>
      <vt:lpstr>M2_Table_M_j_m_T2</vt:lpstr>
      <vt:lpstr>M2_Table_M_j_m1_T3</vt:lpstr>
      <vt:lpstr>M2_Table_M_j_m5_T1</vt:lpstr>
      <vt:lpstr>M2_Table_MCF_i_m</vt:lpstr>
      <vt:lpstr>M2_Table_MMS_ATMOS</vt:lpstr>
      <vt:lpstr>M2_Table_MN_j_m_T</vt:lpstr>
      <vt:lpstr>M2_Table_MN_j_m_T23</vt:lpstr>
      <vt:lpstr>M2_Table_MN_j_m1_T3</vt:lpstr>
      <vt:lpstr>M2_Table_MN_j_m5_T1</vt:lpstr>
      <vt:lpstr>M2_Table_MNSoil_scope1</vt:lpstr>
      <vt:lpstr>M2_Table_MNSoil_scope3</vt:lpstr>
      <vt:lpstr>M2_Table_MNSoil_scope3_fert</vt:lpstr>
      <vt:lpstr>M2_Table_NDF_j</vt:lpstr>
      <vt:lpstr>M2_Table_NE_j</vt:lpstr>
      <vt:lpstr>M2_Table_NI_j</vt:lpstr>
      <vt:lpstr>M2_Table_NR_j</vt:lpstr>
      <vt:lpstr>M2_Table_NT_j_m_T2</vt:lpstr>
      <vt:lpstr>M2_Table_VS_j</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SourceData_Feedlot_AshContent_Data</vt:lpstr>
      <vt:lpstr>SourceData_Feedlot_MethaneEmissionsPotential_Data</vt:lpstr>
      <vt:lpstr>SourceData_Feedlot_MMSm1T3_Data</vt:lpstr>
      <vt:lpstr>SourceData_Feedlot_VSL_Data</vt:lpstr>
      <vt:lpstr>Table_D_j</vt:lpstr>
      <vt:lpstr>Table_D_j_Consumer_1</vt:lpstr>
      <vt:lpstr>Table_E_ad_inorganic</vt:lpstr>
      <vt:lpstr>Table_E_ad_organic</vt:lpstr>
      <vt:lpstr>Table_E_CH4</vt:lpstr>
      <vt:lpstr>Table_E_CH4_Consumer_1</vt:lpstr>
      <vt:lpstr>Table_E_g</vt:lpstr>
      <vt:lpstr>Table_E_g_Consumer_1</vt:lpstr>
      <vt:lpstr>Table_E_g_offsite</vt:lpstr>
      <vt:lpstr>Table_E_g_onsite</vt:lpstr>
      <vt:lpstr>Table_E_lime</vt:lpstr>
      <vt:lpstr>Table_EF_j_m</vt:lpstr>
      <vt:lpstr>Table_EF_j_m_T23</vt:lpstr>
      <vt:lpstr>Table_FracGASM_m_T23</vt:lpstr>
      <vt:lpstr>Table_FracGASM_m_T23_Consumer_1</vt:lpstr>
      <vt:lpstr>Table_M_leach_inorganic_j</vt:lpstr>
      <vt:lpstr>Table_M_leach_organic_j</vt:lpstr>
      <vt:lpstr>Table_M_vol_inorganic_j_f</vt:lpstr>
      <vt:lpstr>Table_M_vol_organic_j_f</vt:lpstr>
      <vt:lpstr>Table_MMS_j_m_T2</vt:lpstr>
      <vt:lpstr>Table_MMS_j_m1_T3</vt:lpstr>
      <vt:lpstr>Table_MMS_j_m5_T1</vt:lpstr>
      <vt:lpstr>Table_MMS_m_T2</vt:lpstr>
      <vt:lpstr>Table_MMS_m1_T3</vt:lpstr>
      <vt:lpstr>Table_MMS_m5_T1</vt:lpstr>
      <vt:lpstr>Table_MN_j_f</vt:lpstr>
      <vt:lpstr>Table_MNSoil_j_f</vt:lpstr>
      <vt:lpstr>Table_MU_j_f</vt:lpstr>
      <vt:lpstr>Table_N_j</vt:lpstr>
      <vt:lpstr>Table_N_j_Consumer_1</vt:lpstr>
      <vt:lpstr>Table_PF</vt:lpstr>
      <vt:lpstr>Table_PF_fert</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VEERG_3_1_1_1__1_TotalAnnualMethaneFromEntericFermentation_Result_Method1</vt:lpstr>
      <vt:lpstr>VEERG_3_1_1_1__1_TotalAnnualMethaneFromEntericFermentation_Result_Method2</vt:lpstr>
      <vt:lpstr>VEERG_4_1_1_1__1_TotalAnnualMethaneEmissions_Result_Method1</vt:lpstr>
      <vt:lpstr>VEERG_4_1_1_1__1_TotalAnnualMethaneEmissions_Result_Method2</vt:lpstr>
      <vt:lpstr>VEERG_4_1_1_3__1_TotalAnnualDirectNitrousOxideEmissions_Result_Method1</vt:lpstr>
      <vt:lpstr>VEERG_4_1_1_3__1_TotalAnnualDirectNitrousOxideEmissions_Result_Method2</vt:lpstr>
      <vt:lpstr>VEERG_4_1_1_5__1_TotalAnnualAtmosphericDepositionEmissions_Result_Method1</vt:lpstr>
      <vt:lpstr>VEERG_4_1_1_5__1_TotalAnnualAtmosphericDepositionEmissions_Result_Method2</vt:lpstr>
      <vt:lpstr>VEERG_4_1_1_9__1_MassOfNitrogenAppliedToSoilsScope1_Result_Method1</vt:lpstr>
      <vt:lpstr>VEERG_4_1_1_9__1_MassOfNitrogenAppliedToSoilsScope1_Result_Method2</vt:lpstr>
      <vt:lpstr>VEERG_4_1_1_9__2_MassOfNitrogenAppliedToSoilsScope3_Result_Method1</vt:lpstr>
      <vt:lpstr>VEERG_4_1_1_9__2_MassOfNitrogenAppliedToSoilsScope3_Result_Method2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X_Cell_Enterprise_LiveweightSold</vt:lpstr>
      <vt:lpstr>X_Cell_Enterprise_ManureProduced</vt:lpstr>
      <vt:lpstr>X_Cell_Enterprise_PercentIncomeFromLiveweightSold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X_Cell_Feedlot_GrazingIrrigationMethod</vt:lpstr>
      <vt:lpstr>X_Cell_Feedlot_GrazingProductionSystem</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2026-09-03T12:21:18Z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2026-09-02T18:44:22; rename=True resize=True rowheights=True scope=all</vt:lpwstr>
  </property>
</Properties>
</file>